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ownloads\A2\A2\"/>
    </mc:Choice>
  </mc:AlternateContent>
  <xr:revisionPtr revIDLastSave="0" documentId="13_ncr:1_{52FA0B80-70A9-449E-AFDF-92AB3896F8DE}" xr6:coauthVersionLast="37" xr6:coauthVersionMax="37" xr10:uidLastSave="{00000000-0000-0000-0000-000000000000}"/>
  <bookViews>
    <workbookView xWindow="0" yWindow="0" windowWidth="28800" windowHeight="18000" xr2:uid="{00000000-000D-0000-FFFF-FFFF00000000}"/>
  </bookViews>
  <sheets>
    <sheet name="Index" sheetId="8" r:id="rId1"/>
    <sheet name="Page 1" sheetId="1" r:id="rId2"/>
    <sheet name="Page 2" sheetId="6" r:id="rId3"/>
    <sheet name="Page 3" sheetId="7" r:id="rId4"/>
    <sheet name="Page 4" sheetId="10" r:id="rId5"/>
    <sheet name="Page 5" sheetId="3" r:id="rId6"/>
    <sheet name="Page 6" sheetId="4" r:id="rId7"/>
    <sheet name="Page 7" sheetId="5" r:id="rId8"/>
    <sheet name="Page 8" sheetId="14" r:id="rId9"/>
    <sheet name="Page 9" sheetId="12" r:id="rId10"/>
    <sheet name="Page 10" sheetId="13" r:id="rId11"/>
    <sheet name="Page 11" sheetId="11" r:id="rId12"/>
    <sheet name="Variables" sheetId="2" r:id="rId13"/>
  </sheets>
  <definedNames>
    <definedName name="_xlnm._FilterDatabase" localSheetId="4" hidden="1">'Page 4'!$A$1:$AD$78</definedName>
    <definedName name="_xlnm._FilterDatabase" localSheetId="5" hidden="1">'Page 5'!$A$1:$AD$61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4" l="1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A5" i="14"/>
  <c r="C5" i="14"/>
  <c r="A6" i="14"/>
  <c r="C6" i="14"/>
  <c r="A7" i="14"/>
  <c r="C7" i="14"/>
  <c r="I7" i="14"/>
  <c r="A8" i="14"/>
  <c r="C8" i="14"/>
  <c r="A9" i="14"/>
  <c r="J9" i="14"/>
  <c r="C9" i="14" s="1"/>
  <c r="A10" i="14"/>
  <c r="C10" i="14"/>
  <c r="J10" i="14"/>
  <c r="A11" i="14"/>
  <c r="K11" i="14"/>
  <c r="C11" i="14" s="1"/>
  <c r="L11" i="14"/>
  <c r="A12" i="14"/>
  <c r="C12" i="14"/>
  <c r="A13" i="14"/>
  <c r="M13" i="14"/>
  <c r="M68" i="14" s="1"/>
  <c r="A14" i="14"/>
  <c r="C14" i="14"/>
  <c r="A15" i="14"/>
  <c r="N15" i="14"/>
  <c r="C15" i="14" s="1"/>
  <c r="A16" i="14"/>
  <c r="C16" i="14"/>
  <c r="A17" i="14"/>
  <c r="C17" i="14"/>
  <c r="O17" i="14"/>
  <c r="A18" i="14"/>
  <c r="C18" i="14"/>
  <c r="A19" i="14"/>
  <c r="P19" i="14"/>
  <c r="Q19" i="14"/>
  <c r="C19" i="14" s="1"/>
  <c r="A20" i="14"/>
  <c r="C20" i="14"/>
  <c r="A21" i="14"/>
  <c r="R21" i="14"/>
  <c r="C21" i="14" s="1"/>
  <c r="A22" i="14"/>
  <c r="C22" i="14"/>
  <c r="A23" i="14"/>
  <c r="C23" i="14"/>
  <c r="S23" i="14"/>
  <c r="S68" i="14" s="1"/>
  <c r="S70" i="14" s="1"/>
  <c r="A24" i="14"/>
  <c r="C24" i="14"/>
  <c r="A25" i="14"/>
  <c r="C25" i="14"/>
  <c r="T25" i="14"/>
  <c r="A26" i="14"/>
  <c r="C26" i="14"/>
  <c r="A27" i="14"/>
  <c r="U27" i="14"/>
  <c r="C27" i="14" s="1"/>
  <c r="A28" i="14"/>
  <c r="C28" i="14"/>
  <c r="A29" i="14"/>
  <c r="V29" i="14"/>
  <c r="V68" i="14" s="1"/>
  <c r="A30" i="14"/>
  <c r="C30" i="14"/>
  <c r="A31" i="14"/>
  <c r="W31" i="14"/>
  <c r="X31" i="14"/>
  <c r="A32" i="14"/>
  <c r="C32" i="14"/>
  <c r="A33" i="14"/>
  <c r="Y33" i="14"/>
  <c r="C33" i="14" s="1"/>
  <c r="A34" i="14"/>
  <c r="C34" i="14"/>
  <c r="A35" i="14"/>
  <c r="Z35" i="14"/>
  <c r="C35" i="14" s="1"/>
  <c r="A36" i="14"/>
  <c r="C36" i="14"/>
  <c r="A37" i="14"/>
  <c r="AA37" i="14"/>
  <c r="C37" i="14" s="1"/>
  <c r="A38" i="14"/>
  <c r="C38" i="14"/>
  <c r="A39" i="14"/>
  <c r="AB39" i="14"/>
  <c r="AC39" i="14"/>
  <c r="C39" i="14" s="1"/>
  <c r="A40" i="14"/>
  <c r="C40" i="14"/>
  <c r="A41" i="14"/>
  <c r="AD41" i="14"/>
  <c r="C41" i="14" s="1"/>
  <c r="A42" i="14"/>
  <c r="C42" i="14"/>
  <c r="A43" i="14"/>
  <c r="AE43" i="14"/>
  <c r="C43" i="14" s="1"/>
  <c r="A44" i="14"/>
  <c r="C44" i="14"/>
  <c r="A45" i="14"/>
  <c r="C45" i="14"/>
  <c r="AF45" i="14"/>
  <c r="AF68" i="14" s="1"/>
  <c r="AF70" i="14" s="1"/>
  <c r="A46" i="14"/>
  <c r="C46" i="14"/>
  <c r="A47" i="14"/>
  <c r="AG47" i="14"/>
  <c r="C47" i="14" s="1"/>
  <c r="A48" i="14"/>
  <c r="C48" i="14"/>
  <c r="A49" i="14"/>
  <c r="C49" i="14"/>
  <c r="AH49" i="14"/>
  <c r="A50" i="14"/>
  <c r="C50" i="14"/>
  <c r="A51" i="14"/>
  <c r="AI51" i="14"/>
  <c r="C51" i="14" s="1"/>
  <c r="AJ51" i="14"/>
  <c r="A52" i="14"/>
  <c r="C52" i="14"/>
  <c r="A53" i="14"/>
  <c r="AK53" i="14"/>
  <c r="AK68" i="14" s="1"/>
  <c r="A54" i="14"/>
  <c r="C54" i="14"/>
  <c r="A55" i="14"/>
  <c r="AL55" i="14"/>
  <c r="AL68" i="14" s="1"/>
  <c r="AL70" i="14" s="1"/>
  <c r="A56" i="14"/>
  <c r="C56" i="14"/>
  <c r="A57" i="14"/>
  <c r="C57" i="14"/>
  <c r="AM57" i="14"/>
  <c r="AM68" i="14" s="1"/>
  <c r="A58" i="14"/>
  <c r="C58" i="14"/>
  <c r="A59" i="14"/>
  <c r="AN59" i="14"/>
  <c r="AO59" i="14"/>
  <c r="C59" i="14" s="1"/>
  <c r="A60" i="14"/>
  <c r="C60" i="14"/>
  <c r="A61" i="14"/>
  <c r="AP61" i="14"/>
  <c r="C61" i="14" s="1"/>
  <c r="A62" i="14"/>
  <c r="C62" i="14"/>
  <c r="A63" i="14"/>
  <c r="AQ63" i="14"/>
  <c r="C63" i="14" s="1"/>
  <c r="A64" i="14"/>
  <c r="C64" i="14"/>
  <c r="AR65" i="14"/>
  <c r="AR68" i="14" s="1"/>
  <c r="AS65" i="14"/>
  <c r="AS68" i="14" s="1"/>
  <c r="AT65" i="14"/>
  <c r="AT68" i="14" s="1"/>
  <c r="AU65" i="14"/>
  <c r="AU68" i="14" s="1"/>
  <c r="AV65" i="14"/>
  <c r="AV68" i="14" s="1"/>
  <c r="AW65" i="14"/>
  <c r="AW68" i="14" s="1"/>
  <c r="AX65" i="14"/>
  <c r="AY65" i="14"/>
  <c r="AZ65" i="14"/>
  <c r="BA65" i="14"/>
  <c r="BA68" i="14" s="1"/>
  <c r="BB65" i="14"/>
  <c r="BB68" i="14" s="1"/>
  <c r="BC65" i="14"/>
  <c r="BC68" i="14" s="1"/>
  <c r="BD65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J68" i="14"/>
  <c r="J70" i="14" s="1"/>
  <c r="K68" i="14"/>
  <c r="K70" i="14" s="1"/>
  <c r="L68" i="14"/>
  <c r="N68" i="14"/>
  <c r="O68" i="14"/>
  <c r="P68" i="14"/>
  <c r="P70" i="14" s="1"/>
  <c r="R68" i="14"/>
  <c r="R70" i="14" s="1"/>
  <c r="T68" i="14"/>
  <c r="U68" i="14"/>
  <c r="X68" i="14"/>
  <c r="X70" i="14" s="1"/>
  <c r="AA68" i="14"/>
  <c r="AB68" i="14"/>
  <c r="AC68" i="14"/>
  <c r="AH68" i="14"/>
  <c r="AH70" i="14" s="1"/>
  <c r="AI68" i="14"/>
  <c r="AI70" i="14" s="1"/>
  <c r="AJ68" i="14"/>
  <c r="AN68" i="14"/>
  <c r="AN70" i="14" s="1"/>
  <c r="AP68" i="14"/>
  <c r="AP70" i="14" s="1"/>
  <c r="AQ68" i="14"/>
  <c r="AQ70" i="14" s="1"/>
  <c r="AX68" i="14"/>
  <c r="AX70" i="14" s="1"/>
  <c r="AY68" i="14"/>
  <c r="AY70" i="14" s="1"/>
  <c r="AZ68" i="14"/>
  <c r="J69" i="14"/>
  <c r="K69" i="14"/>
  <c r="L69" i="14"/>
  <c r="M69" i="14"/>
  <c r="N69" i="14"/>
  <c r="O69" i="14"/>
  <c r="P69" i="14"/>
  <c r="Q69" i="14"/>
  <c r="R69" i="14"/>
  <c r="S69" i="14"/>
  <c r="T69" i="14"/>
  <c r="T70" i="14" s="1"/>
  <c r="U69" i="14"/>
  <c r="U70" i="14" s="1"/>
  <c r="V69" i="14"/>
  <c r="W69" i="14"/>
  <c r="X69" i="14"/>
  <c r="Y69" i="14"/>
  <c r="Z69" i="14"/>
  <c r="AA69" i="14"/>
  <c r="AB69" i="14"/>
  <c r="AB70" i="14" s="1"/>
  <c r="AC69" i="14"/>
  <c r="AC70" i="14" s="1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AZ70" i="14" s="1"/>
  <c r="BA69" i="14"/>
  <c r="BB69" i="14"/>
  <c r="BC69" i="14"/>
  <c r="N70" i="14"/>
  <c r="O70" i="14"/>
  <c r="AR70" i="14" l="1"/>
  <c r="AJ70" i="14"/>
  <c r="L70" i="14"/>
  <c r="AV70" i="14"/>
  <c r="C55" i="14"/>
  <c r="AK70" i="14"/>
  <c r="AA70" i="14"/>
  <c r="BC70" i="14"/>
  <c r="AU70" i="14"/>
  <c r="Y68" i="14"/>
  <c r="Y70" i="14" s="1"/>
  <c r="BB70" i="14"/>
  <c r="AT70" i="14"/>
  <c r="AM70" i="14"/>
  <c r="C31" i="14"/>
  <c r="V70" i="14"/>
  <c r="BA70" i="14"/>
  <c r="AW70" i="14"/>
  <c r="AS70" i="14"/>
  <c r="M70" i="14"/>
  <c r="AO68" i="14"/>
  <c r="AO70" i="14" s="1"/>
  <c r="AG68" i="14"/>
  <c r="AG70" i="14" s="1"/>
  <c r="Q68" i="14"/>
  <c r="Q70" i="14" s="1"/>
  <c r="C53" i="14"/>
  <c r="C13" i="14"/>
  <c r="AE68" i="14"/>
  <c r="AE70" i="14" s="1"/>
  <c r="W68" i="14"/>
  <c r="W70" i="14" s="1"/>
  <c r="Z68" i="14"/>
  <c r="Z70" i="14" s="1"/>
  <c r="C29" i="14"/>
  <c r="AD68" i="14"/>
  <c r="AD70" i="14" s="1"/>
  <c r="Q5" i="12" l="1"/>
  <c r="R8" i="12"/>
  <c r="Q5" i="13" l="1"/>
  <c r="E6" i="13"/>
  <c r="F6" i="13"/>
  <c r="G6" i="13"/>
  <c r="H6" i="13"/>
  <c r="I6" i="13"/>
  <c r="J6" i="13"/>
  <c r="K6" i="13"/>
  <c r="L6" i="13"/>
  <c r="M6" i="13"/>
  <c r="N6" i="13"/>
  <c r="O6" i="13"/>
  <c r="P6" i="13"/>
  <c r="E7" i="13"/>
  <c r="R8" i="13"/>
  <c r="F9" i="13"/>
  <c r="G9" i="13"/>
  <c r="H9" i="13"/>
  <c r="I9" i="13"/>
  <c r="J9" i="13"/>
  <c r="K9" i="13"/>
  <c r="L9" i="13"/>
  <c r="M9" i="13"/>
  <c r="N9" i="13"/>
  <c r="O9" i="13"/>
  <c r="P9" i="13"/>
  <c r="Q9" i="13"/>
  <c r="S11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U14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V17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20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X23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Z26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AA29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B32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C35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D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E41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G44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H47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I50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J53" i="13"/>
  <c r="AJ54" i="13" s="1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L56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M59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N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5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P68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Q71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S74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T77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U80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V83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X86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Y89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F98" i="13"/>
  <c r="F99" i="13" s="1"/>
  <c r="G98" i="13"/>
  <c r="G99" i="13" s="1"/>
  <c r="I98" i="13"/>
  <c r="J98" i="13" s="1"/>
  <c r="N98" i="13"/>
  <c r="O98" i="13" s="1"/>
  <c r="U98" i="13"/>
  <c r="V98" i="13" s="1"/>
  <c r="Z98" i="13"/>
  <c r="Z99" i="13" s="1"/>
  <c r="AG98" i="13"/>
  <c r="AG99" i="13" s="1"/>
  <c r="AL98" i="13"/>
  <c r="AM98" i="13" s="1"/>
  <c r="AS98" i="13"/>
  <c r="AS99" i="13" s="1"/>
  <c r="AW98" i="13"/>
  <c r="AX98" i="13" s="1"/>
  <c r="H99" i="13"/>
  <c r="I99" i="13"/>
  <c r="M99" i="13"/>
  <c r="T99" i="13"/>
  <c r="Y99" i="13"/>
  <c r="AF99" i="13"/>
  <c r="AK99" i="13"/>
  <c r="AR99" i="13"/>
  <c r="AV99" i="13"/>
  <c r="E6" i="12"/>
  <c r="F6" i="12"/>
  <c r="G6" i="12"/>
  <c r="H6" i="12"/>
  <c r="I6" i="12"/>
  <c r="J6" i="12"/>
  <c r="K6" i="12"/>
  <c r="L6" i="12"/>
  <c r="M6" i="12"/>
  <c r="N6" i="12"/>
  <c r="O6" i="12"/>
  <c r="P6" i="12"/>
  <c r="E7" i="12"/>
  <c r="E96" i="12" s="1"/>
  <c r="F9" i="12"/>
  <c r="G9" i="12"/>
  <c r="H9" i="12"/>
  <c r="I9" i="12"/>
  <c r="J9" i="12"/>
  <c r="K9" i="12"/>
  <c r="L9" i="12"/>
  <c r="M9" i="12"/>
  <c r="N9" i="12"/>
  <c r="O9" i="12"/>
  <c r="P9" i="12"/>
  <c r="Q9" i="12"/>
  <c r="S11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U14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7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20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X23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Z26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AA29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B32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C35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D38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E41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G44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H47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I50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K53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L56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M59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N62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5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P68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Q71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S74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T77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U80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V83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X86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Y89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F10" i="13" l="1"/>
  <c r="AL99" i="13"/>
  <c r="U99" i="13"/>
  <c r="F10" i="12"/>
  <c r="G13" i="12" s="1"/>
  <c r="H13" i="12" s="1"/>
  <c r="I16" i="12" s="1"/>
  <c r="J19" i="12" s="1"/>
  <c r="K22" i="12" s="1"/>
  <c r="L25" i="12" s="1"/>
  <c r="M25" i="12" s="1"/>
  <c r="N28" i="12" s="1"/>
  <c r="O31" i="12" s="1"/>
  <c r="AW99" i="13"/>
  <c r="E96" i="13"/>
  <c r="E99" i="13" s="1"/>
  <c r="AT98" i="13"/>
  <c r="AU98" i="13" s="1"/>
  <c r="AU99" i="13" s="1"/>
  <c r="AA98" i="13"/>
  <c r="AB98" i="13" s="1"/>
  <c r="AC98" i="13" s="1"/>
  <c r="G13" i="13"/>
  <c r="H13" i="13" s="1"/>
  <c r="I16" i="13" s="1"/>
  <c r="J19" i="13" s="1"/>
  <c r="K22" i="13" s="1"/>
  <c r="L25" i="13" s="1"/>
  <c r="M25" i="13" s="1"/>
  <c r="N28" i="13" s="1"/>
  <c r="O31" i="13" s="1"/>
  <c r="P34" i="13" s="1"/>
  <c r="Q37" i="13" s="1"/>
  <c r="R40" i="13" s="1"/>
  <c r="S43" i="13" s="1"/>
  <c r="T43" i="13" s="1"/>
  <c r="U46" i="13" s="1"/>
  <c r="V49" i="13" s="1"/>
  <c r="W52" i="13" s="1"/>
  <c r="X55" i="13" s="1"/>
  <c r="Y55" i="13" s="1"/>
  <c r="Z58" i="13" s="1"/>
  <c r="AA61" i="13" s="1"/>
  <c r="AB64" i="13" s="1"/>
  <c r="AC67" i="13" s="1"/>
  <c r="AD70" i="13" s="1"/>
  <c r="AE73" i="13" s="1"/>
  <c r="AF73" i="13" s="1"/>
  <c r="AG76" i="13" s="1"/>
  <c r="AH79" i="13" s="1"/>
  <c r="AI82" i="13" s="1"/>
  <c r="AJ85" i="13" s="1"/>
  <c r="AK85" i="13" s="1"/>
  <c r="AL88" i="13" s="1"/>
  <c r="AM91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M99" i="13"/>
  <c r="AN98" i="13"/>
  <c r="W98" i="13"/>
  <c r="V99" i="13"/>
  <c r="O99" i="13"/>
  <c r="P98" i="13"/>
  <c r="AX99" i="13"/>
  <c r="AY98" i="13"/>
  <c r="AY99" i="13" s="1"/>
  <c r="J99" i="13"/>
  <c r="K98" i="13"/>
  <c r="N99" i="13"/>
  <c r="AH98" i="13"/>
  <c r="AA99" i="13" l="1"/>
  <c r="P34" i="12"/>
  <c r="Q37" i="12" s="1"/>
  <c r="R40" i="12" s="1"/>
  <c r="S43" i="12" s="1"/>
  <c r="T43" i="12" s="1"/>
  <c r="U46" i="12" s="1"/>
  <c r="V49" i="12" s="1"/>
  <c r="W52" i="12" s="1"/>
  <c r="X55" i="12" s="1"/>
  <c r="Y55" i="12" s="1"/>
  <c r="Z58" i="12" s="1"/>
  <c r="AA61" i="12" s="1"/>
  <c r="AB64" i="12" s="1"/>
  <c r="AC67" i="12" s="1"/>
  <c r="AD70" i="12" s="1"/>
  <c r="AE73" i="12" s="1"/>
  <c r="AF73" i="12" s="1"/>
  <c r="AG76" i="12" s="1"/>
  <c r="AH79" i="12" s="1"/>
  <c r="AI82" i="12" s="1"/>
  <c r="AJ85" i="12" s="1"/>
  <c r="AK85" i="12" s="1"/>
  <c r="AL88" i="12" s="1"/>
  <c r="AM91" i="12" s="1"/>
  <c r="AN94" i="12" s="1"/>
  <c r="AO94" i="12" s="1"/>
  <c r="AP94" i="12" s="1"/>
  <c r="AQ94" i="12" s="1"/>
  <c r="AR94" i="12" s="1"/>
  <c r="AS94" i="12" s="1"/>
  <c r="AT94" i="12" s="1"/>
  <c r="AU94" i="12" s="1"/>
  <c r="AV94" i="12" s="1"/>
  <c r="AW94" i="12" s="1"/>
  <c r="AX94" i="12" s="1"/>
  <c r="AY94" i="12" s="1"/>
  <c r="AB99" i="13"/>
  <c r="AT99" i="13"/>
  <c r="Q98" i="13"/>
  <c r="P99" i="13"/>
  <c r="AI98" i="13"/>
  <c r="AH99" i="13"/>
  <c r="AC99" i="13"/>
  <c r="AD98" i="13"/>
  <c r="K99" i="13"/>
  <c r="L98" i="13"/>
  <c r="L99" i="13" s="1"/>
  <c r="W99" i="13"/>
  <c r="X98" i="13"/>
  <c r="X99" i="13" s="1"/>
  <c r="AO98" i="13"/>
  <c r="AN99" i="13"/>
  <c r="AO99" i="13" l="1"/>
  <c r="AP98" i="13"/>
  <c r="AE98" i="13"/>
  <c r="AE99" i="13" s="1"/>
  <c r="AD99" i="13"/>
  <c r="AJ98" i="13"/>
  <c r="AJ99" i="13" s="1"/>
  <c r="AI99" i="13"/>
  <c r="R98" i="13"/>
  <c r="Q99" i="13"/>
  <c r="S98" i="13" l="1"/>
  <c r="S99" i="13" s="1"/>
  <c r="R99" i="13"/>
  <c r="AP99" i="13"/>
  <c r="AQ98" i="13"/>
  <c r="AQ99" i="13" s="1"/>
  <c r="G98" i="11" l="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F98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Y89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X86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V83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U80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T77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S74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Q71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P68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O65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N62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AM59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AL56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AK53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AI50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AH47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AG44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AE41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AD38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AC35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AB32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AA29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Z26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X23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W20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V17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U14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S11" i="11"/>
  <c r="Q9" i="11"/>
  <c r="P9" i="11"/>
  <c r="O9" i="11"/>
  <c r="N9" i="11"/>
  <c r="M9" i="11"/>
  <c r="L9" i="11"/>
  <c r="K9" i="11"/>
  <c r="J9" i="11"/>
  <c r="I9" i="11"/>
  <c r="H9" i="11"/>
  <c r="G9" i="11"/>
  <c r="F9" i="11"/>
  <c r="R8" i="11"/>
  <c r="P6" i="11"/>
  <c r="O6" i="11"/>
  <c r="N6" i="11"/>
  <c r="M6" i="11"/>
  <c r="L6" i="11"/>
  <c r="K6" i="11"/>
  <c r="J6" i="11"/>
  <c r="I6" i="11"/>
  <c r="H6" i="11"/>
  <c r="G6" i="11"/>
  <c r="F6" i="11"/>
  <c r="E6" i="11"/>
  <c r="E7" i="11" s="1"/>
  <c r="Q5" i="11"/>
  <c r="E96" i="11" l="1"/>
  <c r="E98" i="11" s="1"/>
  <c r="F10" i="11"/>
  <c r="G13" i="11" s="1"/>
  <c r="H13" i="11" s="1"/>
  <c r="I16" i="11" s="1"/>
  <c r="J19" i="11" s="1"/>
  <c r="K22" i="11" s="1"/>
  <c r="L25" i="11" s="1"/>
  <c r="M25" i="11" s="1"/>
  <c r="N28" i="11" s="1"/>
  <c r="O31" i="11" s="1"/>
  <c r="P34" i="11" s="1"/>
  <c r="Q37" i="11" s="1"/>
  <c r="R40" i="11" s="1"/>
  <c r="S43" i="11" s="1"/>
  <c r="T43" i="11" s="1"/>
  <c r="U46" i="11" s="1"/>
  <c r="V49" i="11" s="1"/>
  <c r="W52" i="11" s="1"/>
  <c r="X55" i="11" s="1"/>
  <c r="Y55" i="11" s="1"/>
  <c r="Z58" i="11" s="1"/>
  <c r="AA61" i="11" s="1"/>
  <c r="AB64" i="11" s="1"/>
  <c r="AC67" i="11" s="1"/>
  <c r="AD70" i="11" s="1"/>
  <c r="AE73" i="11" s="1"/>
  <c r="AF73" i="11" s="1"/>
  <c r="AG76" i="11" s="1"/>
  <c r="AH79" i="11" s="1"/>
  <c r="AI82" i="11" s="1"/>
  <c r="AJ85" i="11" s="1"/>
  <c r="AK85" i="11" s="1"/>
  <c r="AL88" i="11" s="1"/>
  <c r="AM91" i="11" s="1"/>
  <c r="AN94" i="11" s="1"/>
  <c r="AO94" i="11" s="1"/>
  <c r="AP94" i="11" s="1"/>
  <c r="AQ94" i="11" s="1"/>
  <c r="AR94" i="11" s="1"/>
  <c r="AS94" i="11" s="1"/>
  <c r="AT94" i="11" s="1"/>
  <c r="AU94" i="11" s="1"/>
  <c r="AV94" i="11" s="1"/>
  <c r="AW94" i="11" s="1"/>
  <c r="AX94" i="11" s="1"/>
  <c r="AY94" i="11" s="1"/>
  <c r="R2" i="10" l="1"/>
  <c r="S2" i="10"/>
  <c r="T2" i="10"/>
  <c r="U2" i="10"/>
  <c r="V2" i="10"/>
  <c r="W2" i="10"/>
  <c r="X2" i="10"/>
  <c r="Y2" i="10"/>
  <c r="Z2" i="10"/>
  <c r="AA2" i="10"/>
  <c r="AB2" i="10"/>
  <c r="AC2" i="10"/>
  <c r="AD2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E102" i="10" l="1"/>
  <c r="E104" i="10"/>
  <c r="E96" i="10"/>
  <c r="E94" i="10"/>
  <c r="E103" i="10"/>
  <c r="E95" i="10"/>
  <c r="E101" i="10"/>
  <c r="E93" i="10"/>
  <c r="E100" i="10"/>
  <c r="E92" i="10"/>
  <c r="E97" i="10"/>
  <c r="E99" i="10"/>
  <c r="E98" i="10"/>
  <c r="D102" i="10"/>
  <c r="D94" i="10"/>
  <c r="D101" i="10"/>
  <c r="D93" i="10"/>
  <c r="D98" i="10"/>
  <c r="D100" i="10"/>
  <c r="D92" i="10"/>
  <c r="D99" i="10"/>
  <c r="D97" i="10"/>
  <c r="D104" i="10"/>
  <c r="D96" i="10"/>
  <c r="D103" i="10"/>
  <c r="D95" i="10"/>
  <c r="C100" i="10"/>
  <c r="C92" i="10"/>
  <c r="C93" i="10"/>
  <c r="C99" i="10"/>
  <c r="C98" i="10"/>
  <c r="C97" i="10"/>
  <c r="C104" i="10"/>
  <c r="C96" i="10"/>
  <c r="C103" i="10"/>
  <c r="C95" i="10"/>
  <c r="C101" i="10"/>
  <c r="C102" i="10"/>
  <c r="C94" i="10"/>
  <c r="B98" i="10"/>
  <c r="B99" i="10"/>
  <c r="B104" i="10"/>
  <c r="B96" i="10"/>
  <c r="B103" i="10"/>
  <c r="B95" i="10"/>
  <c r="B97" i="10"/>
  <c r="B102" i="10"/>
  <c r="B94" i="10"/>
  <c r="B101" i="10"/>
  <c r="B93" i="10"/>
  <c r="B100" i="10"/>
  <c r="B92" i="10"/>
  <c r="AC62" i="10"/>
  <c r="U62" i="10"/>
  <c r="AA63" i="10"/>
  <c r="AD62" i="10"/>
  <c r="V62" i="10"/>
  <c r="X62" i="10"/>
  <c r="W62" i="10"/>
  <c r="Y62" i="10"/>
  <c r="R63" i="10"/>
  <c r="Y63" i="10"/>
  <c r="Z63" i="10"/>
  <c r="S63" i="10"/>
  <c r="AB63" i="10"/>
  <c r="X63" i="10"/>
  <c r="T63" i="10"/>
  <c r="W63" i="10"/>
  <c r="AB62" i="10"/>
  <c r="T62" i="10"/>
  <c r="AD63" i="10"/>
  <c r="V63" i="10"/>
  <c r="AA62" i="10"/>
  <c r="S62" i="10"/>
  <c r="AC63" i="10"/>
  <c r="U63" i="10"/>
  <c r="Z62" i="10"/>
  <c r="R62" i="10"/>
  <c r="Q2" i="7" l="1"/>
  <c r="R2" i="7"/>
  <c r="S2" i="7"/>
  <c r="T2" i="7"/>
  <c r="U2" i="7"/>
  <c r="V2" i="7"/>
  <c r="W2" i="7"/>
  <c r="X2" i="7"/>
  <c r="Y2" i="7"/>
  <c r="Z2" i="7"/>
  <c r="AA2" i="7"/>
  <c r="AB2" i="7"/>
  <c r="AC2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Q34" i="7"/>
  <c r="R34" i="7"/>
  <c r="S34" i="7"/>
  <c r="S63" i="7" s="1"/>
  <c r="T34" i="7"/>
  <c r="U34" i="7"/>
  <c r="V34" i="7"/>
  <c r="W34" i="7"/>
  <c r="X34" i="7"/>
  <c r="Y34" i="7"/>
  <c r="Z34" i="7"/>
  <c r="AA34" i="7"/>
  <c r="AB34" i="7"/>
  <c r="AC34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A63" i="7" l="1"/>
  <c r="X62" i="7"/>
  <c r="W63" i="7"/>
  <c r="AB62" i="7"/>
  <c r="T62" i="7"/>
  <c r="T63" i="7"/>
  <c r="Q63" i="7"/>
  <c r="AC62" i="7"/>
  <c r="Q62" i="7"/>
  <c r="V62" i="7"/>
  <c r="AA62" i="7"/>
  <c r="S62" i="7"/>
  <c r="AC63" i="7"/>
  <c r="Z63" i="7"/>
  <c r="Y62" i="7"/>
  <c r="Z62" i="7"/>
  <c r="W62" i="7"/>
  <c r="AB63" i="7"/>
  <c r="U63" i="7"/>
  <c r="V63" i="7"/>
  <c r="U62" i="7"/>
  <c r="X63" i="7"/>
  <c r="Y63" i="7"/>
  <c r="R63" i="7"/>
  <c r="R62" i="7"/>
  <c r="B3" i="6"/>
  <c r="C3" i="6" s="1"/>
  <c r="C10" i="6"/>
  <c r="C11" i="6"/>
  <c r="B12" i="6"/>
  <c r="C12" i="6" s="1"/>
  <c r="C14" i="6"/>
  <c r="B13" i="6" l="1"/>
  <c r="C13" i="6" s="1"/>
  <c r="B4" i="6"/>
  <c r="C4" i="6" l="1"/>
  <c r="B5" i="6"/>
  <c r="C5" i="6" l="1"/>
  <c r="B6" i="6"/>
  <c r="B7" i="6" l="1"/>
  <c r="C6" i="6"/>
  <c r="C7" i="6" l="1"/>
  <c r="B8" i="6"/>
  <c r="C8" i="6" l="1"/>
  <c r="B9" i="6"/>
  <c r="C9" i="6" s="1"/>
  <c r="H11" i="5"/>
  <c r="H10" i="5"/>
  <c r="H9" i="5"/>
  <c r="H8" i="5"/>
  <c r="H7" i="5"/>
  <c r="H6" i="5"/>
  <c r="H5" i="5"/>
  <c r="H4" i="5"/>
  <c r="H3" i="5"/>
  <c r="G11" i="5"/>
  <c r="G10" i="5"/>
  <c r="G9" i="5"/>
  <c r="G8" i="5"/>
  <c r="G7" i="5"/>
  <c r="G6" i="5"/>
  <c r="G5" i="5"/>
  <c r="G4" i="5"/>
  <c r="G3" i="5"/>
  <c r="F11" i="5"/>
  <c r="F10" i="5"/>
  <c r="F9" i="5"/>
  <c r="F8" i="5"/>
  <c r="F7" i="5"/>
  <c r="F6" i="5"/>
  <c r="F5" i="5"/>
  <c r="F4" i="5"/>
  <c r="F3" i="5"/>
  <c r="H4" i="4" l="1"/>
  <c r="G4" i="4"/>
  <c r="F4" i="4"/>
  <c r="H3" i="4"/>
  <c r="G3" i="4"/>
  <c r="F3" i="4"/>
  <c r="H2" i="4"/>
  <c r="G2" i="4"/>
  <c r="F2" i="4"/>
  <c r="AD32" i="3" l="1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R32" i="3"/>
  <c r="R33" i="3"/>
  <c r="R34" i="3"/>
  <c r="R35" i="3"/>
  <c r="R36" i="3"/>
  <c r="R37" i="3"/>
  <c r="R38" i="3"/>
  <c r="R39" i="3"/>
  <c r="E66" i="3" s="1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E68" i="3" l="1"/>
  <c r="E70" i="3"/>
  <c r="E76" i="3"/>
  <c r="E78" i="3"/>
  <c r="C77" i="3"/>
  <c r="C69" i="3"/>
  <c r="C73" i="3"/>
  <c r="E72" i="3"/>
  <c r="E71" i="3"/>
  <c r="C72" i="3"/>
  <c r="E75" i="3"/>
  <c r="C76" i="3"/>
  <c r="C68" i="3"/>
  <c r="E67" i="3"/>
  <c r="C67" i="3"/>
  <c r="C71" i="3"/>
  <c r="C75" i="3"/>
  <c r="E74" i="3"/>
  <c r="C66" i="3"/>
  <c r="E69" i="3"/>
  <c r="C70" i="3"/>
  <c r="E73" i="3"/>
  <c r="C74" i="3"/>
  <c r="E77" i="3"/>
  <c r="C7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  <c r="B67" i="3" l="1"/>
  <c r="B75" i="3"/>
  <c r="D69" i="3"/>
  <c r="B71" i="3"/>
  <c r="D73" i="3"/>
  <c r="D77" i="3"/>
  <c r="D68" i="3"/>
  <c r="B70" i="3"/>
  <c r="D72" i="3"/>
  <c r="B74" i="3"/>
  <c r="D76" i="3"/>
  <c r="B78" i="3"/>
  <c r="B66" i="3"/>
  <c r="D71" i="3"/>
  <c r="B73" i="3"/>
  <c r="D75" i="3"/>
  <c r="B77" i="3"/>
  <c r="B69" i="3"/>
  <c r="D67" i="3"/>
  <c r="D66" i="3"/>
  <c r="B68" i="3"/>
  <c r="D70" i="3"/>
  <c r="B72" i="3"/>
  <c r="D74" i="3"/>
  <c r="B76" i="3"/>
  <c r="D78" i="3"/>
  <c r="H4" i="1"/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5" i="1"/>
  <c r="C63" i="1" l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<sst xmlns="http://schemas.openxmlformats.org/spreadsheetml/2006/main" count="1540" uniqueCount="156">
  <si>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</si>
  <si>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</si>
  <si>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</si>
  <si>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</si>
  <si>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</si>
  <si>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</si>
  <si>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</si>
  <si>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</si>
  <si>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</si>
  <si>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</si>
  <si>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</si>
  <si>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</si>
  <si>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</si>
  <si>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</si>
  <si>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</si>
  <si>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</si>
  <si>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</si>
  <si>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Fall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</si>
  <si>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</si>
  <si>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</si>
  <si>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</si>
  <si>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</si>
  <si>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</si>
  <si>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</si>
  <si>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</si>
  <si>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</si>
  <si>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</si>
  <si>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</si>
  <si>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</si>
  <si>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</si>
  <si>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</si>
  <si>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</si>
  <si>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</si>
  <si>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</si>
  <si>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</si>
  <si>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</si>
  <si>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</si>
  <si>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</si>
  <si>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</si>
  <si>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</si>
  <si>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</si>
  <si>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</si>
  <si>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</si>
  <si>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</si>
  <si>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</si>
  <si>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</si>
  <si>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</si>
  <si>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</si>
  <si>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</si>
  <si>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</si>
  <si>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Extreme</t>
  </si>
  <si>
    <t>Java</t>
  </si>
  <si>
    <t>C++</t>
  </si>
  <si>
    <t>SCRUM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</si>
  <si>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</si>
  <si>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</si>
  <si>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</si>
  <si>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</si>
  <si>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</si>
  <si>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</si>
  <si>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</si>
  <si>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</si>
  <si>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</si>
  <si>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</si>
  <si>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</si>
  <si>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</si>
  <si>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</si>
  <si>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N Month 0</t>
  </si>
  <si>
    <t>N Month 1</t>
  </si>
  <si>
    <t>N Month 2</t>
  </si>
  <si>
    <t>N Month 3</t>
  </si>
  <si>
    <t>N Month 4</t>
  </si>
  <si>
    <t>N Month 5</t>
  </si>
  <si>
    <t>N Month 6</t>
  </si>
  <si>
    <t>N Month 7</t>
  </si>
  <si>
    <t>N Month 8</t>
  </si>
  <si>
    <t>N Month 9</t>
  </si>
  <si>
    <t>N Month 10</t>
  </si>
  <si>
    <t>N Month 11</t>
  </si>
  <si>
    <t>N Month 12</t>
  </si>
  <si>
    <t>New Corr</t>
  </si>
  <si>
    <t>Month</t>
  </si>
  <si>
    <t>Defects</t>
  </si>
  <si>
    <t>Best</t>
  </si>
  <si>
    <t>Average</t>
  </si>
  <si>
    <t>Worst</t>
  </si>
  <si>
    <t>Quarter</t>
  </si>
  <si>
    <t>Total Number of Defects</t>
  </si>
  <si>
    <t>2015 - Q1</t>
  </si>
  <si>
    <t>2015 - Q2</t>
  </si>
  <si>
    <t>2015 - Q3</t>
  </si>
  <si>
    <t>2016 - Q1</t>
  </si>
  <si>
    <t>2016 - Q2</t>
  </si>
  <si>
    <t>2016 - Q3</t>
  </si>
  <si>
    <t>2017 - Q1</t>
  </si>
  <si>
    <t>2017 - Q2</t>
  </si>
  <si>
    <t>2017 - Q3</t>
  </si>
  <si>
    <t>Total Defects</t>
  </si>
  <si>
    <t>Uncorrected</t>
  </si>
  <si>
    <t>Sheet Name</t>
  </si>
  <si>
    <t>Graph</t>
  </si>
  <si>
    <t>Page 1</t>
  </si>
  <si>
    <t>Page 2</t>
  </si>
  <si>
    <t>Page 3</t>
  </si>
  <si>
    <t>Page 4</t>
  </si>
  <si>
    <t>Page 5</t>
  </si>
  <si>
    <t>Page 6</t>
  </si>
  <si>
    <t>Page 7</t>
  </si>
  <si>
    <t>Current Quality Total</t>
  </si>
  <si>
    <t>Page 8</t>
  </si>
  <si>
    <t>Page 9</t>
  </si>
  <si>
    <t>Page 10</t>
  </si>
  <si>
    <t>Given Data</t>
  </si>
  <si>
    <t>Post-Release Quality for ZB</t>
  </si>
  <si>
    <t>Post-Release Quality Normalised by Size</t>
  </si>
  <si>
    <t>Post-Release Quality History Yearly</t>
  </si>
  <si>
    <t>Post-Release Quality History Quaterly</t>
  </si>
  <si>
    <t>Post-Release Quality by Programming Language</t>
  </si>
  <si>
    <t>Total Defects for ZB</t>
  </si>
  <si>
    <t>Uncorrected Defects for ZB</t>
  </si>
  <si>
    <t>Total defects</t>
  </si>
  <si>
    <t>Post-release Quality by Development Process</t>
  </si>
  <si>
    <t>Page 11</t>
  </si>
  <si>
    <t>Number of active products</t>
  </si>
  <si>
    <t>Normalized by active number of products</t>
  </si>
  <si>
    <t>Current Quality Total Normalized by Size</t>
  </si>
  <si>
    <t xml:space="preserve">Current Quality Total Normalized by number of currently active products </t>
  </si>
  <si>
    <t>Total Uncorrected defects normalized by KLOC</t>
  </si>
  <si>
    <t>Total LOC in a month of all active products</t>
  </si>
  <si>
    <t>Number of LOC released per month</t>
  </si>
  <si>
    <t>Submitted by,</t>
  </si>
  <si>
    <t>1. Harshini Chandrasekar</t>
  </si>
  <si>
    <t>2. Tharuna Kumar</t>
  </si>
  <si>
    <t xml:space="preserve">   Month</t>
  </si>
  <si>
    <r>
      <t>Total Defects (D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</si>
  <si>
    <r>
      <t>Uncorrected Defects (D</t>
    </r>
    <r>
      <rPr>
        <b/>
        <vertAlign val="subscript"/>
        <sz val="10"/>
        <rFont val="Arial"/>
        <family val="2"/>
      </rPr>
      <t xml:space="preserve">UNC,T </t>
    </r>
    <r>
      <rPr>
        <b/>
        <sz val="10"/>
        <rFont val="Arial"/>
        <family val="2"/>
      </rPr>
      <t>)</t>
    </r>
  </si>
  <si>
    <r>
      <t>Total Defects for ZB (D</t>
    </r>
    <r>
      <rPr>
        <b/>
        <vertAlign val="subscript"/>
        <sz val="10"/>
        <rFont val="Arial"/>
        <family val="2"/>
      </rPr>
      <t>ZB</t>
    </r>
    <r>
      <rPr>
        <b/>
        <sz val="10"/>
        <rFont val="Arial"/>
        <family val="2"/>
      </rPr>
      <t>)</t>
    </r>
  </si>
  <si>
    <r>
      <t>Uncorrected Defects for ZB  (D</t>
    </r>
    <r>
      <rPr>
        <b/>
        <vertAlign val="subscript"/>
        <sz val="10"/>
        <rFont val="Arial"/>
        <family val="2"/>
      </rPr>
      <t>UNC,ZB</t>
    </r>
    <r>
      <rPr>
        <b/>
        <sz val="10"/>
        <rFont val="Arial"/>
        <family val="2"/>
      </rPr>
      <t xml:space="preserve"> )</t>
    </r>
  </si>
  <si>
    <r>
      <t>Total Defects for SCRUM (D</t>
    </r>
    <r>
      <rPr>
        <b/>
        <vertAlign val="subscript"/>
        <sz val="10"/>
        <rFont val="Arial"/>
        <family val="2"/>
      </rPr>
      <t>SCRUM</t>
    </r>
    <r>
      <rPr>
        <b/>
        <sz val="10"/>
        <rFont val="Arial"/>
        <family val="2"/>
      </rPr>
      <t>)</t>
    </r>
  </si>
  <si>
    <r>
      <t>Uncorrected Defects for SCRUM (D</t>
    </r>
    <r>
      <rPr>
        <b/>
        <vertAlign val="subscript"/>
        <sz val="10"/>
        <rFont val="Arial"/>
        <family val="2"/>
      </rPr>
      <t>UNC,SCRUM</t>
    </r>
    <r>
      <rPr>
        <b/>
        <sz val="10"/>
        <rFont val="Arial"/>
        <family val="2"/>
      </rPr>
      <t>)</t>
    </r>
  </si>
  <si>
    <r>
      <t>Total Defects for Exteme Programming Projects (D</t>
    </r>
    <r>
      <rPr>
        <b/>
        <vertAlign val="subscript"/>
        <sz val="10"/>
        <rFont val="Arial"/>
        <family val="2"/>
      </rPr>
      <t>EPP</t>
    </r>
    <r>
      <rPr>
        <b/>
        <sz val="10"/>
        <rFont val="Arial"/>
        <family val="2"/>
      </rPr>
      <t>)</t>
    </r>
  </si>
  <si>
    <r>
      <t>Uncorrected Defects for Extreme Programming Projects (D</t>
    </r>
    <r>
      <rPr>
        <b/>
        <vertAlign val="subscript"/>
        <sz val="10"/>
        <rFont val="Arial"/>
        <family val="2"/>
      </rPr>
      <t>UNC,EPP</t>
    </r>
    <r>
      <rPr>
        <b/>
        <sz val="10"/>
        <rFont val="Arial"/>
        <family val="2"/>
      </rPr>
      <t>)</t>
    </r>
  </si>
  <si>
    <r>
      <t>Total Defects Java (D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>)</t>
    </r>
  </si>
  <si>
    <r>
      <t>Uncorrected Defects Java (D</t>
    </r>
    <r>
      <rPr>
        <b/>
        <vertAlign val="subscript"/>
        <sz val="10"/>
        <rFont val="Arial"/>
        <family val="2"/>
      </rPr>
      <t>UNC,J</t>
    </r>
    <r>
      <rPr>
        <b/>
        <sz val="10"/>
        <rFont val="Arial"/>
        <family val="2"/>
      </rPr>
      <t>)</t>
    </r>
  </si>
  <si>
    <r>
      <t>Total Defects C++ (D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)</t>
    </r>
  </si>
  <si>
    <r>
      <t>Uncorrected Defects C++ (D</t>
    </r>
    <r>
      <rPr>
        <b/>
        <vertAlign val="subscript"/>
        <sz val="10"/>
        <rFont val="Arial"/>
        <family val="2"/>
      </rPr>
      <t>UNC,C</t>
    </r>
    <r>
      <rPr>
        <b/>
        <sz val="10"/>
        <rFont val="Arial"/>
        <family val="2"/>
      </rPr>
      <t>)</t>
    </r>
  </si>
  <si>
    <r>
      <t>Uncorrected Defects (D</t>
    </r>
    <r>
      <rPr>
        <b/>
        <vertAlign val="subscript"/>
        <sz val="10"/>
        <rFont val="Arial"/>
        <family val="2"/>
      </rPr>
      <t>UNC,T</t>
    </r>
    <r>
      <rPr>
        <b/>
        <sz val="10"/>
        <rFont val="Arial"/>
        <family val="2"/>
      </rPr>
      <t>)</t>
    </r>
  </si>
  <si>
    <r>
      <t>Uncorrected Defects per month on all active products (D</t>
    </r>
    <r>
      <rPr>
        <b/>
        <vertAlign val="subscript"/>
        <sz val="10"/>
        <rFont val="Arial"/>
        <family val="2"/>
      </rPr>
      <t xml:space="preserve">UNC,T </t>
    </r>
    <r>
      <rPr>
        <b/>
        <sz val="10"/>
        <rFont val="Arial"/>
        <family val="2"/>
      </rPr>
      <t>)</t>
    </r>
  </si>
  <si>
    <t>Employee Productivity measure</t>
  </si>
  <si>
    <t>Total bug fixing team size</t>
  </si>
  <si>
    <t>Total Corrected Defects by month</t>
  </si>
  <si>
    <t>Months</t>
  </si>
  <si>
    <t>Team Size</t>
  </si>
  <si>
    <r>
      <t>Total Defects (D</t>
    </r>
    <r>
      <rPr>
        <b/>
        <vertAlign val="subscript"/>
        <sz val="10"/>
        <rFont val="Arial"/>
        <family val="2"/>
      </rPr>
      <t>NT</t>
    </r>
    <r>
      <rPr>
        <b/>
        <sz val="10"/>
        <rFont val="Arial"/>
        <family val="2"/>
      </rPr>
      <t>)</t>
    </r>
  </si>
  <si>
    <r>
      <t>Uncorrected Defects (D</t>
    </r>
    <r>
      <rPr>
        <b/>
        <vertAlign val="subscript"/>
        <sz val="10"/>
        <rFont val="Arial"/>
        <family val="2"/>
      </rPr>
      <t xml:space="preserve">UNC,NT </t>
    </r>
    <r>
      <rPr>
        <b/>
        <sz val="10"/>
        <rFont val="Arial"/>
        <family val="2"/>
      </rPr>
      <t>)</t>
    </r>
  </si>
  <si>
    <t>Employee Productivity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</si>
</sst>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\ ;\(&quot;$&quot;#,##0\)"/>
  </numFmts>
  <fonts count="21" x14ac:knownFonts="1">
    <font>
      <sz val="10"/>
      <color indexed="22"/>
      <name val="Arial"/>
    </font>
    <font>
      <sz val="12"/>
      <color theme="1"/>
      <name val="Calibri"/>
      <family val="2"/>
      <scheme val="minor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8"/>
      <name val="Arial"/>
      <family val="2"/>
    </font>
    <font>
      <sz val="10"/>
      <color indexed="2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color rgb="FF3F3F3F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22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0"/>
      <name val="Arial"/>
      <family val="2"/>
    </font>
    <font>
      <sz val="12"/>
      <color rgb="FF0061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6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6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1" applyNumberFormat="0" applyFont="0" applyFill="0" applyAlignment="0" applyProtection="0"/>
    <xf numFmtId="0" fontId="12" fillId="2" borderId="7" applyNumberFormat="0" applyAlignment="0" applyProtection="0"/>
    <xf numFmtId="0" fontId="16" fillId="0" borderId="0"/>
    <xf numFmtId="0" fontId="9" fillId="0" borderId="0" applyFill="0" applyAlignment="0">
      <alignment horizontal="center"/>
    </xf>
    <xf numFmtId="0" fontId="9" fillId="2" borderId="8" applyFill="0" applyAlignment="0">
      <alignment horizontal="center"/>
    </xf>
    <xf numFmtId="0" fontId="9" fillId="2" borderId="8" applyFill="0"/>
    <xf numFmtId="0" fontId="5" fillId="0" borderId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</cellStyleXfs>
  <cellXfs count="278">
    <xf numFmtId="0" fontId="0" fillId="0" borderId="0" xfId="0"/>
    <xf numFmtId="0" fontId="4" fillId="0" borderId="0" xfId="0" applyFont="1"/>
    <xf numFmtId="0" fontId="4" fillId="0" borderId="2" xfId="0" applyFont="1" applyBorder="1"/>
    <xf numFmtId="15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4" borderId="0" xfId="0" applyFont="1" applyFill="1"/>
    <xf numFmtId="0" fontId="4" fillId="0" borderId="9" xfId="0" applyFont="1" applyBorder="1"/>
    <xf numFmtId="0" fontId="11" fillId="0" borderId="9" xfId="0" applyFont="1" applyBorder="1"/>
    <xf numFmtId="0" fontId="14" fillId="0" borderId="0" xfId="0" applyFont="1"/>
    <xf numFmtId="0" fontId="4" fillId="0" borderId="9" xfId="0" applyFont="1" applyBorder="1" applyAlignment="1">
      <alignment horizontal="center"/>
    </xf>
    <xf numFmtId="15" fontId="15" fillId="0" borderId="13" xfId="0" applyNumberFormat="1" applyFont="1" applyBorder="1"/>
    <xf numFmtId="15" fontId="15" fillId="0" borderId="14" xfId="0" applyNumberFormat="1" applyFont="1" applyBorder="1"/>
    <xf numFmtId="15" fontId="15" fillId="0" borderId="0" xfId="0" applyNumberFormat="1" applyFont="1"/>
    <xf numFmtId="15" fontId="15" fillId="0" borderId="0" xfId="0" applyNumberFormat="1" applyFont="1" applyBorder="1"/>
    <xf numFmtId="17" fontId="15" fillId="0" borderId="15" xfId="9" applyNumberFormat="1" applyFont="1" applyBorder="1"/>
    <xf numFmtId="15" fontId="15" fillId="0" borderId="10" xfId="0" applyNumberFormat="1" applyFont="1" applyBorder="1" applyAlignment="1">
      <alignment horizontal="center" vertical="center"/>
    </xf>
    <xf numFmtId="0" fontId="5" fillId="0" borderId="0" xfId="13"/>
    <xf numFmtId="0" fontId="13" fillId="0" borderId="0" xfId="13" applyFont="1"/>
    <xf numFmtId="0" fontId="9" fillId="0" borderId="0" xfId="13" applyFont="1" applyFill="1" applyBorder="1"/>
    <xf numFmtId="0" fontId="9" fillId="0" borderId="9" xfId="13" applyFont="1" applyBorder="1"/>
    <xf numFmtId="0" fontId="9" fillId="0" borderId="0" xfId="13" applyFont="1"/>
    <xf numFmtId="0" fontId="4" fillId="0" borderId="9" xfId="13" applyFont="1" applyBorder="1"/>
    <xf numFmtId="0" fontId="4" fillId="0" borderId="9" xfId="13" applyFont="1" applyBorder="1" applyAlignment="1">
      <alignment horizontal="center"/>
    </xf>
    <xf numFmtId="0" fontId="11" fillId="0" borderId="9" xfId="13" applyFont="1" applyBorder="1"/>
    <xf numFmtId="0" fontId="9" fillId="0" borderId="8" xfId="12" applyFill="1"/>
    <xf numFmtId="0" fontId="14" fillId="0" borderId="0" xfId="13" applyFont="1"/>
    <xf numFmtId="0" fontId="4" fillId="0" borderId="0" xfId="13" applyFont="1"/>
    <xf numFmtId="0" fontId="4" fillId="0" borderId="0" xfId="13" applyFont="1" applyBorder="1"/>
    <xf numFmtId="15" fontId="15" fillId="0" borderId="13" xfId="13" applyNumberFormat="1" applyFont="1" applyBorder="1"/>
    <xf numFmtId="15" fontId="15" fillId="0" borderId="14" xfId="13" applyNumberFormat="1" applyFont="1" applyBorder="1"/>
    <xf numFmtId="15" fontId="15" fillId="0" borderId="0" xfId="13" applyNumberFormat="1" applyFont="1"/>
    <xf numFmtId="15" fontId="15" fillId="0" borderId="0" xfId="13" applyNumberFormat="1" applyFont="1" applyBorder="1"/>
    <xf numFmtId="15" fontId="15" fillId="0" borderId="10" xfId="13" applyNumberFormat="1" applyFont="1" applyBorder="1" applyAlignment="1">
      <alignment horizontal="center" vertical="center"/>
    </xf>
    <xf numFmtId="0" fontId="5" fillId="0" borderId="0" xfId="13" applyBorder="1"/>
    <xf numFmtId="17" fontId="4" fillId="0" borderId="0" xfId="9" applyNumberFormat="1" applyFont="1" applyBorder="1"/>
    <xf numFmtId="17" fontId="15" fillId="0" borderId="0" xfId="9" applyNumberFormat="1" applyFont="1" applyBorder="1"/>
    <xf numFmtId="15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7" fontId="15" fillId="0" borderId="3" xfId="0" applyNumberFormat="1" applyFont="1" applyBorder="1"/>
    <xf numFmtId="0" fontId="7" fillId="6" borderId="9" xfId="0" applyFont="1" applyFill="1" applyBorder="1"/>
    <xf numFmtId="0" fontId="7" fillId="6" borderId="8" xfId="0" applyFont="1" applyFill="1" applyBorder="1"/>
    <xf numFmtId="0" fontId="7" fillId="6" borderId="8" xfId="12" applyFont="1" applyFill="1"/>
    <xf numFmtId="0" fontId="9" fillId="6" borderId="0" xfId="0" applyFont="1" applyFill="1"/>
    <xf numFmtId="0" fontId="9" fillId="10" borderId="0" xfId="0" applyFont="1" applyFill="1"/>
    <xf numFmtId="0" fontId="9" fillId="11" borderId="0" xfId="0" applyFont="1" applyFill="1"/>
    <xf numFmtId="0" fontId="7" fillId="12" borderId="0" xfId="0" applyFont="1" applyFill="1"/>
    <xf numFmtId="0" fontId="8" fillId="0" borderId="9" xfId="0" applyFont="1" applyBorder="1" applyAlignment="1">
      <alignment horizontal="center"/>
    </xf>
    <xf numFmtId="0" fontId="7" fillId="4" borderId="8" xfId="12" applyFont="1" applyFill="1"/>
    <xf numFmtId="0" fontId="9" fillId="14" borderId="8" xfId="12" applyFont="1" applyFill="1"/>
    <xf numFmtId="0" fontId="9" fillId="14" borderId="8" xfId="11" applyFill="1" applyAlignment="1"/>
    <xf numFmtId="0" fontId="7" fillId="10" borderId="8" xfId="11" applyFont="1" applyFill="1" applyBorder="1" applyAlignment="1"/>
    <xf numFmtId="0" fontId="7" fillId="4" borderId="8" xfId="11" applyFont="1" applyFill="1" applyBorder="1" applyAlignment="1"/>
    <xf numFmtId="0" fontId="7" fillId="16" borderId="8" xfId="11" applyFont="1" applyFill="1" applyBorder="1" applyAlignment="1"/>
    <xf numFmtId="0" fontId="9" fillId="0" borderId="23" xfId="0" applyFont="1" applyBorder="1"/>
    <xf numFmtId="0" fontId="9" fillId="0" borderId="24" xfId="0" applyFont="1" applyBorder="1"/>
    <xf numFmtId="0" fontId="7" fillId="12" borderId="0" xfId="0" applyFont="1" applyFill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9" fillId="0" borderId="33" xfId="0" applyFont="1" applyBorder="1"/>
    <xf numFmtId="0" fontId="9" fillId="0" borderId="22" xfId="0" applyFont="1" applyBorder="1"/>
    <xf numFmtId="0" fontId="9" fillId="0" borderId="34" xfId="0" applyFont="1" applyBorder="1"/>
    <xf numFmtId="0" fontId="7" fillId="12" borderId="23" xfId="0" applyFont="1" applyFill="1" applyBorder="1"/>
    <xf numFmtId="0" fontId="7" fillId="3" borderId="35" xfId="0" applyFont="1" applyFill="1" applyBorder="1"/>
    <xf numFmtId="0" fontId="7" fillId="4" borderId="24" xfId="0" applyFont="1" applyFill="1" applyBorder="1"/>
    <xf numFmtId="0" fontId="7" fillId="12" borderId="8" xfId="0" applyFont="1" applyFill="1" applyBorder="1"/>
    <xf numFmtId="0" fontId="7" fillId="3" borderId="8" xfId="0" applyFont="1" applyFill="1" applyBorder="1"/>
    <xf numFmtId="0" fontId="7" fillId="4" borderId="10" xfId="0" applyFont="1" applyFill="1" applyBorder="1"/>
    <xf numFmtId="0" fontId="7" fillId="11" borderId="8" xfId="0" applyFont="1" applyFill="1" applyBorder="1"/>
    <xf numFmtId="0" fontId="7" fillId="12" borderId="8" xfId="12" applyFont="1" applyFill="1" applyAlignment="1">
      <alignment vertical="center"/>
    </xf>
    <xf numFmtId="15" fontId="13" fillId="0" borderId="25" xfId="0" applyNumberFormat="1" applyFont="1" applyBorder="1"/>
    <xf numFmtId="0" fontId="13" fillId="0" borderId="27" xfId="0" applyFont="1" applyBorder="1"/>
    <xf numFmtId="15" fontId="13" fillId="0" borderId="28" xfId="0" applyNumberFormat="1" applyFont="1" applyBorder="1"/>
    <xf numFmtId="0" fontId="13" fillId="0" borderId="29" xfId="0" applyFont="1" applyBorder="1"/>
    <xf numFmtId="15" fontId="13" fillId="0" borderId="30" xfId="0" applyNumberFormat="1" applyFont="1" applyBorder="1"/>
    <xf numFmtId="0" fontId="13" fillId="0" borderId="32" xfId="0" applyFont="1" applyBorder="1"/>
    <xf numFmtId="0" fontId="7" fillId="12" borderId="24" xfId="0" applyFont="1" applyFill="1" applyBorder="1"/>
    <xf numFmtId="0" fontId="7" fillId="13" borderId="21" xfId="12" applyFont="1" applyFill="1" applyBorder="1"/>
    <xf numFmtId="0" fontId="9" fillId="14" borderId="0" xfId="12" applyFont="1" applyFill="1" applyBorder="1"/>
    <xf numFmtId="0" fontId="7" fillId="15" borderId="8" xfId="12" applyFont="1" applyFill="1" applyBorder="1"/>
    <xf numFmtId="0" fontId="4" fillId="0" borderId="22" xfId="13" applyFont="1" applyBorder="1"/>
    <xf numFmtId="0" fontId="4" fillId="8" borderId="9" xfId="13" applyFont="1" applyFill="1" applyBorder="1"/>
    <xf numFmtId="0" fontId="10" fillId="0" borderId="9" xfId="13" applyFont="1" applyBorder="1"/>
    <xf numFmtId="0" fontId="4" fillId="7" borderId="9" xfId="13" applyFont="1" applyFill="1" applyBorder="1" applyAlignment="1">
      <alignment horizontal="right"/>
    </xf>
    <xf numFmtId="0" fontId="4" fillId="5" borderId="9" xfId="13" applyFont="1" applyFill="1" applyBorder="1" applyAlignment="1">
      <alignment horizontal="right"/>
    </xf>
    <xf numFmtId="0" fontId="5" fillId="0" borderId="9" xfId="13" applyBorder="1"/>
    <xf numFmtId="0" fontId="4" fillId="8" borderId="22" xfId="13" applyFont="1" applyFill="1" applyBorder="1"/>
    <xf numFmtId="0" fontId="10" fillId="0" borderId="22" xfId="13" applyFont="1" applyBorder="1"/>
    <xf numFmtId="0" fontId="4" fillId="0" borderId="37" xfId="13" applyFont="1" applyBorder="1"/>
    <xf numFmtId="0" fontId="4" fillId="0" borderId="18" xfId="13" applyFont="1" applyBorder="1"/>
    <xf numFmtId="0" fontId="4" fillId="5" borderId="18" xfId="13" applyFont="1" applyFill="1" applyBorder="1" applyAlignment="1">
      <alignment horizontal="right"/>
    </xf>
    <xf numFmtId="0" fontId="4" fillId="7" borderId="18" xfId="13" applyFont="1" applyFill="1" applyBorder="1" applyAlignment="1">
      <alignment horizontal="right"/>
    </xf>
    <xf numFmtId="15" fontId="15" fillId="0" borderId="38" xfId="13" applyNumberFormat="1" applyFont="1" applyBorder="1"/>
    <xf numFmtId="0" fontId="4" fillId="0" borderId="26" xfId="13" applyFont="1" applyBorder="1" applyAlignment="1">
      <alignment horizontal="center"/>
    </xf>
    <xf numFmtId="0" fontId="4" fillId="0" borderId="26" xfId="13" applyFont="1" applyBorder="1"/>
    <xf numFmtId="0" fontId="4" fillId="0" borderId="27" xfId="13" applyFont="1" applyBorder="1" applyAlignment="1">
      <alignment horizontal="center"/>
    </xf>
    <xf numFmtId="15" fontId="15" fillId="0" borderId="39" xfId="13" applyNumberFormat="1" applyFont="1" applyBorder="1"/>
    <xf numFmtId="0" fontId="4" fillId="0" borderId="29" xfId="13" applyFont="1" applyBorder="1" applyAlignment="1">
      <alignment horizontal="center"/>
    </xf>
    <xf numFmtId="15" fontId="15" fillId="0" borderId="40" xfId="13" applyNumberFormat="1" applyFont="1" applyBorder="1"/>
    <xf numFmtId="15" fontId="15" fillId="0" borderId="41" xfId="13" applyNumberFormat="1" applyFont="1" applyBorder="1"/>
    <xf numFmtId="0" fontId="4" fillId="0" borderId="42" xfId="13" applyFont="1" applyBorder="1" applyAlignment="1">
      <alignment horizontal="center"/>
    </xf>
    <xf numFmtId="0" fontId="4" fillId="0" borderId="42" xfId="13" applyFont="1" applyBorder="1"/>
    <xf numFmtId="0" fontId="4" fillId="0" borderId="36" xfId="13" applyFont="1" applyBorder="1" applyAlignment="1">
      <alignment horizontal="center"/>
    </xf>
    <xf numFmtId="0" fontId="4" fillId="0" borderId="34" xfId="13" applyFont="1" applyBorder="1"/>
    <xf numFmtId="0" fontId="4" fillId="0" borderId="29" xfId="13" applyFont="1" applyBorder="1"/>
    <xf numFmtId="0" fontId="4" fillId="8" borderId="29" xfId="13" applyFont="1" applyFill="1" applyBorder="1"/>
    <xf numFmtId="0" fontId="14" fillId="0" borderId="28" xfId="13" applyFont="1" applyBorder="1"/>
    <xf numFmtId="0" fontId="4" fillId="5" borderId="29" xfId="13" applyFont="1" applyFill="1" applyBorder="1" applyAlignment="1">
      <alignment horizontal="right"/>
    </xf>
    <xf numFmtId="0" fontId="14" fillId="0" borderId="30" xfId="13" applyFont="1" applyBorder="1"/>
    <xf numFmtId="0" fontId="5" fillId="0" borderId="31" xfId="13" applyBorder="1"/>
    <xf numFmtId="0" fontId="4" fillId="7" borderId="31" xfId="13" applyFont="1" applyFill="1" applyBorder="1" applyAlignment="1">
      <alignment horizontal="right"/>
    </xf>
    <xf numFmtId="0" fontId="4" fillId="7" borderId="32" xfId="13" applyFont="1" applyFill="1" applyBorder="1" applyAlignment="1">
      <alignment horizontal="right"/>
    </xf>
    <xf numFmtId="0" fontId="7" fillId="4" borderId="8" xfId="13" applyFont="1" applyFill="1" applyBorder="1" applyAlignment="1">
      <alignment horizontal="center"/>
    </xf>
    <xf numFmtId="0" fontId="9" fillId="4" borderId="12" xfId="13" applyFont="1" applyFill="1" applyBorder="1"/>
    <xf numFmtId="0" fontId="9" fillId="4" borderId="11" xfId="13" applyFont="1" applyFill="1" applyBorder="1"/>
    <xf numFmtId="15" fontId="15" fillId="15" borderId="10" xfId="13" applyNumberFormat="1" applyFont="1" applyFill="1" applyBorder="1" applyAlignment="1">
      <alignment horizontal="center" vertical="center"/>
    </xf>
    <xf numFmtId="0" fontId="15" fillId="15" borderId="10" xfId="13" applyFont="1" applyFill="1" applyBorder="1" applyAlignment="1">
      <alignment horizontal="center" vertical="center"/>
    </xf>
    <xf numFmtId="0" fontId="15" fillId="15" borderId="12" xfId="13" applyFont="1" applyFill="1" applyBorder="1" applyAlignment="1">
      <alignment horizontal="center" vertical="center"/>
    </xf>
    <xf numFmtId="17" fontId="15" fillId="15" borderId="10" xfId="9" applyNumberFormat="1" applyFont="1" applyFill="1" applyBorder="1"/>
    <xf numFmtId="17" fontId="15" fillId="15" borderId="16" xfId="9" applyNumberFormat="1" applyFont="1" applyFill="1" applyBorder="1"/>
    <xf numFmtId="17" fontId="15" fillId="15" borderId="15" xfId="9" applyNumberFormat="1" applyFont="1" applyFill="1" applyBorder="1"/>
    <xf numFmtId="0" fontId="9" fillId="0" borderId="0" xfId="10" applyAlignment="1"/>
    <xf numFmtId="0" fontId="7" fillId="12" borderId="0" xfId="13" applyFont="1" applyFill="1"/>
    <xf numFmtId="0" fontId="15" fillId="12" borderId="0" xfId="13" applyFont="1" applyFill="1" applyBorder="1" applyAlignment="1">
      <alignment horizontal="center" vertical="center"/>
    </xf>
    <xf numFmtId="0" fontId="5" fillId="12" borderId="0" xfId="13" applyFill="1"/>
    <xf numFmtId="0" fontId="7" fillId="12" borderId="9" xfId="13" applyFont="1" applyFill="1" applyBorder="1"/>
    <xf numFmtId="0" fontId="9" fillId="12" borderId="9" xfId="13" applyFont="1" applyFill="1" applyBorder="1"/>
    <xf numFmtId="0" fontId="7" fillId="6" borderId="8" xfId="12" applyFont="1" applyFill="1" applyAlignment="1">
      <alignment vertical="center" wrapText="1"/>
    </xf>
    <xf numFmtId="0" fontId="7" fillId="4" borderId="8" xfId="12" applyFont="1" applyFill="1" applyAlignment="1">
      <alignment vertical="center" wrapText="1"/>
    </xf>
    <xf numFmtId="0" fontId="7" fillId="10" borderId="8" xfId="12" applyFont="1" applyFill="1" applyAlignment="1">
      <alignment vertical="center" wrapText="1"/>
    </xf>
    <xf numFmtId="0" fontId="7" fillId="11" borderId="8" xfId="12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9" fillId="0" borderId="0" xfId="0" applyFont="1" applyAlignment="1">
      <alignment wrapText="1"/>
    </xf>
    <xf numFmtId="0" fontId="7" fillId="3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1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18" borderId="25" xfId="0" applyFont="1" applyFill="1" applyBorder="1"/>
    <xf numFmtId="0" fontId="18" fillId="18" borderId="27" xfId="0" applyFont="1" applyFill="1" applyBorder="1"/>
    <xf numFmtId="0" fontId="18" fillId="18" borderId="28" xfId="0" applyFont="1" applyFill="1" applyBorder="1"/>
    <xf numFmtId="0" fontId="18" fillId="18" borderId="29" xfId="0" applyFont="1" applyFill="1" applyBorder="1"/>
    <xf numFmtId="0" fontId="18" fillId="18" borderId="30" xfId="0" applyFont="1" applyFill="1" applyBorder="1"/>
    <xf numFmtId="0" fontId="18" fillId="18" borderId="32" xfId="0" applyFont="1" applyFill="1" applyBorder="1"/>
    <xf numFmtId="0" fontId="12" fillId="19" borderId="43" xfId="8" applyFont="1" applyFill="1" applyBorder="1"/>
    <xf numFmtId="0" fontId="12" fillId="19" borderId="46" xfId="8" applyFont="1" applyFill="1" applyBorder="1"/>
    <xf numFmtId="0" fontId="12" fillId="19" borderId="49" xfId="8" applyFont="1" applyFill="1" applyBorder="1"/>
    <xf numFmtId="15" fontId="4" fillId="0" borderId="53" xfId="0" applyNumberFormat="1" applyFont="1" applyBorder="1"/>
    <xf numFmtId="0" fontId="8" fillId="0" borderId="53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3" xfId="0" applyFont="1" applyBorder="1"/>
    <xf numFmtId="0" fontId="4" fillId="0" borderId="52" xfId="0" applyFont="1" applyBorder="1" applyAlignment="1">
      <alignment horizontal="center"/>
    </xf>
    <xf numFmtId="0" fontId="4" fillId="0" borderId="54" xfId="13" applyFont="1" applyBorder="1" applyAlignment="1">
      <alignment horizontal="center"/>
    </xf>
    <xf numFmtId="17" fontId="15" fillId="0" borderId="55" xfId="9" applyNumberFormat="1" applyFont="1" applyBorder="1"/>
    <xf numFmtId="17" fontId="15" fillId="0" borderId="56" xfId="9" applyNumberFormat="1" applyFont="1" applyBorder="1"/>
    <xf numFmtId="0" fontId="4" fillId="0" borderId="25" xfId="13" applyFont="1" applyBorder="1"/>
    <xf numFmtId="0" fontId="4" fillId="8" borderId="26" xfId="13" applyFont="1" applyFill="1" applyBorder="1"/>
    <xf numFmtId="0" fontId="10" fillId="0" borderId="26" xfId="13" applyFont="1" applyBorder="1"/>
    <xf numFmtId="0" fontId="4" fillId="0" borderId="27" xfId="13" applyFont="1" applyBorder="1"/>
    <xf numFmtId="0" fontId="4" fillId="0" borderId="28" xfId="13" applyFont="1" applyBorder="1"/>
    <xf numFmtId="0" fontId="4" fillId="5" borderId="28" xfId="13" applyFont="1" applyFill="1" applyBorder="1" applyAlignment="1">
      <alignment horizontal="right"/>
    </xf>
    <xf numFmtId="0" fontId="4" fillId="7" borderId="28" xfId="13" applyFont="1" applyFill="1" applyBorder="1" applyAlignment="1">
      <alignment horizontal="right"/>
    </xf>
    <xf numFmtId="0" fontId="5" fillId="0" borderId="18" xfId="13" applyBorder="1"/>
    <xf numFmtId="0" fontId="5" fillId="0" borderId="57" xfId="13" applyBorder="1"/>
    <xf numFmtId="0" fontId="14" fillId="0" borderId="9" xfId="13" applyFont="1" applyBorder="1"/>
    <xf numFmtId="0" fontId="4" fillId="0" borderId="58" xfId="13" applyFont="1" applyBorder="1" applyAlignment="1">
      <alignment horizontal="center"/>
    </xf>
    <xf numFmtId="0" fontId="5" fillId="0" borderId="32" xfId="13" applyBorder="1"/>
    <xf numFmtId="17" fontId="15" fillId="0" borderId="17" xfId="9" applyNumberFormat="1" applyFont="1" applyBorder="1"/>
    <xf numFmtId="0" fontId="4" fillId="0" borderId="22" xfId="13" applyFont="1" applyBorder="1" applyAlignment="1">
      <alignment horizontal="center"/>
    </xf>
    <xf numFmtId="0" fontId="4" fillId="0" borderId="59" xfId="13" applyFont="1" applyBorder="1" applyAlignment="1">
      <alignment horizontal="center"/>
    </xf>
    <xf numFmtId="0" fontId="15" fillId="0" borderId="12" xfId="13" applyFont="1" applyBorder="1" applyAlignment="1">
      <alignment horizontal="center" vertical="center"/>
    </xf>
    <xf numFmtId="0" fontId="15" fillId="0" borderId="11" xfId="13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2" xfId="0" applyFont="1" applyBorder="1"/>
    <xf numFmtId="0" fontId="15" fillId="0" borderId="12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8" borderId="9" xfId="0" applyFont="1" applyFill="1" applyBorder="1"/>
    <xf numFmtId="0" fontId="10" fillId="0" borderId="9" xfId="0" applyFont="1" applyBorder="1"/>
    <xf numFmtId="0" fontId="4" fillId="5" borderId="9" xfId="0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0" fillId="0" borderId="9" xfId="0" applyBorder="1"/>
    <xf numFmtId="0" fontId="4" fillId="0" borderId="25" xfId="0" applyFont="1" applyBorder="1"/>
    <xf numFmtId="0" fontId="4" fillId="0" borderId="26" xfId="0" applyFont="1" applyBorder="1"/>
    <xf numFmtId="0" fontId="4" fillId="8" borderId="26" xfId="0" applyFont="1" applyFill="1" applyBorder="1"/>
    <xf numFmtId="0" fontId="10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5" borderId="28" xfId="0" applyFont="1" applyFill="1" applyBorder="1" applyAlignment="1">
      <alignment horizontal="right"/>
    </xf>
    <xf numFmtId="0" fontId="4" fillId="7" borderId="28" xfId="0" applyFont="1" applyFill="1" applyBorder="1" applyAlignment="1">
      <alignment horizontal="right"/>
    </xf>
    <xf numFmtId="0" fontId="4" fillId="8" borderId="29" xfId="0" applyFont="1" applyFill="1" applyBorder="1"/>
    <xf numFmtId="0" fontId="4" fillId="5" borderId="29" xfId="0" applyFont="1" applyFill="1" applyBorder="1" applyAlignment="1">
      <alignment horizontal="right"/>
    </xf>
    <xf numFmtId="0" fontId="0" fillId="0" borderId="31" xfId="0" applyBorder="1"/>
    <xf numFmtId="0" fontId="4" fillId="7" borderId="31" xfId="0" applyFont="1" applyFill="1" applyBorder="1" applyAlignment="1">
      <alignment horizontal="right"/>
    </xf>
    <xf numFmtId="0" fontId="4" fillId="7" borderId="32" xfId="0" applyFont="1" applyFill="1" applyBorder="1" applyAlignment="1">
      <alignment horizontal="right"/>
    </xf>
    <xf numFmtId="0" fontId="0" fillId="0" borderId="18" xfId="0" applyBorder="1"/>
    <xf numFmtId="0" fontId="0" fillId="0" borderId="57" xfId="0" applyBorder="1"/>
    <xf numFmtId="0" fontId="14" fillId="0" borderId="9" xfId="0" applyFont="1" applyBorder="1"/>
    <xf numFmtId="0" fontId="7" fillId="9" borderId="21" xfId="12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17" fontId="15" fillId="15" borderId="53" xfId="9" applyNumberFormat="1" applyFont="1" applyFill="1" applyBorder="1" applyAlignment="1">
      <alignment horizontal="center" vertical="center"/>
    </xf>
    <xf numFmtId="17" fontId="15" fillId="15" borderId="60" xfId="9" applyNumberFormat="1" applyFont="1" applyFill="1" applyBorder="1" applyAlignment="1">
      <alignment horizontal="center" vertical="center"/>
    </xf>
    <xf numFmtId="0" fontId="9" fillId="20" borderId="8" xfId="12" applyFill="1" applyAlignment="1">
      <alignment horizontal="center" vertical="center"/>
    </xf>
    <xf numFmtId="0" fontId="9" fillId="0" borderId="8" xfId="12" applyFill="1" applyAlignment="1">
      <alignment horizontal="center" vertical="center"/>
    </xf>
    <xf numFmtId="0" fontId="9" fillId="16" borderId="8" xfId="12" applyFill="1" applyAlignment="1">
      <alignment horizontal="center" vertical="center"/>
    </xf>
    <xf numFmtId="17" fontId="15" fillId="15" borderId="8" xfId="9" applyNumberFormat="1" applyFont="1" applyFill="1" applyBorder="1" applyAlignment="1">
      <alignment horizontal="center" vertical="center"/>
    </xf>
    <xf numFmtId="0" fontId="7" fillId="6" borderId="25" xfId="13" applyFont="1" applyFill="1" applyBorder="1" applyAlignment="1">
      <alignment horizontal="center" vertical="center" wrapText="1"/>
    </xf>
    <xf numFmtId="0" fontId="9" fillId="6" borderId="26" xfId="13" applyFont="1" applyFill="1" applyBorder="1" applyAlignment="1">
      <alignment horizontal="center" vertical="center"/>
    </xf>
    <xf numFmtId="0" fontId="9" fillId="6" borderId="27" xfId="13" applyFont="1" applyFill="1" applyBorder="1" applyAlignment="1">
      <alignment horizontal="center" vertical="center"/>
    </xf>
    <xf numFmtId="0" fontId="4" fillId="0" borderId="9" xfId="9" applyFont="1" applyBorder="1" applyAlignment="1">
      <alignment horizontal="center" vertical="center"/>
    </xf>
    <xf numFmtId="0" fontId="16" fillId="0" borderId="9" xfId="9" applyBorder="1" applyAlignment="1">
      <alignment horizontal="center" vertical="center"/>
    </xf>
    <xf numFmtId="0" fontId="4" fillId="0" borderId="29" xfId="9" applyFont="1" applyBorder="1" applyAlignment="1">
      <alignment horizontal="center" vertical="center"/>
    </xf>
    <xf numFmtId="0" fontId="17" fillId="10" borderId="30" xfId="9" applyFont="1" applyFill="1" applyBorder="1" applyAlignment="1">
      <alignment horizontal="center" vertical="center" wrapText="1"/>
    </xf>
    <xf numFmtId="0" fontId="13" fillId="18" borderId="31" xfId="13" applyFont="1" applyFill="1" applyBorder="1" applyAlignment="1">
      <alignment horizontal="center" vertical="center"/>
    </xf>
    <xf numFmtId="0" fontId="13" fillId="18" borderId="32" xfId="13" applyFont="1" applyFill="1" applyBorder="1" applyAlignment="1">
      <alignment horizontal="center" vertical="center"/>
    </xf>
    <xf numFmtId="0" fontId="17" fillId="14" borderId="28" xfId="9" applyFont="1" applyFill="1" applyBorder="1" applyAlignment="1">
      <alignment horizontal="center" vertical="center" wrapText="1"/>
    </xf>
    <xf numFmtId="0" fontId="17" fillId="9" borderId="28" xfId="9" applyFont="1" applyFill="1" applyBorder="1" applyAlignment="1">
      <alignment horizontal="center" vertical="center" wrapText="1"/>
    </xf>
    <xf numFmtId="0" fontId="4" fillId="20" borderId="9" xfId="9" applyFont="1" applyFill="1" applyBorder="1" applyAlignment="1">
      <alignment horizontal="center" vertical="center"/>
    </xf>
    <xf numFmtId="0" fontId="13" fillId="20" borderId="9" xfId="13" applyFont="1" applyFill="1" applyBorder="1" applyAlignment="1">
      <alignment horizontal="center" vertical="center"/>
    </xf>
    <xf numFmtId="0" fontId="13" fillId="20" borderId="29" xfId="13" applyFont="1" applyFill="1" applyBorder="1" applyAlignment="1">
      <alignment horizontal="center" vertical="center"/>
    </xf>
    <xf numFmtId="0" fontId="7" fillId="6" borderId="8" xfId="12" applyFont="1" applyFill="1" applyAlignment="1">
      <alignment horizontal="center" vertical="center" wrapText="1"/>
    </xf>
    <xf numFmtId="0" fontId="7" fillId="0" borderId="8" xfId="12" applyFont="1" applyFill="1" applyAlignment="1">
      <alignment horizontal="center" vertical="center" wrapText="1"/>
    </xf>
    <xf numFmtId="2" fontId="16" fillId="0" borderId="9" xfId="9" applyNumberFormat="1" applyFont="1" applyBorder="1"/>
    <xf numFmtId="0" fontId="16" fillId="0" borderId="9" xfId="9" applyFont="1" applyBorder="1" applyAlignment="1">
      <alignment horizontal="left"/>
    </xf>
    <xf numFmtId="0" fontId="16" fillId="0" borderId="9" xfId="9" applyFont="1" applyBorder="1"/>
    <xf numFmtId="17" fontId="4" fillId="0" borderId="3" xfId="13" applyNumberFormat="1" applyFont="1" applyBorder="1"/>
    <xf numFmtId="17" fontId="4" fillId="0" borderId="9" xfId="9" applyNumberFormat="1" applyFont="1" applyBorder="1"/>
    <xf numFmtId="0" fontId="20" fillId="21" borderId="0" xfId="14"/>
    <xf numFmtId="0" fontId="1" fillId="22" borderId="0" xfId="15"/>
    <xf numFmtId="0" fontId="1" fillId="22" borderId="0" xfId="15" applyBorder="1"/>
    <xf numFmtId="0" fontId="1" fillId="22" borderId="0" xfId="15" applyBorder="1" applyAlignment="1">
      <alignment horizontal="center"/>
    </xf>
    <xf numFmtId="0" fontId="1" fillId="22" borderId="5" xfId="15" applyBorder="1" applyAlignment="1">
      <alignment horizontal="center"/>
    </xf>
    <xf numFmtId="0" fontId="1" fillId="22" borderId="0" xfId="15" applyAlignment="1">
      <alignment horizontal="center"/>
    </xf>
    <xf numFmtId="15" fontId="1" fillId="22" borderId="0" xfId="15" applyNumberFormat="1"/>
    <xf numFmtId="0" fontId="4" fillId="0" borderId="0" xfId="13" applyFont="1" applyBorder="1" applyAlignment="1">
      <alignment horizontal="center"/>
    </xf>
    <xf numFmtId="0" fontId="4" fillId="0" borderId="5" xfId="13" applyFont="1" applyBorder="1" applyAlignment="1">
      <alignment horizontal="center"/>
    </xf>
    <xf numFmtId="0" fontId="4" fillId="0" borderId="0" xfId="13" applyFont="1" applyAlignment="1">
      <alignment horizontal="center"/>
    </xf>
    <xf numFmtId="15" fontId="4" fillId="0" borderId="0" xfId="13" applyNumberFormat="1" applyFont="1"/>
    <xf numFmtId="0" fontId="1" fillId="22" borderId="2" xfId="15" applyBorder="1"/>
    <xf numFmtId="0" fontId="10" fillId="0" borderId="0" xfId="13" applyFont="1"/>
    <xf numFmtId="0" fontId="20" fillId="21" borderId="2" xfId="14" applyBorder="1"/>
    <xf numFmtId="0" fontId="4" fillId="0" borderId="4" xfId="13" applyFont="1" applyBorder="1" applyAlignment="1">
      <alignment horizontal="center"/>
    </xf>
    <xf numFmtId="0" fontId="4" fillId="0" borderId="3" xfId="13" applyFont="1" applyBorder="1" applyAlignment="1">
      <alignment horizontal="center" vertical="center"/>
    </xf>
    <xf numFmtId="0" fontId="4" fillId="0" borderId="6" xfId="13" applyFont="1" applyBorder="1" applyAlignment="1">
      <alignment horizontal="center" vertical="center"/>
    </xf>
    <xf numFmtId="15" fontId="4" fillId="0" borderId="3" xfId="13" applyNumberFormat="1" applyFont="1" applyBorder="1" applyAlignment="1">
      <alignment horizontal="center" vertical="center"/>
    </xf>
    <xf numFmtId="0" fontId="4" fillId="0" borderId="2" xfId="13" applyFont="1" applyBorder="1"/>
    <xf numFmtId="0" fontId="4" fillId="0" borderId="0" xfId="13" applyFont="1" applyAlignment="1">
      <alignment horizontal="center" vertical="center"/>
    </xf>
    <xf numFmtId="0" fontId="6" fillId="0" borderId="0" xfId="13" applyFont="1"/>
    <xf numFmtId="0" fontId="12" fillId="18" borderId="7" xfId="8" applyFont="1" applyFill="1" applyBorder="1" applyAlignment="1">
      <alignment horizontal="left"/>
    </xf>
    <xf numFmtId="0" fontId="12" fillId="18" borderId="47" xfId="8" applyFont="1" applyFill="1" applyBorder="1" applyAlignment="1">
      <alignment horizontal="left"/>
    </xf>
    <xf numFmtId="0" fontId="12" fillId="18" borderId="7" xfId="8" applyFont="1" applyFill="1" applyBorder="1"/>
    <xf numFmtId="0" fontId="12" fillId="18" borderId="47" xfId="8" applyFont="1" applyFill="1" applyBorder="1"/>
    <xf numFmtId="0" fontId="12" fillId="18" borderId="50" xfId="8" applyFont="1" applyFill="1" applyBorder="1"/>
    <xf numFmtId="0" fontId="12" fillId="18" borderId="51" xfId="8" applyFont="1" applyFill="1" applyBorder="1"/>
    <xf numFmtId="0" fontId="12" fillId="18" borderId="44" xfId="8" applyFill="1" applyBorder="1"/>
    <xf numFmtId="0" fontId="12" fillId="18" borderId="45" xfId="8" applyFill="1" applyBorder="1"/>
    <xf numFmtId="0" fontId="12" fillId="18" borderId="19" xfId="8" applyFont="1" applyFill="1" applyBorder="1" applyAlignment="1">
      <alignment horizontal="left"/>
    </xf>
    <xf numFmtId="0" fontId="12" fillId="18" borderId="20" xfId="8" applyFont="1" applyFill="1" applyBorder="1" applyAlignment="1">
      <alignment horizontal="left"/>
    </xf>
    <xf numFmtId="0" fontId="12" fillId="18" borderId="48" xfId="8" applyFont="1" applyFill="1" applyBorder="1" applyAlignment="1">
      <alignment horizontal="left"/>
    </xf>
    <xf numFmtId="0" fontId="7" fillId="12" borderId="8" xfId="11" applyFont="1" applyFill="1" applyBorder="1" applyAlignment="1">
      <alignment horizontal="center"/>
    </xf>
  </cellXfs>
  <cellStyles count="16">
    <cellStyle name="40% - Accent5" xfId="15" builtinId="47"/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Good" xfId="14" builtinId="26"/>
    <cellStyle name="Heading 1" xfId="5" builtinId="16" customBuiltin="1"/>
    <cellStyle name="Heading 2" xfId="6" builtinId="17" customBuiltin="1"/>
    <cellStyle name="Normal" xfId="0" builtinId="0"/>
    <cellStyle name="Normal 2" xfId="13" xr:uid="{20F2AEFE-7F43-8744-9EAD-9BB7E0E58AF0}"/>
    <cellStyle name="Normal 2 3" xfId="9" xr:uid="{E9BBC27F-D1F2-1A44-8456-CDE791F27BDF}"/>
    <cellStyle name="Output" xfId="8" builtinId="21"/>
    <cellStyle name="Style 1" xfId="10" xr:uid="{21183555-E55A-554E-92B7-611B6F340591}"/>
    <cellStyle name="Style 2" xfId="11" xr:uid="{6A971F9B-1D67-F747-AFA8-B7CCB991DF0A}"/>
    <cellStyle name="Style 3" xfId="12" xr:uid="{5B5F3A05-7626-114B-B5F7-761C57326DEF}"/>
    <cellStyle name="Total" xfId="7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</dxfs>
  <tableStyles count="4" defaultTableStyle="TableStyleMedium2" defaultPivotStyle="PivotStyleLight16">
    <tableStyle name="Table Style 1" pivot="0" count="0" xr9:uid="{A5CE421C-5AC5-524D-8D2D-9B42EFBFAEA0}"/>
    <tableStyle name="Table Style 2" pivot="0" count="1" xr9:uid="{F65B4EA3-CBF3-9A42-9174-1D7641347307}">
      <tableStyleElement type="firstColumnStripe" size="6"/>
    </tableStyle>
    <tableStyle name="Table Style 3" pivot="0" count="1" xr9:uid="{6146E685-6427-B34A-BC9A-2B90EEAC9747}">
      <tableStyleElement type="wholeTable" dxfId="8"/>
    </tableStyle>
    <tableStyle name="Table Style 4" pivot="0" count="1" xr9:uid="{62C5680A-A5BB-9140-AB42-E0E839E2862D}">
      <tableStyleElement type="wholeTable" dxfId="7"/>
    </tableStyle>
  </tableStyles>
  <colors>
    <mruColors>
      <color rgb="FFFFA9B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>
                <a:solidFill>
                  <a:schemeClr val="tx1"/>
                </a:solidFill>
              </a:rPr>
              <a:t>Post-release Quality for product ZB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6546046794802"/>
          <c:y val="0.1349146757679181"/>
          <c:w val="0.86753323707184937"/>
          <c:h val="0.6396299481336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'Page 2'!$B$1</c:f>
              <c:strCache>
                <c:ptCount val="1"/>
                <c:pt idx="0">
                  <c:v>Total Defects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2'!$A$2:$A$14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2'!$B$2:$B$14</c:f>
              <c:numCache>
                <c:formatCode>General</c:formatCode>
                <c:ptCount val="13"/>
                <c:pt idx="0">
                  <c:v>55</c:v>
                </c:pt>
                <c:pt idx="1">
                  <c:v>69</c:v>
                </c:pt>
                <c:pt idx="2">
                  <c:v>81</c:v>
                </c:pt>
                <c:pt idx="3">
                  <c:v>90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102</c:v>
                </c:pt>
                <c:pt idx="12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5-A54E-9A2A-9C482A68C966}"/>
            </c:ext>
          </c:extLst>
        </c:ser>
        <c:ser>
          <c:idx val="1"/>
          <c:order val="1"/>
          <c:tx>
            <c:strRef>
              <c:f>'Page 2'!$C$1</c:f>
              <c:strCache>
                <c:ptCount val="1"/>
                <c:pt idx="0">
                  <c:v>Uncorrected Defects (DUNC,T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2'!$A$2:$A$14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2'!$C$2:$C$14</c:f>
              <c:numCache>
                <c:formatCode>General</c:formatCode>
                <c:ptCount val="13"/>
                <c:pt idx="0">
                  <c:v>55</c:v>
                </c:pt>
                <c:pt idx="1">
                  <c:v>61</c:v>
                </c:pt>
                <c:pt idx="2">
                  <c:v>65</c:v>
                </c:pt>
                <c:pt idx="3">
                  <c:v>58</c:v>
                </c:pt>
                <c:pt idx="4">
                  <c:v>52</c:v>
                </c:pt>
                <c:pt idx="5">
                  <c:v>47</c:v>
                </c:pt>
                <c:pt idx="6">
                  <c:v>41</c:v>
                </c:pt>
                <c:pt idx="7">
                  <c:v>42</c:v>
                </c:pt>
                <c:pt idx="8">
                  <c:v>25</c:v>
                </c:pt>
                <c:pt idx="9">
                  <c:v>19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5-A54E-9A2A-9C482A68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90527"/>
        <c:axId val="1150061855"/>
      </c:scatterChart>
      <c:valAx>
        <c:axId val="11528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61855"/>
        <c:crosses val="autoZero"/>
        <c:crossBetween val="midCat"/>
        <c:majorUnit val="1"/>
      </c:valAx>
      <c:valAx>
        <c:axId val="11500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9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/>
              <a:t>Normalized by active number of products</a:t>
            </a:r>
          </a:p>
        </c:rich>
      </c:tx>
      <c:layout>
        <c:manualLayout>
          <c:xMode val="edge"/>
          <c:yMode val="edge"/>
          <c:x val="0.41891595315291463"/>
          <c:y val="9.37382827146606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88733321518093E-2"/>
          <c:y val="6.1693280106453759E-2"/>
          <c:w val="0.92831539948181718"/>
          <c:h val="0.78848405551102529"/>
        </c:manualLayout>
      </c:layout>
      <c:scatterChart>
        <c:scatterStyle val="lineMarker"/>
        <c:varyColors val="0"/>
        <c:ser>
          <c:idx val="2"/>
          <c:order val="0"/>
          <c:tx>
            <c:strRef>
              <c:f>'Page 11'!$D$98</c:f>
              <c:strCache>
                <c:ptCount val="1"/>
                <c:pt idx="0">
                  <c:v>Normalized by active number of products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'Page 11'!$E$95:$AZ$95</c:f>
              <c:numCache>
                <c:formatCode>mmm\-yy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xVal>
          <c:yVal>
            <c:numRef>
              <c:f>'Page 11'!$E$98:$AZ$98</c:f>
              <c:numCache>
                <c:formatCode>General</c:formatCode>
                <c:ptCount val="48"/>
                <c:pt idx="0">
                  <c:v>45</c:v>
                </c:pt>
                <c:pt idx="1">
                  <c:v>40.5</c:v>
                </c:pt>
                <c:pt idx="2">
                  <c:v>40.666666666666664</c:v>
                </c:pt>
                <c:pt idx="3">
                  <c:v>39.333333333333336</c:v>
                </c:pt>
                <c:pt idx="4">
                  <c:v>35.25</c:v>
                </c:pt>
                <c:pt idx="5">
                  <c:v>38</c:v>
                </c:pt>
                <c:pt idx="6">
                  <c:v>39.166666666666664</c:v>
                </c:pt>
                <c:pt idx="7">
                  <c:v>37</c:v>
                </c:pt>
                <c:pt idx="8">
                  <c:v>33.285714285714285</c:v>
                </c:pt>
                <c:pt idx="9">
                  <c:v>28.875</c:v>
                </c:pt>
                <c:pt idx="10">
                  <c:v>25.777777777777779</c:v>
                </c:pt>
                <c:pt idx="11">
                  <c:v>24.5</c:v>
                </c:pt>
                <c:pt idx="12">
                  <c:v>24.2</c:v>
                </c:pt>
                <c:pt idx="13">
                  <c:v>23.6</c:v>
                </c:pt>
                <c:pt idx="14">
                  <c:v>24.2</c:v>
                </c:pt>
                <c:pt idx="15">
                  <c:v>20</c:v>
                </c:pt>
                <c:pt idx="16">
                  <c:v>19.3</c:v>
                </c:pt>
                <c:pt idx="17">
                  <c:v>19.7</c:v>
                </c:pt>
                <c:pt idx="18">
                  <c:v>19.5</c:v>
                </c:pt>
                <c:pt idx="19">
                  <c:v>20.7</c:v>
                </c:pt>
                <c:pt idx="20">
                  <c:v>17.100000000000001</c:v>
                </c:pt>
                <c:pt idx="21">
                  <c:v>16.100000000000001</c:v>
                </c:pt>
                <c:pt idx="22">
                  <c:v>15.8</c:v>
                </c:pt>
                <c:pt idx="23">
                  <c:v>15.4</c:v>
                </c:pt>
                <c:pt idx="24">
                  <c:v>17.3</c:v>
                </c:pt>
                <c:pt idx="25">
                  <c:v>19.899999999999999</c:v>
                </c:pt>
                <c:pt idx="26">
                  <c:v>21.7</c:v>
                </c:pt>
                <c:pt idx="27">
                  <c:v>20</c:v>
                </c:pt>
                <c:pt idx="28">
                  <c:v>22.2</c:v>
                </c:pt>
                <c:pt idx="29">
                  <c:v>24.9</c:v>
                </c:pt>
                <c:pt idx="30">
                  <c:v>28.1</c:v>
                </c:pt>
                <c:pt idx="31">
                  <c:v>34.6</c:v>
                </c:pt>
                <c:pt idx="32">
                  <c:v>38</c:v>
                </c:pt>
                <c:pt idx="33">
                  <c:v>41.7</c:v>
                </c:pt>
                <c:pt idx="34">
                  <c:v>44.3</c:v>
                </c:pt>
                <c:pt idx="35">
                  <c:v>49.5</c:v>
                </c:pt>
                <c:pt idx="36">
                  <c:v>51.222222222222221</c:v>
                </c:pt>
                <c:pt idx="37">
                  <c:v>51</c:v>
                </c:pt>
                <c:pt idx="38">
                  <c:v>53.285714285714285</c:v>
                </c:pt>
                <c:pt idx="39">
                  <c:v>49.142857142857146</c:v>
                </c:pt>
                <c:pt idx="40">
                  <c:v>52.833333333333336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46</c:v>
                </c:pt>
                <c:pt idx="45">
                  <c:v>50</c:v>
                </c:pt>
                <c:pt idx="4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F-AA45-BA70-3678286B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2464"/>
        <c:axId val="123771216"/>
      </c:scatterChart>
      <c:valAx>
        <c:axId val="1541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257622941826817"/>
              <c:y val="0.9252525459864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1216"/>
        <c:crosses val="autoZero"/>
        <c:crossBetween val="midCat"/>
        <c:majorUnit val="30"/>
      </c:valAx>
      <c:valAx>
        <c:axId val="123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Number of Products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Post-release Quality  Average Normalised by size </a:t>
            </a:r>
            <a:endParaRPr lang="en-US" cap="all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3'!$B$68</c:f>
              <c:strCache>
                <c:ptCount val="1"/>
                <c:pt idx="0">
                  <c:v>Total Defects (DNT)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3'!$A$69:$A$81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3'!$B$69:$B$81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9.934042247332318</c:v>
                </c:pt>
                <c:pt idx="2">
                  <c:v>11.514150700350427</c:v>
                </c:pt>
                <c:pt idx="3">
                  <c:v>12.698602632405551</c:v>
                </c:pt>
                <c:pt idx="4">
                  <c:v>13.391644894957357</c:v>
                </c:pt>
                <c:pt idx="5">
                  <c:v>14.068306559583075</c:v>
                </c:pt>
                <c:pt idx="6">
                  <c:v>14.523827369922127</c:v>
                </c:pt>
                <c:pt idx="7">
                  <c:v>15.037067136653622</c:v>
                </c:pt>
                <c:pt idx="8">
                  <c:v>15.20162203734608</c:v>
                </c:pt>
                <c:pt idx="9">
                  <c:v>15.20162203734608</c:v>
                </c:pt>
                <c:pt idx="10">
                  <c:v>15.402152105862715</c:v>
                </c:pt>
                <c:pt idx="11">
                  <c:v>15.451289592437877</c:v>
                </c:pt>
                <c:pt idx="12">
                  <c:v>15.536354729600211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9-A540-815D-CA9CBD4627DE}"/>
            </c:ext>
          </c:extLst>
        </c:ser>
        <c:ser>
          <c:idx val="1"/>
          <c:order val="1"/>
          <c:tx>
            <c:strRef>
              <c:f>'Page 3'!$C$68</c:f>
              <c:strCache>
                <c:ptCount val="1"/>
                <c:pt idx="0">
                  <c:v>Uncorrected Defects (DUNC,NT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3'!$A$69:$A$81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3'!$C$69:$C$81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8.6018040205062611</c:v>
                </c:pt>
                <c:pt idx="2">
                  <c:v>8.6861663269056439</c:v>
                </c:pt>
                <c:pt idx="3">
                  <c:v>8.5851844447199461</c:v>
                </c:pt>
                <c:pt idx="4">
                  <c:v>8.0567062409946057</c:v>
                </c:pt>
                <c:pt idx="5">
                  <c:v>7.5967525116583827</c:v>
                </c:pt>
                <c:pt idx="6">
                  <c:v>6.8868996284183419</c:v>
                </c:pt>
                <c:pt idx="7">
                  <c:v>5.7043453116234426</c:v>
                </c:pt>
                <c:pt idx="8">
                  <c:v>3.9222143526526239</c:v>
                </c:pt>
                <c:pt idx="9">
                  <c:v>2.8627924769764705</c:v>
                </c:pt>
                <c:pt idx="10">
                  <c:v>2.0108886433057021</c:v>
                </c:pt>
                <c:pt idx="11">
                  <c:v>1.4205901118667519</c:v>
                </c:pt>
                <c:pt idx="12">
                  <c:v>1.4594412670972174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9-A540-815D-CA9CBD4627DE}"/>
            </c:ext>
          </c:extLst>
        </c:ser>
        <c:ser>
          <c:idx val="2"/>
          <c:order val="2"/>
          <c:tx>
            <c:strRef>
              <c:f>'Page 3'!$D$68</c:f>
              <c:strCache>
                <c:ptCount val="1"/>
                <c:pt idx="0">
                  <c:v>Total Defects for ZB (DZB)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'Page 3'!$A$69:$A$81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3'!$D$69:$D$81</c:f>
              <c:numCache>
                <c:formatCode>General</c:formatCode>
                <c:ptCount val="13"/>
                <c:pt idx="0">
                  <c:v>8.148148148148147</c:v>
                </c:pt>
                <c:pt idx="1">
                  <c:v>10.222222222222223</c:v>
                </c:pt>
                <c:pt idx="2">
                  <c:v>12</c:v>
                </c:pt>
                <c:pt idx="3">
                  <c:v>13.333333333333334</c:v>
                </c:pt>
                <c:pt idx="4">
                  <c:v>13.777777777777779</c:v>
                </c:pt>
                <c:pt idx="5">
                  <c:v>14.074074074074074</c:v>
                </c:pt>
                <c:pt idx="6">
                  <c:v>14.222222222222223</c:v>
                </c:pt>
                <c:pt idx="7">
                  <c:v>14.666666666666666</c:v>
                </c:pt>
                <c:pt idx="8">
                  <c:v>14.666666666666666</c:v>
                </c:pt>
                <c:pt idx="9">
                  <c:v>14.666666666666666</c:v>
                </c:pt>
                <c:pt idx="10">
                  <c:v>14.814814814814815</c:v>
                </c:pt>
                <c:pt idx="11">
                  <c:v>15.111111111111112</c:v>
                </c:pt>
                <c:pt idx="12">
                  <c:v>15.111111111111112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89-A540-815D-CA9CBD4627DE}"/>
            </c:ext>
          </c:extLst>
        </c:ser>
        <c:ser>
          <c:idx val="3"/>
          <c:order val="3"/>
          <c:tx>
            <c:strRef>
              <c:f>'Page 3'!$E$68</c:f>
              <c:strCache>
                <c:ptCount val="1"/>
                <c:pt idx="0">
                  <c:v>Uncorrected Defects for ZB  (DUNC,ZB 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'Page 3'!$A$69:$A$81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3'!$E$69:$E$81</c:f>
              <c:numCache>
                <c:formatCode>General</c:formatCode>
                <c:ptCount val="13"/>
                <c:pt idx="0">
                  <c:v>8.148148148148147</c:v>
                </c:pt>
                <c:pt idx="1">
                  <c:v>9.0370370370370381</c:v>
                </c:pt>
                <c:pt idx="2">
                  <c:v>9.6296296296296298</c:v>
                </c:pt>
                <c:pt idx="3">
                  <c:v>8.5925925925925934</c:v>
                </c:pt>
                <c:pt idx="4">
                  <c:v>7.7037037037037042</c:v>
                </c:pt>
                <c:pt idx="5">
                  <c:v>6.9629629629629637</c:v>
                </c:pt>
                <c:pt idx="6">
                  <c:v>6.0740740740740735</c:v>
                </c:pt>
                <c:pt idx="7">
                  <c:v>6.2222222222222214</c:v>
                </c:pt>
                <c:pt idx="8">
                  <c:v>3.7037037037037037</c:v>
                </c:pt>
                <c:pt idx="9">
                  <c:v>2.8148148148148149</c:v>
                </c:pt>
                <c:pt idx="10">
                  <c:v>1.925925925925926</c:v>
                </c:pt>
                <c:pt idx="11">
                  <c:v>2.074074074074074</c:v>
                </c:pt>
                <c:pt idx="12">
                  <c:v>2.074074074074074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9-A540-815D-CA9CBD46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60015"/>
        <c:axId val="894661695"/>
      </c:scatterChart>
      <c:valAx>
        <c:axId val="8946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1695"/>
        <c:crosses val="autoZero"/>
        <c:crossBetween val="midCat"/>
        <c:majorUnit val="1"/>
      </c:valAx>
      <c:valAx>
        <c:axId val="8946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per 1000</a:t>
                </a:r>
                <a:r>
                  <a:rPr lang="en-US" baseline="0"/>
                  <a:t> Lines of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Post-release Quality by Development Process</a:t>
            </a:r>
            <a:endParaRPr lang="en-US" cap="all" baseline="0">
              <a:effectLst/>
            </a:endParaRPr>
          </a:p>
        </c:rich>
      </c:tx>
      <c:layout>
        <c:manualLayout>
          <c:xMode val="edge"/>
          <c:yMode val="edge"/>
          <c:x val="0.32248095463463433"/>
          <c:y val="1.8647026111342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4'!$B$91</c:f>
              <c:strCache>
                <c:ptCount val="1"/>
                <c:pt idx="0">
                  <c:v>Total Defects for SCRUM (DSCRUM)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4'!$A$92:$A$104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4'!$B$92:$B$104</c:f>
              <c:numCache>
                <c:formatCode>General</c:formatCode>
                <c:ptCount val="13"/>
                <c:pt idx="0">
                  <c:v>8.684275319379795</c:v>
                </c:pt>
                <c:pt idx="1">
                  <c:v>9.7312476642006445</c:v>
                </c:pt>
                <c:pt idx="2">
                  <c:v>11.274951321586327</c:v>
                </c:pt>
                <c:pt idx="3">
                  <c:v>12.402363491699006</c:v>
                </c:pt>
                <c:pt idx="4">
                  <c:v>13.063370659296716</c:v>
                </c:pt>
                <c:pt idx="5">
                  <c:v>13.72141565676589</c:v>
                </c:pt>
                <c:pt idx="6">
                  <c:v>14.178660805252663</c:v>
                </c:pt>
                <c:pt idx="7">
                  <c:v>14.702606856973947</c:v>
                </c:pt>
                <c:pt idx="8">
                  <c:v>14.865844426585886</c:v>
                </c:pt>
                <c:pt idx="9">
                  <c:v>14.865844426585886</c:v>
                </c:pt>
                <c:pt idx="10">
                  <c:v>15.066297687050419</c:v>
                </c:pt>
                <c:pt idx="11">
                  <c:v>15.103146293712479</c:v>
                </c:pt>
                <c:pt idx="12">
                  <c:v>15.191144711466617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FB47-9456-4CC738829927}"/>
            </c:ext>
          </c:extLst>
        </c:ser>
        <c:ser>
          <c:idx val="1"/>
          <c:order val="1"/>
          <c:tx>
            <c:strRef>
              <c:f>'Page 4'!$C$91</c:f>
              <c:strCache>
                <c:ptCount val="1"/>
                <c:pt idx="0">
                  <c:v>Uncorrected Defects for SCRUM (DUNC,SCRUM)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4'!$A$92:$A$104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4'!$C$92:$C$104</c:f>
              <c:numCache>
                <c:formatCode>General</c:formatCode>
                <c:ptCount val="13"/>
                <c:pt idx="0">
                  <c:v>8.684275319379795</c:v>
                </c:pt>
                <c:pt idx="1">
                  <c:v>8.3950200161793944</c:v>
                </c:pt>
                <c:pt idx="2">
                  <c:v>8.4473331776222782</c:v>
                </c:pt>
                <c:pt idx="3">
                  <c:v>8.293927695561452</c:v>
                </c:pt>
                <c:pt idx="4">
                  <c:v>7.7402344674998043</c:v>
                </c:pt>
                <c:pt idx="5">
                  <c:v>7.2644202647381935</c:v>
                </c:pt>
                <c:pt idx="6">
                  <c:v>6.5510646098720375</c:v>
                </c:pt>
                <c:pt idx="7">
                  <c:v>5.3906573000238032</c:v>
                </c:pt>
                <c:pt idx="8">
                  <c:v>3.6239815673747953</c:v>
                </c:pt>
                <c:pt idx="9">
                  <c:v>2.6329024728964856</c:v>
                </c:pt>
                <c:pt idx="10">
                  <c:v>1.8564972149754708</c:v>
                </c:pt>
                <c:pt idx="11">
                  <c:v>1.2808017517675183</c:v>
                </c:pt>
                <c:pt idx="12">
                  <c:v>1.3209926020059308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FB47-9456-4CC738829927}"/>
            </c:ext>
          </c:extLst>
        </c:ser>
        <c:ser>
          <c:idx val="2"/>
          <c:order val="2"/>
          <c:tx>
            <c:strRef>
              <c:f>'Page 4'!$D$91</c:f>
              <c:strCache>
                <c:ptCount val="1"/>
                <c:pt idx="0">
                  <c:v>Total Defects for Exteme Programming Projects (DEPP)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'Page 4'!$A$92:$A$104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4'!$D$92:$D$104</c:f>
              <c:numCache>
                <c:formatCode>General</c:formatCode>
                <c:ptCount val="13"/>
                <c:pt idx="0">
                  <c:v>8.4781967893017676</c:v>
                </c:pt>
                <c:pt idx="1">
                  <c:v>9.5869402558610215</c:v>
                </c:pt>
                <c:pt idx="2">
                  <c:v>11.149696126799292</c:v>
                </c:pt>
                <c:pt idx="3">
                  <c:v>12.331887780649421</c:v>
                </c:pt>
                <c:pt idx="4">
                  <c:v>13.02009242007083</c:v>
                </c:pt>
                <c:pt idx="5">
                  <c:v>13.633880348993982</c:v>
                </c:pt>
                <c:pt idx="6">
                  <c:v>14.062005325206796</c:v>
                </c:pt>
                <c:pt idx="7">
                  <c:v>14.564207382745128</c:v>
                </c:pt>
                <c:pt idx="8">
                  <c:v>14.720068774266061</c:v>
                </c:pt>
                <c:pt idx="9">
                  <c:v>14.720068774266061</c:v>
                </c:pt>
                <c:pt idx="10">
                  <c:v>14.913145856639593</c:v>
                </c:pt>
                <c:pt idx="11">
                  <c:v>14.963977739303553</c:v>
                </c:pt>
                <c:pt idx="12">
                  <c:v>15.037608340965734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FB47-9456-4CC738829927}"/>
            </c:ext>
          </c:extLst>
        </c:ser>
        <c:ser>
          <c:idx val="3"/>
          <c:order val="3"/>
          <c:tx>
            <c:strRef>
              <c:f>'Page 4'!$E$91</c:f>
              <c:strCache>
                <c:ptCount val="1"/>
                <c:pt idx="0">
                  <c:v>Uncorrected Defects for Extreme Programming Projects (DUNC,EPP)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'Page 4'!$A$92:$A$104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4'!$E$92:$E$104</c:f>
              <c:numCache>
                <c:formatCode>General</c:formatCode>
                <c:ptCount val="13"/>
                <c:pt idx="0">
                  <c:v>8.4781967893017676</c:v>
                </c:pt>
                <c:pt idx="1">
                  <c:v>8.2806018602938316</c:v>
                </c:pt>
                <c:pt idx="2">
                  <c:v>8.3966088439253799</c:v>
                </c:pt>
                <c:pt idx="3">
                  <c:v>8.3352482761470714</c:v>
                </c:pt>
                <c:pt idx="4">
                  <c:v>7.8460179504541916</c:v>
                </c:pt>
                <c:pt idx="5">
                  <c:v>7.3271002994167169</c:v>
                </c:pt>
                <c:pt idx="6">
                  <c:v>6.6215053627316172</c:v>
                </c:pt>
                <c:pt idx="7">
                  <c:v>5.4843802074265486</c:v>
                </c:pt>
                <c:pt idx="8">
                  <c:v>3.7988424337785762</c:v>
                </c:pt>
                <c:pt idx="9">
                  <c:v>2.7747278497457741</c:v>
                </c:pt>
                <c:pt idx="10">
                  <c:v>1.9652871022702665</c:v>
                </c:pt>
                <c:pt idx="11">
                  <c:v>1.4121047134253755</c:v>
                </c:pt>
                <c:pt idx="12">
                  <c:v>1.4379277475718339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C-FB47-9456-4CC73882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04543"/>
        <c:axId val="929919487"/>
      </c:scatterChart>
      <c:valAx>
        <c:axId val="9241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9487"/>
        <c:crosses val="autoZero"/>
        <c:crossBetween val="midCat"/>
        <c:majorUnit val="1"/>
      </c:valAx>
      <c:valAx>
        <c:axId val="9299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Defects per 1000 Lines of code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>
                <a:solidFill>
                  <a:schemeClr val="tx1"/>
                </a:solidFill>
              </a:rPr>
              <a:t>Post-release Quality Average by Programming Language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94643444135961E-2"/>
          <c:y val="8.809976247030879E-2"/>
          <c:w val="0.89587031389862382"/>
          <c:h val="0.77916501444513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'Page 5'!$B$65</c:f>
              <c:strCache>
                <c:ptCount val="1"/>
                <c:pt idx="0">
                  <c:v>Total Defects Java (DJ)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5'!$A$66:$A$78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5'!$B$66:$B$78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9.934042247332318</c:v>
                </c:pt>
                <c:pt idx="2">
                  <c:v>11.514150700350427</c:v>
                </c:pt>
                <c:pt idx="3">
                  <c:v>12.698602632405551</c:v>
                </c:pt>
                <c:pt idx="4">
                  <c:v>13.391644894957357</c:v>
                </c:pt>
                <c:pt idx="5">
                  <c:v>14.068306559583075</c:v>
                </c:pt>
                <c:pt idx="6">
                  <c:v>14.523827369922127</c:v>
                </c:pt>
                <c:pt idx="7">
                  <c:v>15.037067136653622</c:v>
                </c:pt>
                <c:pt idx="8">
                  <c:v>15.20162203734608</c:v>
                </c:pt>
                <c:pt idx="9">
                  <c:v>15.20162203734608</c:v>
                </c:pt>
                <c:pt idx="10">
                  <c:v>15.402152105862715</c:v>
                </c:pt>
                <c:pt idx="11">
                  <c:v>15.451289592437877</c:v>
                </c:pt>
                <c:pt idx="12">
                  <c:v>15.536354729600211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6-A44E-AAAC-EE1312A7D657}"/>
            </c:ext>
          </c:extLst>
        </c:ser>
        <c:ser>
          <c:idx val="1"/>
          <c:order val="1"/>
          <c:tx>
            <c:strRef>
              <c:f>'Page 5'!$C$65</c:f>
              <c:strCache>
                <c:ptCount val="1"/>
                <c:pt idx="0">
                  <c:v>Uncorrected Defects Java (DUNC,J)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5'!$A$66:$A$78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5'!$C$66:$C$78</c:f>
              <c:numCache>
                <c:formatCode>General</c:formatCode>
                <c:ptCount val="13"/>
                <c:pt idx="0">
                  <c:v>8.8205902296583751</c:v>
                </c:pt>
                <c:pt idx="1">
                  <c:v>8.6018040205062611</c:v>
                </c:pt>
                <c:pt idx="2">
                  <c:v>8.6861663269056439</c:v>
                </c:pt>
                <c:pt idx="3">
                  <c:v>8.5851844447199461</c:v>
                </c:pt>
                <c:pt idx="4">
                  <c:v>8.0567062409946057</c:v>
                </c:pt>
                <c:pt idx="5">
                  <c:v>7.5967525116583827</c:v>
                </c:pt>
                <c:pt idx="6">
                  <c:v>6.8868996284183419</c:v>
                </c:pt>
                <c:pt idx="7">
                  <c:v>5.7043453116234426</c:v>
                </c:pt>
                <c:pt idx="8">
                  <c:v>3.9222143526526239</c:v>
                </c:pt>
                <c:pt idx="9">
                  <c:v>2.8627924769764705</c:v>
                </c:pt>
                <c:pt idx="10">
                  <c:v>2.0108886433057021</c:v>
                </c:pt>
                <c:pt idx="11">
                  <c:v>1.4205901118667519</c:v>
                </c:pt>
                <c:pt idx="12">
                  <c:v>1.4594412670972174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6-A44E-AAAC-EE1312A7D657}"/>
            </c:ext>
          </c:extLst>
        </c:ser>
        <c:ser>
          <c:idx val="2"/>
          <c:order val="2"/>
          <c:tx>
            <c:strRef>
              <c:f>'Page 5'!$D$65</c:f>
              <c:strCache>
                <c:ptCount val="1"/>
                <c:pt idx="0">
                  <c:v>Total Defects C++ (DC)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'Page 5'!$A$66:$A$78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5'!$D$66:$D$78</c:f>
              <c:numCache>
                <c:formatCode>General</c:formatCode>
                <c:ptCount val="13"/>
                <c:pt idx="0">
                  <c:v>8.26078052626311</c:v>
                </c:pt>
                <c:pt idx="1">
                  <c:v>9.2802211341335958</c:v>
                </c:pt>
                <c:pt idx="2">
                  <c:v>10.782727453187272</c:v>
                </c:pt>
                <c:pt idx="3">
                  <c:v>11.927759023711985</c:v>
                </c:pt>
                <c:pt idx="4">
                  <c:v>12.577471013836035</c:v>
                </c:pt>
                <c:pt idx="5">
                  <c:v>13.152474860813998</c:v>
                </c:pt>
                <c:pt idx="6">
                  <c:v>13.587495566057189</c:v>
                </c:pt>
                <c:pt idx="7">
                  <c:v>14.070397449162105</c:v>
                </c:pt>
                <c:pt idx="8">
                  <c:v>14.230294591831715</c:v>
                </c:pt>
                <c:pt idx="9">
                  <c:v>14.230294591831715</c:v>
                </c:pt>
                <c:pt idx="10">
                  <c:v>14.420365985248552</c:v>
                </c:pt>
                <c:pt idx="11">
                  <c:v>14.459944118330021</c:v>
                </c:pt>
                <c:pt idx="12">
                  <c:v>14.529230680687544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6-A44E-AAAC-EE1312A7D657}"/>
            </c:ext>
          </c:extLst>
        </c:ser>
        <c:ser>
          <c:idx val="3"/>
          <c:order val="3"/>
          <c:tx>
            <c:strRef>
              <c:f>'Page 5'!$E$65</c:f>
              <c:strCache>
                <c:ptCount val="1"/>
                <c:pt idx="0">
                  <c:v>Uncorrected Defects C++ (DUNC,C)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'Page 5'!$A$66:$A$78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'Page 5'!$E$66:$E$78</c:f>
              <c:numCache>
                <c:formatCode>General</c:formatCode>
                <c:ptCount val="13"/>
                <c:pt idx="0">
                  <c:v>8.26078052626311</c:v>
                </c:pt>
                <c:pt idx="1">
                  <c:v>7.9613667859453763</c:v>
                </c:pt>
                <c:pt idx="2">
                  <c:v>8.0484191939148939</c:v>
                </c:pt>
                <c:pt idx="3">
                  <c:v>7.9397447970551287</c:v>
                </c:pt>
                <c:pt idx="4">
                  <c:v>7.4263619667580691</c:v>
                </c:pt>
                <c:pt idx="5">
                  <c:v>6.8788041291456086</c:v>
                </c:pt>
                <c:pt idx="6">
                  <c:v>6.2022604598684374</c:v>
                </c:pt>
                <c:pt idx="7">
                  <c:v>5.0778841194259199</c:v>
                </c:pt>
                <c:pt idx="8">
                  <c:v>3.4480781835746139</c:v>
                </c:pt>
                <c:pt idx="9">
                  <c:v>2.5195352643436486</c:v>
                </c:pt>
                <c:pt idx="10">
                  <c:v>1.8215679473408892</c:v>
                </c:pt>
                <c:pt idx="11">
                  <c:v>1.2943512446478085</c:v>
                </c:pt>
                <c:pt idx="12">
                  <c:v>1.3220870961384494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6-A44E-AAAC-EE1312A7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3615"/>
        <c:axId val="289725295"/>
      </c:scatterChart>
      <c:valAx>
        <c:axId val="289723615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236900004276773"/>
              <c:y val="0.9087144232870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5295"/>
        <c:crosses val="autoZero"/>
        <c:crossBetween val="midCat"/>
        <c:majorUnit val="1"/>
      </c:valAx>
      <c:valAx>
        <c:axId val="289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Defects per 1000 Lines of code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361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>
                <a:solidFill>
                  <a:schemeClr val="tx1"/>
                </a:solidFill>
              </a:rPr>
              <a:t>Post-Release Quality History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03796487660632E-2"/>
          <c:y val="0.10627507163323782"/>
          <c:w val="0.88901300644439452"/>
          <c:h val="0.69808474155630262"/>
        </c:manualLayout>
      </c:layout>
      <c:lineChart>
        <c:grouping val="standard"/>
        <c:varyColors val="0"/>
        <c:ser>
          <c:idx val="0"/>
          <c:order val="0"/>
          <c:tx>
            <c:strRef>
              <c:f>'Page 6'!$E$2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'Page 6'!$F$1:$H$1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'Page 6'!$F$2:$H$2</c:f>
              <c:numCache>
                <c:formatCode>General</c:formatCode>
                <c:ptCount val="3"/>
                <c:pt idx="0">
                  <c:v>53</c:v>
                </c:pt>
                <c:pt idx="1">
                  <c:v>45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9-A44F-9594-2E3A80CB0E49}"/>
            </c:ext>
          </c:extLst>
        </c:ser>
        <c:ser>
          <c:idx val="1"/>
          <c:order val="1"/>
          <c:tx>
            <c:strRef>
              <c:f>'Page 6'!$E$3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'Page 6'!$F$1:$H$1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'Page 6'!$F$3:$H$3</c:f>
              <c:numCache>
                <c:formatCode>General</c:formatCode>
                <c:ptCount val="3"/>
                <c:pt idx="0">
                  <c:v>67.3</c:v>
                </c:pt>
                <c:pt idx="1">
                  <c:v>53.7</c:v>
                </c:pt>
                <c:pt idx="2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9-A44F-9594-2E3A80CB0E49}"/>
            </c:ext>
          </c:extLst>
        </c:ser>
        <c:ser>
          <c:idx val="2"/>
          <c:order val="2"/>
          <c:tx>
            <c:strRef>
              <c:f>'Page 6'!$E$4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'Page 6'!$F$1:$H$1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'Page 6'!$F$4:$H$4</c:f>
              <c:numCache>
                <c:formatCode>General</c:formatCode>
                <c:ptCount val="3"/>
                <c:pt idx="0">
                  <c:v>86</c:v>
                </c:pt>
                <c:pt idx="1">
                  <c:v>63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9-A44F-9594-2E3A80CB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97808"/>
        <c:axId val="1956318944"/>
      </c:lineChart>
      <c:catAx>
        <c:axId val="18700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884697948138496"/>
              <c:y val="0.8736958238386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8944"/>
        <c:crosses val="autoZero"/>
        <c:auto val="1"/>
        <c:lblAlgn val="ctr"/>
        <c:lblOffset val="100"/>
        <c:noMultiLvlLbl val="0"/>
      </c:catAx>
      <c:valAx>
        <c:axId val="19563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count</a:t>
                </a:r>
              </a:p>
            </c:rich>
          </c:tx>
          <c:layout>
            <c:manualLayout>
              <c:xMode val="edge"/>
              <c:yMode val="edge"/>
              <c:x val="1.8325345362277982E-2"/>
              <c:y val="0.3917501071678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>
                <a:solidFill>
                  <a:schemeClr val="tx1"/>
                </a:solidFill>
              </a:rPr>
              <a:t>Post-Release Quality History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77010695160232E-2"/>
          <c:y val="9.399391789153573E-2"/>
          <c:w val="0.91103117868423833"/>
          <c:h val="0.74869897154898213"/>
        </c:manualLayout>
      </c:layout>
      <c:lineChart>
        <c:grouping val="standard"/>
        <c:varyColors val="0"/>
        <c:ser>
          <c:idx val="0"/>
          <c:order val="0"/>
          <c:tx>
            <c:strRef>
              <c:f>'Page 7'!$F$1:$F$2</c:f>
              <c:strCache>
                <c:ptCount val="2"/>
                <c:pt idx="0">
                  <c:v>Total Number of Defects</c:v>
                </c:pt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 7'!$E$3:$E$11</c:f>
              <c:strCache>
                <c:ptCount val="9"/>
                <c:pt idx="0">
                  <c:v>2015 - Q1</c:v>
                </c:pt>
                <c:pt idx="1">
                  <c:v>2015 - Q2</c:v>
                </c:pt>
                <c:pt idx="2">
                  <c:v>2015 - Q3</c:v>
                </c:pt>
                <c:pt idx="3">
                  <c:v>2016 - Q1</c:v>
                </c:pt>
                <c:pt idx="4">
                  <c:v>2016 - Q2</c:v>
                </c:pt>
                <c:pt idx="5">
                  <c:v>2016 - Q3</c:v>
                </c:pt>
                <c:pt idx="6">
                  <c:v>2017 - Q1</c:v>
                </c:pt>
                <c:pt idx="7">
                  <c:v>2017 - Q2</c:v>
                </c:pt>
                <c:pt idx="8">
                  <c:v>2017 - Q3</c:v>
                </c:pt>
              </c:strCache>
            </c:strRef>
          </c:cat>
          <c:val>
            <c:numRef>
              <c:f>'Page 7'!$F$3:$F$11</c:f>
              <c:numCache>
                <c:formatCode>General</c:formatCode>
                <c:ptCount val="9"/>
                <c:pt idx="0">
                  <c:v>63</c:v>
                </c:pt>
                <c:pt idx="1">
                  <c:v>53</c:v>
                </c:pt>
                <c:pt idx="2">
                  <c:v>60</c:v>
                </c:pt>
                <c:pt idx="3">
                  <c:v>48</c:v>
                </c:pt>
                <c:pt idx="4">
                  <c:v>49</c:v>
                </c:pt>
                <c:pt idx="5">
                  <c:v>45</c:v>
                </c:pt>
                <c:pt idx="6">
                  <c:v>81</c:v>
                </c:pt>
                <c:pt idx="7">
                  <c:v>70</c:v>
                </c:pt>
                <c:pt idx="8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A44D-BAF6-2CE2032F5B24}"/>
            </c:ext>
          </c:extLst>
        </c:ser>
        <c:ser>
          <c:idx val="1"/>
          <c:order val="1"/>
          <c:tx>
            <c:strRef>
              <c:f>'Page 7'!$G$1:$G$2</c:f>
              <c:strCache>
                <c:ptCount val="2"/>
                <c:pt idx="0">
                  <c:v>Total Number of Defects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 7'!$E$3:$E$11</c:f>
              <c:strCache>
                <c:ptCount val="9"/>
                <c:pt idx="0">
                  <c:v>2015 - Q1</c:v>
                </c:pt>
                <c:pt idx="1">
                  <c:v>2015 - Q2</c:v>
                </c:pt>
                <c:pt idx="2">
                  <c:v>2015 - Q3</c:v>
                </c:pt>
                <c:pt idx="3">
                  <c:v>2016 - Q1</c:v>
                </c:pt>
                <c:pt idx="4">
                  <c:v>2016 - Q2</c:v>
                </c:pt>
                <c:pt idx="5">
                  <c:v>2016 - Q3</c:v>
                </c:pt>
                <c:pt idx="6">
                  <c:v>2017 - Q1</c:v>
                </c:pt>
                <c:pt idx="7">
                  <c:v>2017 - Q2</c:v>
                </c:pt>
                <c:pt idx="8">
                  <c:v>2017 - Q3</c:v>
                </c:pt>
              </c:strCache>
            </c:strRef>
          </c:cat>
          <c:val>
            <c:numRef>
              <c:f>'Page 7'!$G$3:$G$11</c:f>
              <c:numCache>
                <c:formatCode>General</c:formatCode>
                <c:ptCount val="9"/>
                <c:pt idx="0">
                  <c:v>67.333333333333329</c:v>
                </c:pt>
                <c:pt idx="1">
                  <c:v>73.333333333333329</c:v>
                </c:pt>
                <c:pt idx="2">
                  <c:v>62.75</c:v>
                </c:pt>
                <c:pt idx="3">
                  <c:v>55.333333333333336</c:v>
                </c:pt>
                <c:pt idx="4">
                  <c:v>55</c:v>
                </c:pt>
                <c:pt idx="5">
                  <c:v>51.5</c:v>
                </c:pt>
                <c:pt idx="6">
                  <c:v>87.333333333333329</c:v>
                </c:pt>
                <c:pt idx="7">
                  <c:v>84.666666666666671</c:v>
                </c:pt>
                <c:pt idx="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A-A44D-BAF6-2CE2032F5B24}"/>
            </c:ext>
          </c:extLst>
        </c:ser>
        <c:ser>
          <c:idx val="2"/>
          <c:order val="2"/>
          <c:tx>
            <c:strRef>
              <c:f>'Page 7'!$H$1:$H$2</c:f>
              <c:strCache>
                <c:ptCount val="2"/>
                <c:pt idx="0">
                  <c:v>Total Number of Defects</c:v>
                </c:pt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 7'!$E$3:$E$11</c:f>
              <c:strCache>
                <c:ptCount val="9"/>
                <c:pt idx="0">
                  <c:v>2015 - Q1</c:v>
                </c:pt>
                <c:pt idx="1">
                  <c:v>2015 - Q2</c:v>
                </c:pt>
                <c:pt idx="2">
                  <c:v>2015 - Q3</c:v>
                </c:pt>
                <c:pt idx="3">
                  <c:v>2016 - Q1</c:v>
                </c:pt>
                <c:pt idx="4">
                  <c:v>2016 - Q2</c:v>
                </c:pt>
                <c:pt idx="5">
                  <c:v>2016 - Q3</c:v>
                </c:pt>
                <c:pt idx="6">
                  <c:v>2017 - Q1</c:v>
                </c:pt>
                <c:pt idx="7">
                  <c:v>2017 - Q2</c:v>
                </c:pt>
                <c:pt idx="8">
                  <c:v>2017 - Q3</c:v>
                </c:pt>
              </c:strCache>
            </c:strRef>
          </c:cat>
          <c:val>
            <c:numRef>
              <c:f>'Page 7'!$H$3:$H$11</c:f>
              <c:numCache>
                <c:formatCode>General</c:formatCode>
                <c:ptCount val="9"/>
                <c:pt idx="0">
                  <c:v>71</c:v>
                </c:pt>
                <c:pt idx="1">
                  <c:v>86</c:v>
                </c:pt>
                <c:pt idx="2">
                  <c:v>66</c:v>
                </c:pt>
                <c:pt idx="3">
                  <c:v>60</c:v>
                </c:pt>
                <c:pt idx="4">
                  <c:v>63</c:v>
                </c:pt>
                <c:pt idx="5">
                  <c:v>58</c:v>
                </c:pt>
                <c:pt idx="6">
                  <c:v>91</c:v>
                </c:pt>
                <c:pt idx="7">
                  <c:v>97</c:v>
                </c:pt>
                <c:pt idx="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A-A44D-BAF6-2CE2032F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96048"/>
        <c:axId val="1924785360"/>
      </c:lineChart>
      <c:catAx>
        <c:axId val="195479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48273700665276476"/>
              <c:y val="0.90148221462180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85360"/>
        <c:crosses val="autoZero"/>
        <c:auto val="1"/>
        <c:lblAlgn val="ctr"/>
        <c:lblOffset val="100"/>
        <c:noMultiLvlLbl val="0"/>
      </c:catAx>
      <c:valAx>
        <c:axId val="19247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count</a:t>
                </a:r>
              </a:p>
            </c:rich>
          </c:tx>
          <c:layout>
            <c:manualLayout>
              <c:xMode val="edge"/>
              <c:yMode val="edge"/>
              <c:x val="8.6947672807693669E-3"/>
              <c:y val="0.41719033726967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/>
              <a:t>Employee Productivity Measure</a:t>
            </a:r>
          </a:p>
        </c:rich>
      </c:tx>
      <c:layout>
        <c:manualLayout>
          <c:xMode val="edge"/>
          <c:yMode val="edge"/>
          <c:x val="0.41440625032908524"/>
          <c:y val="1.1839977575517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8'!$I$68</c:f>
              <c:strCache>
                <c:ptCount val="1"/>
                <c:pt idx="0">
                  <c:v>Total Corrected Defects by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'Page 8'!$J$67:$BD$67</c:f>
              <c:numCache>
                <c:formatCode>mmm\-yy</c:formatCode>
                <c:ptCount val="4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</c:numCache>
            </c:numRef>
          </c:cat>
          <c:val>
            <c:numRef>
              <c:f>'Page 8'!$J$68:$BD$68</c:f>
              <c:numCache>
                <c:formatCode>General</c:formatCode>
                <c:ptCount val="47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17</c:v>
                </c:pt>
                <c:pt idx="4">
                  <c:v>23</c:v>
                </c:pt>
                <c:pt idx="5">
                  <c:v>26</c:v>
                </c:pt>
                <c:pt idx="6">
                  <c:v>41</c:v>
                </c:pt>
                <c:pt idx="7">
                  <c:v>51</c:v>
                </c:pt>
                <c:pt idx="8">
                  <c:v>55</c:v>
                </c:pt>
                <c:pt idx="9">
                  <c:v>56</c:v>
                </c:pt>
                <c:pt idx="10">
                  <c:v>50</c:v>
                </c:pt>
                <c:pt idx="11">
                  <c:v>54</c:v>
                </c:pt>
                <c:pt idx="12">
                  <c:v>53</c:v>
                </c:pt>
                <c:pt idx="13">
                  <c:v>48</c:v>
                </c:pt>
                <c:pt idx="14">
                  <c:v>63</c:v>
                </c:pt>
                <c:pt idx="15">
                  <c:v>51</c:v>
                </c:pt>
                <c:pt idx="16">
                  <c:v>47</c:v>
                </c:pt>
                <c:pt idx="17">
                  <c:v>45</c:v>
                </c:pt>
                <c:pt idx="18">
                  <c:v>48</c:v>
                </c:pt>
                <c:pt idx="19">
                  <c:v>54</c:v>
                </c:pt>
                <c:pt idx="20">
                  <c:v>50</c:v>
                </c:pt>
                <c:pt idx="21">
                  <c:v>50</c:v>
                </c:pt>
                <c:pt idx="22">
                  <c:v>42</c:v>
                </c:pt>
                <c:pt idx="23">
                  <c:v>48</c:v>
                </c:pt>
                <c:pt idx="24">
                  <c:v>38</c:v>
                </c:pt>
                <c:pt idx="25">
                  <c:v>49</c:v>
                </c:pt>
                <c:pt idx="26">
                  <c:v>59</c:v>
                </c:pt>
                <c:pt idx="27">
                  <c:v>44</c:v>
                </c:pt>
                <c:pt idx="28">
                  <c:v>48</c:v>
                </c:pt>
                <c:pt idx="29">
                  <c:v>46</c:v>
                </c:pt>
                <c:pt idx="30">
                  <c:v>44</c:v>
                </c:pt>
                <c:pt idx="31">
                  <c:v>53</c:v>
                </c:pt>
                <c:pt idx="32">
                  <c:v>49</c:v>
                </c:pt>
                <c:pt idx="33">
                  <c:v>61</c:v>
                </c:pt>
                <c:pt idx="34">
                  <c:v>47</c:v>
                </c:pt>
                <c:pt idx="35">
                  <c:v>73</c:v>
                </c:pt>
                <c:pt idx="36">
                  <c:v>55</c:v>
                </c:pt>
                <c:pt idx="37">
                  <c:v>52</c:v>
                </c:pt>
                <c:pt idx="38">
                  <c:v>42</c:v>
                </c:pt>
                <c:pt idx="39">
                  <c:v>37</c:v>
                </c:pt>
                <c:pt idx="40">
                  <c:v>53</c:v>
                </c:pt>
                <c:pt idx="41">
                  <c:v>31</c:v>
                </c:pt>
                <c:pt idx="42">
                  <c:v>22</c:v>
                </c:pt>
                <c:pt idx="43">
                  <c:v>21</c:v>
                </c:pt>
                <c:pt idx="44">
                  <c:v>25</c:v>
                </c:pt>
                <c:pt idx="4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142-8611-7C9E157FC46E}"/>
            </c:ext>
          </c:extLst>
        </c:ser>
        <c:ser>
          <c:idx val="1"/>
          <c:order val="1"/>
          <c:tx>
            <c:strRef>
              <c:f>'Page 8'!$I$69</c:f>
              <c:strCache>
                <c:ptCount val="1"/>
                <c:pt idx="0">
                  <c:v>Total bug fixing team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'Page 8'!$J$67:$BD$67</c:f>
              <c:numCache>
                <c:formatCode>mmm\-yy</c:formatCode>
                <c:ptCount val="4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</c:numCache>
            </c:numRef>
          </c:cat>
          <c:val>
            <c:numRef>
              <c:f>'Page 8'!$J$69:$BD$69</c:f>
              <c:numCache>
                <c:formatCode>General</c:formatCode>
                <c:ptCount val="4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26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30</c:v>
                </c:pt>
                <c:pt idx="16">
                  <c:v>32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31</c:v>
                </c:pt>
                <c:pt idx="26">
                  <c:v>29</c:v>
                </c:pt>
                <c:pt idx="27">
                  <c:v>23</c:v>
                </c:pt>
                <c:pt idx="28">
                  <c:v>27</c:v>
                </c:pt>
                <c:pt idx="29">
                  <c:v>25</c:v>
                </c:pt>
                <c:pt idx="30">
                  <c:v>28</c:v>
                </c:pt>
                <c:pt idx="31">
                  <c:v>30</c:v>
                </c:pt>
                <c:pt idx="32">
                  <c:v>25</c:v>
                </c:pt>
                <c:pt idx="33">
                  <c:v>29</c:v>
                </c:pt>
                <c:pt idx="34">
                  <c:v>27</c:v>
                </c:pt>
                <c:pt idx="35">
                  <c:v>27</c:v>
                </c:pt>
                <c:pt idx="36">
                  <c:v>24</c:v>
                </c:pt>
                <c:pt idx="37">
                  <c:v>22</c:v>
                </c:pt>
                <c:pt idx="38">
                  <c:v>22</c:v>
                </c:pt>
                <c:pt idx="39">
                  <c:v>19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D-4142-8611-7C9E157FC46E}"/>
            </c:ext>
          </c:extLst>
        </c:ser>
        <c:ser>
          <c:idx val="2"/>
          <c:order val="2"/>
          <c:tx>
            <c:strRef>
              <c:f>'Page 8'!$I$70</c:f>
              <c:strCache>
                <c:ptCount val="1"/>
                <c:pt idx="0">
                  <c:v>Employee Productivity 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'Page 8'!$J$67:$BD$67</c:f>
              <c:numCache>
                <c:formatCode>mmm\-yy</c:formatCode>
                <c:ptCount val="47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</c:numCache>
            </c:numRef>
          </c:cat>
          <c:val>
            <c:numRef>
              <c:f>'Page 8'!$J$70:$BD$70</c:f>
              <c:numCache>
                <c:formatCode>General</c:formatCode>
                <c:ptCount val="47"/>
                <c:pt idx="0">
                  <c:v>1.25</c:v>
                </c:pt>
                <c:pt idx="1">
                  <c:v>1.5714285714285714</c:v>
                </c:pt>
                <c:pt idx="2">
                  <c:v>2.2222222222222223</c:v>
                </c:pt>
                <c:pt idx="3">
                  <c:v>1.8888888888888888</c:v>
                </c:pt>
                <c:pt idx="4">
                  <c:v>2.0909090909090908</c:v>
                </c:pt>
                <c:pt idx="5">
                  <c:v>1.8571428571428572</c:v>
                </c:pt>
                <c:pt idx="6">
                  <c:v>2.2777777777777777</c:v>
                </c:pt>
                <c:pt idx="7">
                  <c:v>2.3181818181818183</c:v>
                </c:pt>
                <c:pt idx="8">
                  <c:v>2.5</c:v>
                </c:pt>
                <c:pt idx="9">
                  <c:v>2.2400000000000002</c:v>
                </c:pt>
                <c:pt idx="10">
                  <c:v>1.8518518518518519</c:v>
                </c:pt>
                <c:pt idx="11">
                  <c:v>2.0769230769230771</c:v>
                </c:pt>
                <c:pt idx="12">
                  <c:v>1.8928571428571428</c:v>
                </c:pt>
                <c:pt idx="13">
                  <c:v>1.7142857142857142</c:v>
                </c:pt>
                <c:pt idx="14">
                  <c:v>1.96875</c:v>
                </c:pt>
                <c:pt idx="15">
                  <c:v>1.7</c:v>
                </c:pt>
                <c:pt idx="16">
                  <c:v>1.46875</c:v>
                </c:pt>
                <c:pt idx="17">
                  <c:v>1.875</c:v>
                </c:pt>
                <c:pt idx="18">
                  <c:v>1.7142857142857142</c:v>
                </c:pt>
                <c:pt idx="19">
                  <c:v>1.8</c:v>
                </c:pt>
                <c:pt idx="20">
                  <c:v>1.7857142857142858</c:v>
                </c:pt>
                <c:pt idx="21">
                  <c:v>1.8518518518518519</c:v>
                </c:pt>
                <c:pt idx="22">
                  <c:v>1.5555555555555556</c:v>
                </c:pt>
                <c:pt idx="23">
                  <c:v>1.7777777777777777</c:v>
                </c:pt>
                <c:pt idx="24">
                  <c:v>1.4074074074074074</c:v>
                </c:pt>
                <c:pt idx="25">
                  <c:v>1.5806451612903225</c:v>
                </c:pt>
                <c:pt idx="26">
                  <c:v>2.0344827586206895</c:v>
                </c:pt>
                <c:pt idx="27">
                  <c:v>1.9130434782608696</c:v>
                </c:pt>
                <c:pt idx="28">
                  <c:v>1.7777777777777777</c:v>
                </c:pt>
                <c:pt idx="29">
                  <c:v>1.84</c:v>
                </c:pt>
                <c:pt idx="30">
                  <c:v>1.5714285714285714</c:v>
                </c:pt>
                <c:pt idx="31">
                  <c:v>1.7666666666666666</c:v>
                </c:pt>
                <c:pt idx="32">
                  <c:v>1.96</c:v>
                </c:pt>
                <c:pt idx="33">
                  <c:v>2.103448275862069</c:v>
                </c:pt>
                <c:pt idx="34">
                  <c:v>1.7407407407407407</c:v>
                </c:pt>
                <c:pt idx="35">
                  <c:v>2.7037037037037037</c:v>
                </c:pt>
                <c:pt idx="36">
                  <c:v>2.2916666666666665</c:v>
                </c:pt>
                <c:pt idx="37">
                  <c:v>2.3636363636363638</c:v>
                </c:pt>
                <c:pt idx="38">
                  <c:v>1.9090909090909092</c:v>
                </c:pt>
                <c:pt idx="39">
                  <c:v>1.9473684210526316</c:v>
                </c:pt>
                <c:pt idx="40">
                  <c:v>3.5333333333333332</c:v>
                </c:pt>
                <c:pt idx="41">
                  <c:v>2.5833333333333335</c:v>
                </c:pt>
                <c:pt idx="42">
                  <c:v>2.2000000000000002</c:v>
                </c:pt>
                <c:pt idx="43">
                  <c:v>2.1</c:v>
                </c:pt>
                <c:pt idx="44">
                  <c:v>4.166666666666667</c:v>
                </c:pt>
                <c:pt idx="4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D-4142-8611-7C9E157F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733471"/>
        <c:axId val="810365855"/>
      </c:barChart>
      <c:dateAx>
        <c:axId val="8927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65855"/>
        <c:crosses val="autoZero"/>
        <c:auto val="1"/>
        <c:lblOffset val="100"/>
        <c:baseTimeUnit val="months"/>
      </c:dateAx>
      <c:valAx>
        <c:axId val="810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cap="all" baseline="0">
                <a:solidFill>
                  <a:schemeClr val="tx1"/>
                </a:solidFill>
              </a:rPr>
              <a:t>Current Quality Total</a:t>
            </a:r>
          </a:p>
        </c:rich>
      </c:tx>
      <c:layout>
        <c:manualLayout>
          <c:xMode val="edge"/>
          <c:yMode val="edge"/>
          <c:x val="0.39444550401337275"/>
          <c:y val="1.0917030567685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Current Quaity Total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'Page 9'!$E$3:$AZ$3</c:f>
              <c:numCache>
                <c:formatCode>mmm\-yy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'Page 9'!$E$96:$AY$96</c:f>
              <c:numCache>
                <c:formatCode>General</c:formatCode>
                <c:ptCount val="47"/>
                <c:pt idx="0">
                  <c:v>45</c:v>
                </c:pt>
                <c:pt idx="1">
                  <c:v>81</c:v>
                </c:pt>
                <c:pt idx="2">
                  <c:v>122</c:v>
                </c:pt>
                <c:pt idx="3">
                  <c:v>118</c:v>
                </c:pt>
                <c:pt idx="4">
                  <c:v>141</c:v>
                </c:pt>
                <c:pt idx="5">
                  <c:v>190</c:v>
                </c:pt>
                <c:pt idx="6">
                  <c:v>235</c:v>
                </c:pt>
                <c:pt idx="7">
                  <c:v>259</c:v>
                </c:pt>
                <c:pt idx="8">
                  <c:v>233</c:v>
                </c:pt>
                <c:pt idx="9">
                  <c:v>231</c:v>
                </c:pt>
                <c:pt idx="10">
                  <c:v>232</c:v>
                </c:pt>
                <c:pt idx="11">
                  <c:v>245</c:v>
                </c:pt>
                <c:pt idx="12">
                  <c:v>242</c:v>
                </c:pt>
                <c:pt idx="13">
                  <c:v>236</c:v>
                </c:pt>
                <c:pt idx="14">
                  <c:v>242</c:v>
                </c:pt>
                <c:pt idx="15">
                  <c:v>200</c:v>
                </c:pt>
                <c:pt idx="16">
                  <c:v>193</c:v>
                </c:pt>
                <c:pt idx="17">
                  <c:v>197</c:v>
                </c:pt>
                <c:pt idx="18">
                  <c:v>195</c:v>
                </c:pt>
                <c:pt idx="19">
                  <c:v>207</c:v>
                </c:pt>
                <c:pt idx="20">
                  <c:v>171</c:v>
                </c:pt>
                <c:pt idx="21">
                  <c:v>161</c:v>
                </c:pt>
                <c:pt idx="22">
                  <c:v>158</c:v>
                </c:pt>
                <c:pt idx="23">
                  <c:v>154</c:v>
                </c:pt>
                <c:pt idx="24">
                  <c:v>173</c:v>
                </c:pt>
                <c:pt idx="25">
                  <c:v>199</c:v>
                </c:pt>
                <c:pt idx="26">
                  <c:v>217</c:v>
                </c:pt>
                <c:pt idx="27">
                  <c:v>200</c:v>
                </c:pt>
                <c:pt idx="28">
                  <c:v>222</c:v>
                </c:pt>
                <c:pt idx="29">
                  <c:v>249</c:v>
                </c:pt>
                <c:pt idx="30">
                  <c:v>281</c:v>
                </c:pt>
                <c:pt idx="31">
                  <c:v>346</c:v>
                </c:pt>
                <c:pt idx="32">
                  <c:v>380</c:v>
                </c:pt>
                <c:pt idx="33">
                  <c:v>417</c:v>
                </c:pt>
                <c:pt idx="34">
                  <c:v>443</c:v>
                </c:pt>
                <c:pt idx="35">
                  <c:v>495</c:v>
                </c:pt>
                <c:pt idx="36">
                  <c:v>461</c:v>
                </c:pt>
                <c:pt idx="37">
                  <c:v>408</c:v>
                </c:pt>
                <c:pt idx="38">
                  <c:v>373</c:v>
                </c:pt>
                <c:pt idx="39">
                  <c:v>344</c:v>
                </c:pt>
                <c:pt idx="40">
                  <c:v>317</c:v>
                </c:pt>
                <c:pt idx="41">
                  <c:v>255</c:v>
                </c:pt>
                <c:pt idx="42">
                  <c:v>200</c:v>
                </c:pt>
                <c:pt idx="43">
                  <c:v>156</c:v>
                </c:pt>
                <c:pt idx="44">
                  <c:v>138</c:v>
                </c:pt>
                <c:pt idx="45">
                  <c:v>100</c:v>
                </c:pt>
                <c:pt idx="46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C1-E340-AD4D-7E9F1963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60944"/>
        <c:axId val="308362912"/>
      </c:lineChart>
      <c:dateAx>
        <c:axId val="3083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7492967053579888"/>
              <c:y val="0.91909337633186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2912"/>
        <c:crosses val="autoZero"/>
        <c:auto val="1"/>
        <c:lblOffset val="100"/>
        <c:baseTimeUnit val="months"/>
      </c:dateAx>
      <c:valAx>
        <c:axId val="308362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uncorrected defects</a:t>
                </a:r>
              </a:p>
            </c:rich>
          </c:tx>
          <c:layout>
            <c:manualLayout>
              <c:xMode val="edge"/>
              <c:yMode val="edge"/>
              <c:x val="0.96736827121155211"/>
              <c:y val="0.35287111682928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0944"/>
        <c:crosses val="max"/>
        <c:crossBetween val="between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cap="all" baseline="0">
                <a:solidFill>
                  <a:schemeClr val="tx1"/>
                </a:solidFill>
              </a:rPr>
              <a:t>Current Quality Normalised by Size</a:t>
            </a:r>
          </a:p>
        </c:rich>
      </c:tx>
      <c:layout>
        <c:manualLayout>
          <c:xMode val="edge"/>
          <c:yMode val="edge"/>
          <c:x val="0.42445002940961718"/>
          <c:y val="1.9417174399021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54495599525154E-2"/>
          <c:y val="5.8481625347769406E-2"/>
          <c:w val="0.9195451941168804"/>
          <c:h val="0.76776335155782194"/>
        </c:manualLayout>
      </c:layout>
      <c:scatterChart>
        <c:scatterStyle val="smoothMarker"/>
        <c:varyColors val="0"/>
        <c:ser>
          <c:idx val="0"/>
          <c:order val="0"/>
          <c:tx>
            <c:v>Current Quality Normalised by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9'!$E$3:$AZ$3</c:f>
              <c:numCache>
                <c:formatCode>mmm\-yy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xVal>
          <c:yVal>
            <c:numRef>
              <c:f>'Page 10'!$E$99:$AY$99</c:f>
              <c:numCache>
                <c:formatCode>General</c:formatCode>
                <c:ptCount val="47"/>
                <c:pt idx="0">
                  <c:v>18.75</c:v>
                </c:pt>
                <c:pt idx="1">
                  <c:v>13.106796116504855</c:v>
                </c:pt>
                <c:pt idx="2">
                  <c:v>11.324607815835886</c:v>
                </c:pt>
                <c:pt idx="3">
                  <c:v>10.953309198923233</c:v>
                </c:pt>
                <c:pt idx="4">
                  <c:v>9.7490147272350143</c:v>
                </c:pt>
                <c:pt idx="5">
                  <c:v>10.072628956157558</c:v>
                </c:pt>
                <c:pt idx="6">
                  <c:v>10.080212756830951</c:v>
                </c:pt>
                <c:pt idx="7">
                  <c:v>9.1720376797223597</c:v>
                </c:pt>
                <c:pt idx="8">
                  <c:v>8.2512925844606553</c:v>
                </c:pt>
                <c:pt idx="9">
                  <c:v>6.8175781365286428</c:v>
                </c:pt>
                <c:pt idx="10">
                  <c:v>5.7702830423319904</c:v>
                </c:pt>
                <c:pt idx="11">
                  <c:v>5.5662842212881971</c:v>
                </c:pt>
                <c:pt idx="12">
                  <c:v>5.4363697630012355</c:v>
                </c:pt>
                <c:pt idx="13">
                  <c:v>5.2992028741439317</c:v>
                </c:pt>
                <c:pt idx="14">
                  <c:v>5.3590805412228448</c:v>
                </c:pt>
                <c:pt idx="15">
                  <c:v>4.4289921828287966</c:v>
                </c:pt>
                <c:pt idx="16">
                  <c:v>4.254193576828972</c:v>
                </c:pt>
                <c:pt idx="17">
                  <c:v>4.276380055137083</c:v>
                </c:pt>
                <c:pt idx="18">
                  <c:v>4.1536200396191454</c:v>
                </c:pt>
                <c:pt idx="19">
                  <c:v>4.3600058975925187</c:v>
                </c:pt>
                <c:pt idx="20">
                  <c:v>3.601744002359037</c:v>
                </c:pt>
                <c:pt idx="21">
                  <c:v>3.3519320453031312</c:v>
                </c:pt>
                <c:pt idx="22">
                  <c:v>3.2371079104263556</c:v>
                </c:pt>
                <c:pt idx="23">
                  <c:v>3.1298268433460694</c:v>
                </c:pt>
                <c:pt idx="24">
                  <c:v>3.4946670976082741</c:v>
                </c:pt>
                <c:pt idx="25">
                  <c:v>3.9231921772730858</c:v>
                </c:pt>
                <c:pt idx="26">
                  <c:v>4.2541512282146288</c:v>
                </c:pt>
                <c:pt idx="27">
                  <c:v>3.9208767080319165</c:v>
                </c:pt>
                <c:pt idx="28">
                  <c:v>4.3015753066325644</c:v>
                </c:pt>
                <c:pt idx="29">
                  <c:v>4.7784451822142051</c:v>
                </c:pt>
                <c:pt idx="30">
                  <c:v>5.36474541323813</c:v>
                </c:pt>
                <c:pt idx="31">
                  <c:v>6.5253470126735067</c:v>
                </c:pt>
                <c:pt idx="32">
                  <c:v>7.1665660832830422</c:v>
                </c:pt>
                <c:pt idx="33">
                  <c:v>7.7836263859334753</c:v>
                </c:pt>
                <c:pt idx="34">
                  <c:v>8.2070473155730106</c:v>
                </c:pt>
                <c:pt idx="35">
                  <c:v>9.048367637919057</c:v>
                </c:pt>
                <c:pt idx="36">
                  <c:v>8.9504135440531201</c:v>
                </c:pt>
                <c:pt idx="37">
                  <c:v>8.7768360366561975</c:v>
                </c:pt>
                <c:pt idx="38">
                  <c:v>9.1006685209583758</c:v>
                </c:pt>
                <c:pt idx="39">
                  <c:v>8.3931098423852042</c:v>
                </c:pt>
                <c:pt idx="40">
                  <c:v>8.6882639916680375</c:v>
                </c:pt>
                <c:pt idx="41">
                  <c:v>8.25616784303568</c:v>
                </c:pt>
                <c:pt idx="42">
                  <c:v>7.909515146721505</c:v>
                </c:pt>
                <c:pt idx="43">
                  <c:v>6.1694218144427753</c:v>
                </c:pt>
                <c:pt idx="44">
                  <c:v>7.1927447096841446</c:v>
                </c:pt>
                <c:pt idx="45">
                  <c:v>8.0411707944676749</c:v>
                </c:pt>
                <c:pt idx="46">
                  <c:v>12.773722627737227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F-8144-8C17-0BDB6A72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4328"/>
        <c:axId val="560388592"/>
      </c:scatterChart>
      <c:valAx>
        <c:axId val="5603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052926917046708"/>
              <c:y val="0.8912043098140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8592"/>
        <c:crosses val="autoZero"/>
        <c:crossBetween val="midCat"/>
        <c:majorUnit val="30"/>
      </c:valAx>
      <c:valAx>
        <c:axId val="560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uncorrected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432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6317310799601041"/>
          <c:y val="0.9109125565969135"/>
          <c:w val="0.21551880807314053"/>
          <c:h val="7.70638001119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302499</xdr:colOff>
      <xdr:row>7</xdr:row>
      <xdr:rowOff>63500</xdr:rowOff>
    </xdr:from>
    <xdr:ext cx="9319411" cy="87504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D4867C2-7D41-AD4C-BD4C-21C4DAA8E6BC}"/>
            </a:ext>
          </a:extLst>
        </xdr:cNvPr>
        <xdr:cNvSpPr/>
      </xdr:nvSpPr>
      <xdr:spPr>
        <a:xfrm>
          <a:off x="302499" y="1219200"/>
          <a:ext cx="9319411" cy="87504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0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Defect</a:t>
          </a:r>
          <a:r>
            <a:rPr lang="en-US" sz="5000" b="0" cap="none" spc="0" baseline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Recording and Analysis Tool</a:t>
          </a:r>
          <a:endParaRPr lang="en-US" sz="5000" b="0" cap="none" spc="0">
            <a:ln w="0"/>
            <a:solidFill>
              <a:sysClr val="windowText" lastClr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279400</xdr:colOff>
      <xdr:row>14</xdr:row>
      <xdr:rowOff>63500</xdr:rowOff>
    </xdr:from>
    <xdr:ext cx="872034" cy="46801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84CB86-3FCC-DC48-8D76-DB9D1D70F171}"/>
            </a:ext>
          </a:extLst>
        </xdr:cNvPr>
        <xdr:cNvSpPr/>
      </xdr:nvSpPr>
      <xdr:spPr>
        <a:xfrm>
          <a:off x="3581400" y="2374900"/>
          <a:ext cx="87203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Index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514864</xdr:colOff>
      <xdr:row>103</xdr:row>
      <xdr:rowOff>121506</xdr:rowOff>
    </xdr:from>
    <xdr:to>
      <xdr:col>45</xdr:col>
      <xdr:colOff>105833</xdr:colOff>
      <xdr:row>186</xdr:row>
      <xdr:rowOff>26459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828D9-E5A5-BF43-B564-6724F612C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99</xdr:row>
      <xdr:rowOff>114300</xdr:rowOff>
    </xdr:from>
    <xdr:to>
      <xdr:col>32</xdr:col>
      <xdr:colOff>228600</xdr:colOff>
      <xdr:row>141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3D599-B41F-014B-A198-023E3895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788670</xdr:colOff>
      <xdr:row>2</xdr:row>
      <xdr:rowOff>15240</xdr:rowOff>
    </xdr:from>
    <xdr:to>
      <xdr:col>13</xdr:col>
      <xdr:colOff>520700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61715-1BD8-664B-B6F6-C0CEBC71B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72</xdr:row>
      <xdr:rowOff>50800</xdr:rowOff>
    </xdr:from>
    <xdr:to>
      <xdr:col>15</xdr:col>
      <xdr:colOff>571500</xdr:colOff>
      <xdr:row>114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EA5E3-3042-2E4D-BAE2-4A3D6966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643658</xdr:colOff>
      <xdr:row>105</xdr:row>
      <xdr:rowOff>6637</xdr:rowOff>
    </xdr:from>
    <xdr:to>
      <xdr:col>4</xdr:col>
      <xdr:colOff>1659659</xdr:colOff>
      <xdr:row>156</xdr:row>
      <xdr:rowOff>28862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A68A6-55A4-9342-A150-30554D9D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64</xdr:row>
      <xdr:rowOff>307340</xdr:rowOff>
    </xdr:from>
    <xdr:to>
      <xdr:col>16</xdr:col>
      <xdr:colOff>800100</xdr:colOff>
      <xdr:row>108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4C1F5A-F1BE-A340-8316-9E51A4CA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5</xdr:row>
      <xdr:rowOff>137160</xdr:rowOff>
    </xdr:from>
    <xdr:to>
      <xdr:col>15</xdr:col>
      <xdr:colOff>698500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967B1-0EF3-D947-BA7C-A3DCB47C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13</xdr:row>
      <xdr:rowOff>101600</xdr:rowOff>
    </xdr:from>
    <xdr:to>
      <xdr:col>18</xdr:col>
      <xdr:colOff>213360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57132-ADF1-814C-8938-AD3E885A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150090</xdr:colOff>
      <xdr:row>80</xdr:row>
      <xdr:rowOff>114299</xdr:rowOff>
    </xdr:from>
    <xdr:to>
      <xdr:col>38</xdr:col>
      <xdr:colOff>50799</xdr:colOff>
      <xdr:row>123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A3F3A-FCAB-1541-8751-7214A806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561886</xdr:colOff>
      <xdr:row>98</xdr:row>
      <xdr:rowOff>1815</xdr:rowOff>
    </xdr:from>
    <xdr:to>
      <xdr:col>36</xdr:col>
      <xdr:colOff>287384</xdr:colOff>
      <xdr:row>137</xdr:row>
      <xdr:rowOff>47535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C5CB4-852E-0044-8316-45AF5A3BE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93BDC-FC19-0745-A28F-417CAB23E083}" name="Table1" displayName="Table1" ref="A65:E78" totalsRowShown="0" headerRowDxfId="6" dataDxfId="5">
  <tableColumns count="5">
    <tableColumn id="1" xr3:uid="{2014CA91-B701-C145-8788-6C37ACDA78C0}" name="   Month" dataDxfId="4"/>
    <tableColumn id="2" xr3:uid="{28650C5B-474F-B74F-8870-F6ACBD904E1B}" name="Total Defects Java (DJ)" dataDxfId="3"/>
    <tableColumn id="3" xr3:uid="{862410C8-ABEA-BD44-9012-6D95F76AAE49}" name="Uncorrected Defects Java (DUNC,J)" dataDxfId="2"/>
    <tableColumn id="4" xr3:uid="{1C259E27-EA40-3747-BF6F-38DE353C8209}" name="Total Defects C++ (DC)" dataDxfId="1"/>
    <tableColumn id="5" xr3:uid="{A2F4A004-3D6A-2546-A791-8887AEC4D94E}" name="Uncorrected Defects C++ (DUNC,C)" dataDxfId="0"/>
  </tableColumns>
  <tableStyleInfo name="Table Style 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4E35-2E07-754E-917A-6061E9AA7753}">
  <dimension ref="C20:M46"/>
  <sheetViews>
    <sheetView tabSelected="1" topLeftCell="A13" workbookViewId="0">
      <selection activeCell="D29" sqref="D29:G29"/>
    </sheetView>
  </sheetViews>
  <sheetFormatPr defaultColWidth="11.44140625" defaultRowHeight="13.2" x14ac:dyDescent="0.25"/>
  <cols>
    <col min="7" max="7" width="36" customWidth="1"/>
    <col min="8" max="8" width="12.109375" bestFit="1" customWidth="1"/>
  </cols>
  <sheetData>
    <row r="20" spans="3:13" ht="13.8" thickBot="1" x14ac:dyDescent="0.3"/>
    <row r="21" spans="3:13" ht="15.6" x14ac:dyDescent="0.3">
      <c r="C21" s="161" t="s">
        <v>99</v>
      </c>
      <c r="D21" s="272" t="s">
        <v>100</v>
      </c>
      <c r="E21" s="272"/>
      <c r="F21" s="272"/>
      <c r="G21" s="273"/>
      <c r="H21" s="13"/>
      <c r="I21" s="13"/>
      <c r="J21" s="13"/>
      <c r="K21" s="13"/>
      <c r="L21" s="13"/>
      <c r="M21" s="13"/>
    </row>
    <row r="22" spans="3:13" ht="15.6" x14ac:dyDescent="0.3">
      <c r="C22" s="162" t="s">
        <v>101</v>
      </c>
      <c r="D22" s="268" t="s">
        <v>112</v>
      </c>
      <c r="E22" s="268"/>
      <c r="F22" s="268"/>
      <c r="G22" s="269"/>
      <c r="H22" s="13"/>
      <c r="I22" s="13"/>
      <c r="J22" s="13"/>
      <c r="K22" s="13"/>
      <c r="L22" s="13"/>
      <c r="M22" s="13"/>
    </row>
    <row r="23" spans="3:13" ht="15.6" x14ac:dyDescent="0.3">
      <c r="C23" s="162" t="s">
        <v>102</v>
      </c>
      <c r="D23" s="268" t="s">
        <v>113</v>
      </c>
      <c r="E23" s="268"/>
      <c r="F23" s="268"/>
      <c r="G23" s="269"/>
      <c r="H23" s="13"/>
      <c r="I23" s="13"/>
      <c r="J23" s="13"/>
      <c r="K23" s="13"/>
      <c r="L23" s="13"/>
      <c r="M23" s="13"/>
    </row>
    <row r="24" spans="3:13" ht="15.6" x14ac:dyDescent="0.3">
      <c r="C24" s="162" t="s">
        <v>103</v>
      </c>
      <c r="D24" s="268" t="s">
        <v>114</v>
      </c>
      <c r="E24" s="268"/>
      <c r="F24" s="268"/>
      <c r="G24" s="269"/>
      <c r="H24" s="13"/>
      <c r="I24" s="13"/>
      <c r="J24" s="13"/>
      <c r="K24" s="13"/>
      <c r="L24" s="13"/>
      <c r="M24" s="13"/>
    </row>
    <row r="25" spans="3:13" ht="15.6" x14ac:dyDescent="0.3">
      <c r="C25" s="162" t="s">
        <v>104</v>
      </c>
      <c r="D25" s="268" t="s">
        <v>121</v>
      </c>
      <c r="E25" s="268"/>
      <c r="F25" s="268"/>
      <c r="G25" s="269"/>
      <c r="H25" s="13"/>
      <c r="I25" s="13"/>
      <c r="J25" s="13"/>
      <c r="K25" s="13"/>
      <c r="L25" s="13"/>
      <c r="M25" s="13"/>
    </row>
    <row r="26" spans="3:13" ht="15.6" x14ac:dyDescent="0.3">
      <c r="C26" s="162" t="s">
        <v>105</v>
      </c>
      <c r="D26" s="268" t="s">
        <v>117</v>
      </c>
      <c r="E26" s="268"/>
      <c r="F26" s="268"/>
      <c r="G26" s="269"/>
      <c r="H26" s="13"/>
      <c r="I26" s="13"/>
      <c r="J26" s="13"/>
      <c r="K26" s="13"/>
      <c r="L26" s="13"/>
      <c r="M26" s="13"/>
    </row>
    <row r="27" spans="3:13" ht="15.6" x14ac:dyDescent="0.3">
      <c r="C27" s="162" t="s">
        <v>106</v>
      </c>
      <c r="D27" s="268" t="s">
        <v>115</v>
      </c>
      <c r="E27" s="268"/>
      <c r="F27" s="268"/>
      <c r="G27" s="269"/>
      <c r="H27" s="13"/>
      <c r="I27" s="13"/>
      <c r="J27" s="13"/>
      <c r="K27" s="13"/>
      <c r="L27" s="13"/>
      <c r="M27" s="13"/>
    </row>
    <row r="28" spans="3:13" ht="15.6" x14ac:dyDescent="0.3">
      <c r="C28" s="162" t="s">
        <v>107</v>
      </c>
      <c r="D28" s="266" t="s">
        <v>116</v>
      </c>
      <c r="E28" s="266"/>
      <c r="F28" s="266"/>
      <c r="G28" s="267"/>
      <c r="H28" s="13"/>
      <c r="I28" s="13"/>
      <c r="J28" s="13"/>
      <c r="K28" s="13"/>
      <c r="L28" s="13"/>
      <c r="M28" s="13"/>
    </row>
    <row r="29" spans="3:13" ht="15.6" x14ac:dyDescent="0.3">
      <c r="C29" s="162" t="s">
        <v>109</v>
      </c>
      <c r="D29" s="274" t="s">
        <v>155</v>
      </c>
      <c r="E29" s="275"/>
      <c r="F29" s="275"/>
      <c r="G29" s="276"/>
      <c r="H29" s="13"/>
      <c r="I29" s="13"/>
      <c r="J29" s="13"/>
      <c r="K29" s="13"/>
      <c r="L29" s="13"/>
      <c r="M29" s="13"/>
    </row>
    <row r="30" spans="3:13" ht="15.6" x14ac:dyDescent="0.3">
      <c r="C30" s="162" t="s">
        <v>110</v>
      </c>
      <c r="D30" s="268" t="s">
        <v>108</v>
      </c>
      <c r="E30" s="268"/>
      <c r="F30" s="268"/>
      <c r="G30" s="269"/>
      <c r="H30" s="13"/>
      <c r="I30" s="13"/>
      <c r="J30" s="13"/>
      <c r="K30" s="13"/>
      <c r="L30" s="13"/>
      <c r="M30" s="13"/>
    </row>
    <row r="31" spans="3:13" ht="15.6" x14ac:dyDescent="0.3">
      <c r="C31" s="162" t="s">
        <v>111</v>
      </c>
      <c r="D31" s="268" t="s">
        <v>125</v>
      </c>
      <c r="E31" s="268"/>
      <c r="F31" s="268"/>
      <c r="G31" s="269"/>
      <c r="H31" s="13"/>
      <c r="I31" s="13"/>
      <c r="J31" s="13"/>
      <c r="K31" s="13"/>
      <c r="L31" s="13"/>
      <c r="M31" s="13"/>
    </row>
    <row r="32" spans="3:13" ht="16.2" thickBot="1" x14ac:dyDescent="0.35">
      <c r="C32" s="163" t="s">
        <v>122</v>
      </c>
      <c r="D32" s="270" t="s">
        <v>126</v>
      </c>
      <c r="E32" s="270"/>
      <c r="F32" s="270"/>
      <c r="G32" s="271"/>
      <c r="H32" s="13"/>
      <c r="I32" s="13"/>
      <c r="J32" s="13"/>
      <c r="K32" s="13"/>
      <c r="L32" s="13"/>
      <c r="M32" s="13"/>
    </row>
    <row r="33" spans="3:13" x14ac:dyDescent="0.2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3:13" x14ac:dyDescent="0.2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3:13" x14ac:dyDescent="0.25">
      <c r="E35" s="13"/>
      <c r="F35" s="13"/>
      <c r="G35" s="13"/>
      <c r="H35" s="13"/>
      <c r="I35" s="13"/>
      <c r="J35" s="13"/>
      <c r="K35" s="13"/>
      <c r="L35" s="13"/>
      <c r="M35" s="13"/>
    </row>
    <row r="36" spans="3:13" x14ac:dyDescent="0.25">
      <c r="E36" s="13"/>
      <c r="F36" s="13"/>
      <c r="G36" s="13"/>
      <c r="H36" s="13"/>
      <c r="I36" s="13"/>
      <c r="J36" s="13"/>
      <c r="K36" s="13"/>
      <c r="L36" s="13"/>
      <c r="M36" s="13"/>
    </row>
    <row r="37" spans="3:13" ht="13.8" thickBot="1" x14ac:dyDescent="0.3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3:13" ht="15.6" x14ac:dyDescent="0.3">
      <c r="C38" s="13"/>
      <c r="D38" s="13"/>
      <c r="E38" s="13"/>
      <c r="F38" s="13"/>
      <c r="G38" s="155" t="s">
        <v>130</v>
      </c>
      <c r="H38" s="156"/>
      <c r="I38" s="13"/>
      <c r="J38" s="13"/>
      <c r="K38" s="13"/>
      <c r="L38" s="13"/>
      <c r="M38" s="13"/>
    </row>
    <row r="39" spans="3:13" ht="15.6" x14ac:dyDescent="0.3">
      <c r="C39" s="13"/>
      <c r="D39" s="13"/>
      <c r="E39" s="13"/>
      <c r="F39" s="13"/>
      <c r="G39" s="157" t="s">
        <v>131</v>
      </c>
      <c r="H39" s="158">
        <v>1001586563</v>
      </c>
      <c r="I39" s="13"/>
      <c r="J39" s="13"/>
      <c r="K39" s="13"/>
      <c r="L39" s="13"/>
      <c r="M39" s="13"/>
    </row>
    <row r="40" spans="3:13" ht="16.2" thickBot="1" x14ac:dyDescent="0.35">
      <c r="C40" s="13"/>
      <c r="D40" s="13"/>
      <c r="E40" s="13"/>
      <c r="F40" s="13"/>
      <c r="G40" s="159" t="s">
        <v>132</v>
      </c>
      <c r="H40" s="160">
        <v>1001537450</v>
      </c>
      <c r="I40" s="13"/>
      <c r="J40" s="13"/>
      <c r="K40" s="13"/>
      <c r="L40" s="13"/>
      <c r="M40" s="13"/>
    </row>
    <row r="41" spans="3:13" x14ac:dyDescent="0.2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3:13" x14ac:dyDescent="0.2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3:13" x14ac:dyDescent="0.2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3:13" x14ac:dyDescent="0.2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3:13" x14ac:dyDescent="0.2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3:13" x14ac:dyDescent="0.2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</sheetData>
  <mergeCells count="12">
    <mergeCell ref="D28:G28"/>
    <mergeCell ref="D30:G30"/>
    <mergeCell ref="D31:G31"/>
    <mergeCell ref="D32:G32"/>
    <mergeCell ref="D21:G21"/>
    <mergeCell ref="D29:G29"/>
    <mergeCell ref="D22:G22"/>
    <mergeCell ref="D23:G23"/>
    <mergeCell ref="D24:G24"/>
    <mergeCell ref="D25:G25"/>
    <mergeCell ref="D26:G26"/>
    <mergeCell ref="D27:G27"/>
  </mergeCells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2065-1279-9F49-8763-145A78E93E89}">
  <dimension ref="A2:AZ96"/>
  <sheetViews>
    <sheetView topLeftCell="Q103" zoomScaleNormal="84" workbookViewId="0">
      <selection activeCell="D95" sqref="D95:AY96"/>
    </sheetView>
  </sheetViews>
  <sheetFormatPr defaultColWidth="8.77734375" defaultRowHeight="13.2" x14ac:dyDescent="0.25"/>
  <cols>
    <col min="1" max="1" width="14.109375" style="38" customWidth="1"/>
    <col min="2" max="2" width="8.77734375" style="29"/>
    <col min="3" max="3" width="9.109375" style="29" customWidth="1"/>
    <col min="4" max="4" width="29.109375" style="29" customWidth="1"/>
    <col min="5" max="16384" width="8.77734375" style="29"/>
  </cols>
  <sheetData>
    <row r="2" spans="1:52" ht="13.8" thickBot="1" x14ac:dyDescent="0.3"/>
    <row r="3" spans="1:52" ht="13.8" thickBot="1" x14ac:dyDescent="0.3">
      <c r="A3" s="131" t="s">
        <v>1</v>
      </c>
      <c r="B3" s="132" t="s">
        <v>2</v>
      </c>
      <c r="C3" s="133" t="s">
        <v>3</v>
      </c>
      <c r="D3" s="133" t="s">
        <v>4</v>
      </c>
      <c r="E3" s="134">
        <v>42005</v>
      </c>
      <c r="F3" s="135">
        <v>42036</v>
      </c>
      <c r="G3" s="135">
        <v>42064</v>
      </c>
      <c r="H3" s="135">
        <v>42095</v>
      </c>
      <c r="I3" s="135">
        <v>42125</v>
      </c>
      <c r="J3" s="135">
        <v>42156</v>
      </c>
      <c r="K3" s="135">
        <v>42186</v>
      </c>
      <c r="L3" s="135">
        <v>42217</v>
      </c>
      <c r="M3" s="135">
        <v>42248</v>
      </c>
      <c r="N3" s="135">
        <v>42278</v>
      </c>
      <c r="O3" s="135">
        <v>42309</v>
      </c>
      <c r="P3" s="135">
        <v>42339</v>
      </c>
      <c r="Q3" s="135">
        <v>42370</v>
      </c>
      <c r="R3" s="135">
        <v>42401</v>
      </c>
      <c r="S3" s="135">
        <v>42430</v>
      </c>
      <c r="T3" s="135">
        <v>42461</v>
      </c>
      <c r="U3" s="135">
        <v>42491</v>
      </c>
      <c r="V3" s="135">
        <v>42522</v>
      </c>
      <c r="W3" s="135">
        <v>42552</v>
      </c>
      <c r="X3" s="135">
        <v>42583</v>
      </c>
      <c r="Y3" s="135">
        <v>42614</v>
      </c>
      <c r="Z3" s="135">
        <v>42644</v>
      </c>
      <c r="AA3" s="135">
        <v>42675</v>
      </c>
      <c r="AB3" s="135">
        <v>42705</v>
      </c>
      <c r="AC3" s="135">
        <v>42736</v>
      </c>
      <c r="AD3" s="135">
        <v>42767</v>
      </c>
      <c r="AE3" s="135">
        <v>42795</v>
      </c>
      <c r="AF3" s="135">
        <v>42826</v>
      </c>
      <c r="AG3" s="135">
        <v>42856</v>
      </c>
      <c r="AH3" s="135">
        <v>42887</v>
      </c>
      <c r="AI3" s="135">
        <v>42917</v>
      </c>
      <c r="AJ3" s="135">
        <v>42948</v>
      </c>
      <c r="AK3" s="135">
        <v>42979</v>
      </c>
      <c r="AL3" s="135">
        <v>43009</v>
      </c>
      <c r="AM3" s="135">
        <v>43040</v>
      </c>
      <c r="AN3" s="135">
        <v>43070</v>
      </c>
      <c r="AO3" s="135">
        <v>43101</v>
      </c>
      <c r="AP3" s="135">
        <v>43132</v>
      </c>
      <c r="AQ3" s="135">
        <v>43160</v>
      </c>
      <c r="AR3" s="135">
        <v>43191</v>
      </c>
      <c r="AS3" s="135">
        <v>43221</v>
      </c>
      <c r="AT3" s="135">
        <v>43252</v>
      </c>
      <c r="AU3" s="135">
        <v>43282</v>
      </c>
      <c r="AV3" s="135">
        <v>43313</v>
      </c>
      <c r="AW3" s="135">
        <v>43344</v>
      </c>
      <c r="AX3" s="135">
        <v>43374</v>
      </c>
      <c r="AY3" s="136">
        <v>43405</v>
      </c>
      <c r="AZ3" s="39"/>
    </row>
    <row r="4" spans="1:52" x14ac:dyDescent="0.25">
      <c r="A4" s="108">
        <v>42005</v>
      </c>
      <c r="B4" s="109" t="s">
        <v>5</v>
      </c>
      <c r="C4" s="110">
        <v>2400</v>
      </c>
      <c r="D4" s="111" t="s">
        <v>6</v>
      </c>
      <c r="E4" s="104">
        <v>45</v>
      </c>
      <c r="F4" s="96">
        <v>3</v>
      </c>
      <c r="G4" s="96">
        <v>5</v>
      </c>
      <c r="H4" s="96">
        <v>3</v>
      </c>
      <c r="I4" s="96">
        <v>2</v>
      </c>
      <c r="J4" s="96">
        <v>6</v>
      </c>
      <c r="K4" s="96">
        <v>3</v>
      </c>
      <c r="L4" s="96">
        <v>2</v>
      </c>
      <c r="M4" s="96">
        <v>1</v>
      </c>
      <c r="N4" s="96">
        <v>0</v>
      </c>
      <c r="O4" s="96">
        <v>1</v>
      </c>
      <c r="P4" s="96">
        <v>0</v>
      </c>
      <c r="Q4" s="102">
        <v>-71</v>
      </c>
      <c r="R4" s="103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119"/>
      <c r="AZ4" s="39"/>
    </row>
    <row r="5" spans="1:52" x14ac:dyDescent="0.25">
      <c r="A5" s="112">
        <v>42005</v>
      </c>
      <c r="B5" s="35" t="s">
        <v>5</v>
      </c>
      <c r="C5" s="34">
        <v>2400</v>
      </c>
      <c r="D5" s="113" t="s">
        <v>7</v>
      </c>
      <c r="E5" s="105">
        <v>0</v>
      </c>
      <c r="F5" s="34">
        <v>5</v>
      </c>
      <c r="G5" s="34">
        <v>7</v>
      </c>
      <c r="H5" s="34">
        <v>6</v>
      </c>
      <c r="I5" s="34">
        <v>6</v>
      </c>
      <c r="J5" s="34">
        <v>3</v>
      </c>
      <c r="K5" s="34">
        <v>5</v>
      </c>
      <c r="L5" s="34">
        <v>8</v>
      </c>
      <c r="M5" s="34">
        <v>12</v>
      </c>
      <c r="N5" s="34">
        <v>5</v>
      </c>
      <c r="O5" s="34">
        <v>6</v>
      </c>
      <c r="P5" s="34">
        <v>4</v>
      </c>
      <c r="Q5" s="97">
        <f>SUM(E5:P5)</f>
        <v>67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120"/>
      <c r="AZ5" s="39"/>
    </row>
    <row r="6" spans="1:52" x14ac:dyDescent="0.25">
      <c r="A6" s="114"/>
      <c r="B6" s="35"/>
      <c r="C6" s="34"/>
      <c r="D6" s="113"/>
      <c r="E6" s="106">
        <f t="shared" ref="E6:P6" si="0">(E5*-2)</f>
        <v>0</v>
      </c>
      <c r="F6" s="100">
        <f t="shared" si="0"/>
        <v>-10</v>
      </c>
      <c r="G6" s="100">
        <f t="shared" si="0"/>
        <v>-14</v>
      </c>
      <c r="H6" s="100">
        <f t="shared" si="0"/>
        <v>-12</v>
      </c>
      <c r="I6" s="100">
        <f t="shared" si="0"/>
        <v>-12</v>
      </c>
      <c r="J6" s="100">
        <f t="shared" si="0"/>
        <v>-6</v>
      </c>
      <c r="K6" s="100">
        <f t="shared" si="0"/>
        <v>-10</v>
      </c>
      <c r="L6" s="100">
        <f t="shared" si="0"/>
        <v>-16</v>
      </c>
      <c r="M6" s="100">
        <f t="shared" si="0"/>
        <v>-24</v>
      </c>
      <c r="N6" s="100">
        <f t="shared" si="0"/>
        <v>-10</v>
      </c>
      <c r="O6" s="100">
        <f t="shared" si="0"/>
        <v>-12</v>
      </c>
      <c r="P6" s="100">
        <f t="shared" si="0"/>
        <v>-8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120"/>
      <c r="AZ6" s="39"/>
    </row>
    <row r="7" spans="1:52" x14ac:dyDescent="0.25">
      <c r="A7" s="115">
        <v>42036</v>
      </c>
      <c r="B7" s="35" t="s">
        <v>8</v>
      </c>
      <c r="C7" s="34">
        <v>3780</v>
      </c>
      <c r="D7" s="113" t="s">
        <v>6</v>
      </c>
      <c r="E7" s="107">
        <f>SUM(E4:E6)</f>
        <v>45</v>
      </c>
      <c r="F7" s="34">
        <v>38</v>
      </c>
      <c r="G7" s="34">
        <v>6</v>
      </c>
      <c r="H7" s="34">
        <v>8</v>
      </c>
      <c r="I7" s="34">
        <v>2</v>
      </c>
      <c r="J7" s="34">
        <v>3</v>
      </c>
      <c r="K7" s="34">
        <v>4</v>
      </c>
      <c r="L7" s="34">
        <v>1</v>
      </c>
      <c r="M7" s="34">
        <v>5</v>
      </c>
      <c r="N7" s="34">
        <v>0</v>
      </c>
      <c r="O7" s="34">
        <v>0</v>
      </c>
      <c r="P7" s="34">
        <v>1</v>
      </c>
      <c r="Q7" s="34">
        <v>0</v>
      </c>
      <c r="R7" s="97">
        <v>-68</v>
      </c>
      <c r="S7" s="98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120"/>
      <c r="AZ7" s="39"/>
    </row>
    <row r="8" spans="1:52" x14ac:dyDescent="0.25">
      <c r="A8" s="112">
        <v>42036</v>
      </c>
      <c r="B8" s="35" t="s">
        <v>8</v>
      </c>
      <c r="C8" s="34">
        <v>3780</v>
      </c>
      <c r="D8" s="113" t="s">
        <v>7</v>
      </c>
      <c r="E8" s="105"/>
      <c r="F8" s="34">
        <v>0</v>
      </c>
      <c r="G8" s="34">
        <v>4</v>
      </c>
      <c r="H8" s="34">
        <v>8</v>
      </c>
      <c r="I8" s="34">
        <v>3</v>
      </c>
      <c r="J8" s="34">
        <v>5</v>
      </c>
      <c r="K8" s="34">
        <v>5</v>
      </c>
      <c r="L8" s="34">
        <v>7</v>
      </c>
      <c r="M8" s="34">
        <v>8</v>
      </c>
      <c r="N8" s="34">
        <v>10</v>
      </c>
      <c r="O8" s="34">
        <v>6</v>
      </c>
      <c r="P8" s="34">
        <v>7</v>
      </c>
      <c r="Q8" s="34">
        <v>3</v>
      </c>
      <c r="R8" s="97">
        <f>SUM(F8:Q8)</f>
        <v>66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120"/>
      <c r="AZ8" s="39"/>
    </row>
    <row r="9" spans="1:52" x14ac:dyDescent="0.25">
      <c r="A9" s="114"/>
      <c r="B9" s="35"/>
      <c r="C9" s="34"/>
      <c r="D9" s="113"/>
      <c r="E9" s="105"/>
      <c r="F9" s="100">
        <f t="shared" ref="F9:Q9" si="1">(F8*-2)</f>
        <v>0</v>
      </c>
      <c r="G9" s="100">
        <f t="shared" si="1"/>
        <v>-8</v>
      </c>
      <c r="H9" s="100">
        <f t="shared" si="1"/>
        <v>-16</v>
      </c>
      <c r="I9" s="100">
        <f t="shared" si="1"/>
        <v>-6</v>
      </c>
      <c r="J9" s="100">
        <f t="shared" si="1"/>
        <v>-10</v>
      </c>
      <c r="K9" s="100">
        <f t="shared" si="1"/>
        <v>-10</v>
      </c>
      <c r="L9" s="100">
        <f t="shared" si="1"/>
        <v>-14</v>
      </c>
      <c r="M9" s="100">
        <f t="shared" si="1"/>
        <v>-16</v>
      </c>
      <c r="N9" s="100">
        <f t="shared" si="1"/>
        <v>-20</v>
      </c>
      <c r="O9" s="100">
        <f t="shared" si="1"/>
        <v>-12</v>
      </c>
      <c r="P9" s="100">
        <f t="shared" si="1"/>
        <v>-14</v>
      </c>
      <c r="Q9" s="100">
        <f t="shared" si="1"/>
        <v>-6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20"/>
      <c r="AZ9" s="39"/>
    </row>
    <row r="10" spans="1:52" x14ac:dyDescent="0.25">
      <c r="A10" s="115">
        <v>42064</v>
      </c>
      <c r="B10" s="35" t="s">
        <v>7</v>
      </c>
      <c r="C10" s="34">
        <v>4593</v>
      </c>
      <c r="D10" s="113" t="s">
        <v>6</v>
      </c>
      <c r="E10" s="105"/>
      <c r="F10" s="99">
        <f>SUM(F4:F9)+E7</f>
        <v>81</v>
      </c>
      <c r="G10" s="34">
        <v>41</v>
      </c>
      <c r="H10" s="34">
        <v>5</v>
      </c>
      <c r="I10" s="34">
        <v>3</v>
      </c>
      <c r="J10" s="34">
        <v>4</v>
      </c>
      <c r="K10" s="34">
        <v>3</v>
      </c>
      <c r="L10" s="34">
        <v>2</v>
      </c>
      <c r="M10" s="34">
        <v>2</v>
      </c>
      <c r="N10" s="34">
        <v>1</v>
      </c>
      <c r="O10" s="34">
        <v>1</v>
      </c>
      <c r="P10" s="34">
        <v>0</v>
      </c>
      <c r="Q10" s="34">
        <v>1</v>
      </c>
      <c r="R10" s="34">
        <v>0</v>
      </c>
      <c r="S10" s="97">
        <v>-63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20"/>
      <c r="AZ10" s="39"/>
    </row>
    <row r="11" spans="1:52" x14ac:dyDescent="0.25">
      <c r="A11" s="112">
        <v>42064</v>
      </c>
      <c r="B11" s="35" t="s">
        <v>7</v>
      </c>
      <c r="C11" s="34">
        <v>4593</v>
      </c>
      <c r="D11" s="113" t="s">
        <v>7</v>
      </c>
      <c r="E11" s="105"/>
      <c r="F11" s="34"/>
      <c r="G11" s="34">
        <v>0</v>
      </c>
      <c r="H11" s="34">
        <v>6</v>
      </c>
      <c r="I11" s="34">
        <v>8</v>
      </c>
      <c r="J11" s="34">
        <v>7</v>
      </c>
      <c r="K11" s="34">
        <v>4</v>
      </c>
      <c r="L11" s="34">
        <v>5</v>
      </c>
      <c r="M11" s="34">
        <v>3</v>
      </c>
      <c r="N11" s="34">
        <v>10</v>
      </c>
      <c r="O11" s="34">
        <v>12</v>
      </c>
      <c r="P11" s="34">
        <v>5</v>
      </c>
      <c r="Q11" s="34">
        <v>2</v>
      </c>
      <c r="R11" s="34">
        <v>0</v>
      </c>
      <c r="S11" s="97">
        <f>SUM(G11:R11)</f>
        <v>62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120"/>
      <c r="AZ11" s="39"/>
    </row>
    <row r="12" spans="1:52" x14ac:dyDescent="0.25">
      <c r="A12" s="114"/>
      <c r="B12" s="35"/>
      <c r="C12" s="34"/>
      <c r="D12" s="113"/>
      <c r="E12" s="105"/>
      <c r="F12" s="34"/>
      <c r="G12" s="100">
        <f t="shared" ref="G12:R12" si="2">(G11*-2)</f>
        <v>0</v>
      </c>
      <c r="H12" s="100">
        <f t="shared" si="2"/>
        <v>-12</v>
      </c>
      <c r="I12" s="100">
        <f t="shared" si="2"/>
        <v>-16</v>
      </c>
      <c r="J12" s="100">
        <f t="shared" si="2"/>
        <v>-14</v>
      </c>
      <c r="K12" s="100">
        <f t="shared" si="2"/>
        <v>-8</v>
      </c>
      <c r="L12" s="100">
        <f t="shared" si="2"/>
        <v>-10</v>
      </c>
      <c r="M12" s="100">
        <f t="shared" si="2"/>
        <v>-6</v>
      </c>
      <c r="N12" s="100">
        <f t="shared" si="2"/>
        <v>-20</v>
      </c>
      <c r="O12" s="100">
        <f t="shared" si="2"/>
        <v>-24</v>
      </c>
      <c r="P12" s="100">
        <f t="shared" si="2"/>
        <v>-10</v>
      </c>
      <c r="Q12" s="100">
        <f t="shared" si="2"/>
        <v>-4</v>
      </c>
      <c r="R12" s="100">
        <f t="shared" si="2"/>
        <v>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120"/>
      <c r="AZ12" s="39"/>
    </row>
    <row r="13" spans="1:52" x14ac:dyDescent="0.25">
      <c r="A13" s="115">
        <v>42125</v>
      </c>
      <c r="B13" s="35" t="s">
        <v>9</v>
      </c>
      <c r="C13" s="34">
        <v>3690</v>
      </c>
      <c r="D13" s="113" t="s">
        <v>6</v>
      </c>
      <c r="E13" s="105"/>
      <c r="F13" s="34"/>
      <c r="G13" s="99">
        <f>SUM(G4:G12)+F10</f>
        <v>122</v>
      </c>
      <c r="H13" s="99">
        <f>SUM(H4:H12)+G13</f>
        <v>118</v>
      </c>
      <c r="I13" s="34">
        <v>33</v>
      </c>
      <c r="J13" s="34">
        <v>4</v>
      </c>
      <c r="K13" s="34">
        <v>2</v>
      </c>
      <c r="L13" s="34">
        <v>5</v>
      </c>
      <c r="M13" s="34">
        <v>2</v>
      </c>
      <c r="N13" s="34">
        <v>2</v>
      </c>
      <c r="O13" s="34">
        <v>1</v>
      </c>
      <c r="P13" s="34">
        <v>3</v>
      </c>
      <c r="Q13" s="34">
        <v>0</v>
      </c>
      <c r="R13" s="34">
        <v>0</v>
      </c>
      <c r="S13" s="34">
        <v>1</v>
      </c>
      <c r="T13" s="34">
        <v>0</v>
      </c>
      <c r="U13" s="97">
        <v>-53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120"/>
      <c r="AZ13" s="39"/>
    </row>
    <row r="14" spans="1:52" x14ac:dyDescent="0.25">
      <c r="A14" s="112">
        <v>42125</v>
      </c>
      <c r="B14" s="35" t="s">
        <v>9</v>
      </c>
      <c r="C14" s="34">
        <v>3690</v>
      </c>
      <c r="D14" s="113" t="s">
        <v>7</v>
      </c>
      <c r="E14" s="105"/>
      <c r="F14" s="34"/>
      <c r="G14" s="34"/>
      <c r="H14" s="34"/>
      <c r="I14" s="34">
        <v>0</v>
      </c>
      <c r="J14" s="34">
        <v>8</v>
      </c>
      <c r="K14" s="34">
        <v>4</v>
      </c>
      <c r="L14" s="34">
        <v>4</v>
      </c>
      <c r="M14" s="34">
        <v>5</v>
      </c>
      <c r="N14" s="34">
        <v>3</v>
      </c>
      <c r="O14" s="34">
        <v>7</v>
      </c>
      <c r="P14" s="34">
        <v>8</v>
      </c>
      <c r="Q14" s="34">
        <v>7</v>
      </c>
      <c r="R14" s="34">
        <v>4</v>
      </c>
      <c r="S14" s="34">
        <v>2</v>
      </c>
      <c r="T14" s="34">
        <v>1</v>
      </c>
      <c r="U14" s="97">
        <f>SUM(I14:T14)</f>
        <v>53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120"/>
      <c r="AZ14" s="39"/>
    </row>
    <row r="15" spans="1:52" x14ac:dyDescent="0.25">
      <c r="A15" s="114"/>
      <c r="B15" s="35"/>
      <c r="C15" s="34"/>
      <c r="D15" s="113"/>
      <c r="E15" s="105"/>
      <c r="F15" s="34"/>
      <c r="G15" s="34"/>
      <c r="H15" s="34"/>
      <c r="I15" s="100">
        <f t="shared" ref="I15:T15" si="3">(I14*-2)</f>
        <v>0</v>
      </c>
      <c r="J15" s="100">
        <f t="shared" si="3"/>
        <v>-16</v>
      </c>
      <c r="K15" s="100">
        <f t="shared" si="3"/>
        <v>-8</v>
      </c>
      <c r="L15" s="100">
        <f t="shared" si="3"/>
        <v>-8</v>
      </c>
      <c r="M15" s="100">
        <f t="shared" si="3"/>
        <v>-10</v>
      </c>
      <c r="N15" s="100">
        <f t="shared" si="3"/>
        <v>-6</v>
      </c>
      <c r="O15" s="100">
        <f t="shared" si="3"/>
        <v>-14</v>
      </c>
      <c r="P15" s="100">
        <f t="shared" si="3"/>
        <v>-16</v>
      </c>
      <c r="Q15" s="100">
        <f t="shared" si="3"/>
        <v>-14</v>
      </c>
      <c r="R15" s="100">
        <f t="shared" si="3"/>
        <v>-8</v>
      </c>
      <c r="S15" s="100">
        <f t="shared" si="3"/>
        <v>-4</v>
      </c>
      <c r="T15" s="100">
        <f t="shared" si="3"/>
        <v>-2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120"/>
      <c r="AZ15" s="39"/>
    </row>
    <row r="16" spans="1:52" x14ac:dyDescent="0.25">
      <c r="A16" s="115">
        <v>42156</v>
      </c>
      <c r="B16" s="35" t="s">
        <v>10</v>
      </c>
      <c r="C16" s="34">
        <v>4400</v>
      </c>
      <c r="D16" s="113" t="s">
        <v>6</v>
      </c>
      <c r="E16" s="105"/>
      <c r="F16" s="34"/>
      <c r="G16" s="34"/>
      <c r="H16" s="34"/>
      <c r="I16" s="99">
        <f>SUM(I4:I15)+H13</f>
        <v>141</v>
      </c>
      <c r="J16" s="34">
        <v>55</v>
      </c>
      <c r="K16" s="34">
        <v>3</v>
      </c>
      <c r="L16" s="34">
        <v>5</v>
      </c>
      <c r="M16" s="34">
        <v>3</v>
      </c>
      <c r="N16" s="34">
        <v>2</v>
      </c>
      <c r="O16" s="34">
        <v>6</v>
      </c>
      <c r="P16" s="34">
        <v>3</v>
      </c>
      <c r="Q16" s="34">
        <v>2</v>
      </c>
      <c r="R16" s="34">
        <v>1</v>
      </c>
      <c r="S16" s="34">
        <v>0</v>
      </c>
      <c r="T16" s="34">
        <v>1</v>
      </c>
      <c r="U16" s="34">
        <v>0</v>
      </c>
      <c r="V16" s="97">
        <v>-81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120"/>
      <c r="AZ16" s="39"/>
    </row>
    <row r="17" spans="1:52" x14ac:dyDescent="0.25">
      <c r="A17" s="112">
        <v>42156</v>
      </c>
      <c r="B17" s="35" t="s">
        <v>10</v>
      </c>
      <c r="C17" s="34">
        <v>4400</v>
      </c>
      <c r="D17" s="113" t="s">
        <v>7</v>
      </c>
      <c r="E17" s="105"/>
      <c r="F17" s="34"/>
      <c r="G17" s="34"/>
      <c r="H17" s="34"/>
      <c r="I17" s="34"/>
      <c r="J17" s="34">
        <v>0</v>
      </c>
      <c r="K17" s="34">
        <v>8</v>
      </c>
      <c r="L17" s="34">
        <v>7</v>
      </c>
      <c r="M17" s="34">
        <v>9</v>
      </c>
      <c r="N17" s="34">
        <v>6</v>
      </c>
      <c r="O17" s="34">
        <v>5</v>
      </c>
      <c r="P17" s="34">
        <v>5</v>
      </c>
      <c r="Q17" s="34">
        <v>8</v>
      </c>
      <c r="R17" s="34">
        <v>12</v>
      </c>
      <c r="S17" s="34">
        <v>5</v>
      </c>
      <c r="T17" s="34">
        <v>6</v>
      </c>
      <c r="U17" s="34">
        <v>4</v>
      </c>
      <c r="V17" s="97">
        <f>SUM(J17:U17)</f>
        <v>75</v>
      </c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120"/>
      <c r="AZ17" s="39"/>
    </row>
    <row r="18" spans="1:52" x14ac:dyDescent="0.25">
      <c r="A18" s="114"/>
      <c r="B18" s="35"/>
      <c r="C18" s="34"/>
      <c r="D18" s="113"/>
      <c r="E18" s="105"/>
      <c r="F18" s="34"/>
      <c r="G18" s="34"/>
      <c r="H18" s="34"/>
      <c r="I18" s="34"/>
      <c r="J18" s="100">
        <f t="shared" ref="J18:U18" si="4">(J17*-2)</f>
        <v>0</v>
      </c>
      <c r="K18" s="100">
        <f t="shared" si="4"/>
        <v>-16</v>
      </c>
      <c r="L18" s="100">
        <f t="shared" si="4"/>
        <v>-14</v>
      </c>
      <c r="M18" s="100">
        <f t="shared" si="4"/>
        <v>-18</v>
      </c>
      <c r="N18" s="100">
        <f t="shared" si="4"/>
        <v>-12</v>
      </c>
      <c r="O18" s="100">
        <f t="shared" si="4"/>
        <v>-10</v>
      </c>
      <c r="P18" s="100">
        <f t="shared" si="4"/>
        <v>-10</v>
      </c>
      <c r="Q18" s="100">
        <f t="shared" si="4"/>
        <v>-16</v>
      </c>
      <c r="R18" s="100">
        <f t="shared" si="4"/>
        <v>-24</v>
      </c>
      <c r="S18" s="100">
        <f t="shared" si="4"/>
        <v>-10</v>
      </c>
      <c r="T18" s="100">
        <f t="shared" si="4"/>
        <v>-12</v>
      </c>
      <c r="U18" s="100">
        <f t="shared" si="4"/>
        <v>-8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120"/>
      <c r="AZ18" s="39"/>
    </row>
    <row r="19" spans="1:52" x14ac:dyDescent="0.25">
      <c r="A19" s="115">
        <v>42186</v>
      </c>
      <c r="B19" s="35" t="s">
        <v>11</v>
      </c>
      <c r="C19" s="34">
        <v>4450</v>
      </c>
      <c r="D19" s="113" t="s">
        <v>6</v>
      </c>
      <c r="E19" s="105"/>
      <c r="F19" s="34"/>
      <c r="G19" s="34"/>
      <c r="H19" s="34"/>
      <c r="I19" s="34"/>
      <c r="J19" s="99">
        <f>SUM(J4:J18)+I16</f>
        <v>190</v>
      </c>
      <c r="K19" s="34">
        <v>56</v>
      </c>
      <c r="L19" s="34">
        <v>6</v>
      </c>
      <c r="M19" s="34">
        <v>8</v>
      </c>
      <c r="N19" s="34">
        <v>2</v>
      </c>
      <c r="O19" s="34">
        <v>3</v>
      </c>
      <c r="P19" s="34">
        <v>4</v>
      </c>
      <c r="Q19" s="34">
        <v>1</v>
      </c>
      <c r="R19" s="34">
        <v>5</v>
      </c>
      <c r="S19" s="34">
        <v>0</v>
      </c>
      <c r="T19" s="34">
        <v>0</v>
      </c>
      <c r="U19" s="34">
        <v>1</v>
      </c>
      <c r="V19" s="34">
        <v>0</v>
      </c>
      <c r="W19" s="97">
        <v>-86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120"/>
      <c r="AZ19" s="39"/>
    </row>
    <row r="20" spans="1:52" x14ac:dyDescent="0.25">
      <c r="A20" s="112">
        <v>42186</v>
      </c>
      <c r="B20" s="35" t="s">
        <v>11</v>
      </c>
      <c r="C20" s="34">
        <v>4450</v>
      </c>
      <c r="D20" s="113" t="s">
        <v>7</v>
      </c>
      <c r="E20" s="105"/>
      <c r="F20" s="34"/>
      <c r="G20" s="34"/>
      <c r="H20" s="34"/>
      <c r="I20" s="34"/>
      <c r="J20" s="34"/>
      <c r="K20" s="34">
        <v>0</v>
      </c>
      <c r="L20" s="34">
        <v>10</v>
      </c>
      <c r="M20" s="34">
        <v>8</v>
      </c>
      <c r="N20" s="34">
        <v>13</v>
      </c>
      <c r="O20" s="34">
        <v>5</v>
      </c>
      <c r="P20" s="34">
        <v>5</v>
      </c>
      <c r="Q20" s="34">
        <v>9</v>
      </c>
      <c r="R20" s="34">
        <v>8</v>
      </c>
      <c r="S20" s="34">
        <v>10</v>
      </c>
      <c r="T20" s="34">
        <v>6</v>
      </c>
      <c r="U20" s="34">
        <v>7</v>
      </c>
      <c r="V20" s="34">
        <v>3</v>
      </c>
      <c r="W20" s="97">
        <f>SUM(K20:V20)</f>
        <v>84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120"/>
      <c r="AZ20" s="39"/>
    </row>
    <row r="21" spans="1:52" x14ac:dyDescent="0.25">
      <c r="A21" s="114"/>
      <c r="B21" s="35"/>
      <c r="C21" s="34"/>
      <c r="D21" s="113"/>
      <c r="E21" s="105"/>
      <c r="F21" s="34"/>
      <c r="G21" s="34"/>
      <c r="H21" s="34"/>
      <c r="I21" s="34"/>
      <c r="J21" s="34"/>
      <c r="K21" s="100">
        <f t="shared" ref="K21:V21" si="5">(K20*-2)</f>
        <v>0</v>
      </c>
      <c r="L21" s="100">
        <f t="shared" si="5"/>
        <v>-20</v>
      </c>
      <c r="M21" s="100">
        <f t="shared" si="5"/>
        <v>-16</v>
      </c>
      <c r="N21" s="100">
        <f t="shared" si="5"/>
        <v>-26</v>
      </c>
      <c r="O21" s="100">
        <f t="shared" si="5"/>
        <v>-10</v>
      </c>
      <c r="P21" s="100">
        <f t="shared" si="5"/>
        <v>-10</v>
      </c>
      <c r="Q21" s="100">
        <f t="shared" si="5"/>
        <v>-18</v>
      </c>
      <c r="R21" s="100">
        <f t="shared" si="5"/>
        <v>-16</v>
      </c>
      <c r="S21" s="100">
        <f t="shared" si="5"/>
        <v>-20</v>
      </c>
      <c r="T21" s="100">
        <f t="shared" si="5"/>
        <v>-12</v>
      </c>
      <c r="U21" s="100">
        <f t="shared" si="5"/>
        <v>-14</v>
      </c>
      <c r="V21" s="100">
        <f t="shared" si="5"/>
        <v>-6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120"/>
      <c r="AZ21" s="39"/>
    </row>
    <row r="22" spans="1:52" x14ac:dyDescent="0.25">
      <c r="A22" s="115">
        <v>42217</v>
      </c>
      <c r="B22" s="35" t="s">
        <v>12</v>
      </c>
      <c r="C22" s="34">
        <v>4925</v>
      </c>
      <c r="D22" s="113" t="s">
        <v>6</v>
      </c>
      <c r="E22" s="105"/>
      <c r="F22" s="34"/>
      <c r="G22" s="34"/>
      <c r="H22" s="34"/>
      <c r="I22" s="34"/>
      <c r="J22" s="34"/>
      <c r="K22" s="99">
        <f>SUM(K4:K21)+J19</f>
        <v>235</v>
      </c>
      <c r="L22" s="34">
        <v>44</v>
      </c>
      <c r="M22" s="34">
        <v>4</v>
      </c>
      <c r="N22" s="34">
        <v>3</v>
      </c>
      <c r="O22" s="34">
        <v>5</v>
      </c>
      <c r="P22" s="34">
        <v>2</v>
      </c>
      <c r="Q22" s="34">
        <v>3</v>
      </c>
      <c r="R22" s="34">
        <v>2</v>
      </c>
      <c r="S22" s="34">
        <v>1</v>
      </c>
      <c r="T22" s="34">
        <v>1</v>
      </c>
      <c r="U22" s="34">
        <v>0</v>
      </c>
      <c r="V22" s="34">
        <v>1</v>
      </c>
      <c r="W22" s="34">
        <v>0</v>
      </c>
      <c r="X22" s="97">
        <v>-66</v>
      </c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120"/>
      <c r="AZ22" s="39"/>
    </row>
    <row r="23" spans="1:52" x14ac:dyDescent="0.25">
      <c r="A23" s="112">
        <v>42217</v>
      </c>
      <c r="B23" s="35" t="s">
        <v>12</v>
      </c>
      <c r="C23" s="34">
        <v>4925</v>
      </c>
      <c r="D23" s="113" t="s">
        <v>7</v>
      </c>
      <c r="E23" s="105"/>
      <c r="F23" s="34"/>
      <c r="G23" s="34"/>
      <c r="H23" s="34"/>
      <c r="I23" s="34"/>
      <c r="J23" s="34"/>
      <c r="K23" s="34"/>
      <c r="L23" s="34">
        <v>0</v>
      </c>
      <c r="M23" s="34">
        <v>6</v>
      </c>
      <c r="N23" s="34">
        <v>8</v>
      </c>
      <c r="O23" s="34">
        <v>7</v>
      </c>
      <c r="P23" s="34">
        <v>4</v>
      </c>
      <c r="Q23" s="34">
        <v>7</v>
      </c>
      <c r="R23" s="34">
        <v>5</v>
      </c>
      <c r="S23" s="34">
        <v>10</v>
      </c>
      <c r="T23" s="34">
        <v>11</v>
      </c>
      <c r="U23" s="34">
        <v>5</v>
      </c>
      <c r="V23" s="34">
        <v>2</v>
      </c>
      <c r="W23" s="34">
        <v>0</v>
      </c>
      <c r="X23" s="97">
        <f>SUM(L23:W23)</f>
        <v>65</v>
      </c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120"/>
      <c r="AZ23" s="39"/>
    </row>
    <row r="24" spans="1:52" x14ac:dyDescent="0.25">
      <c r="A24" s="114"/>
      <c r="B24" s="35"/>
      <c r="C24" s="34"/>
      <c r="D24" s="113"/>
      <c r="E24" s="105"/>
      <c r="F24" s="34"/>
      <c r="G24" s="34"/>
      <c r="H24" s="34"/>
      <c r="I24" s="34"/>
      <c r="J24" s="34"/>
      <c r="K24" s="34"/>
      <c r="L24" s="100">
        <f t="shared" ref="L24:W24" si="6">(L23*-2)</f>
        <v>0</v>
      </c>
      <c r="M24" s="100">
        <f t="shared" si="6"/>
        <v>-12</v>
      </c>
      <c r="N24" s="100">
        <f t="shared" si="6"/>
        <v>-16</v>
      </c>
      <c r="O24" s="100">
        <f t="shared" si="6"/>
        <v>-14</v>
      </c>
      <c r="P24" s="100">
        <f t="shared" si="6"/>
        <v>-8</v>
      </c>
      <c r="Q24" s="100">
        <f t="shared" si="6"/>
        <v>-14</v>
      </c>
      <c r="R24" s="100">
        <f t="shared" si="6"/>
        <v>-10</v>
      </c>
      <c r="S24" s="100">
        <f t="shared" si="6"/>
        <v>-20</v>
      </c>
      <c r="T24" s="100">
        <f t="shared" si="6"/>
        <v>-22</v>
      </c>
      <c r="U24" s="100">
        <f t="shared" si="6"/>
        <v>-10</v>
      </c>
      <c r="V24" s="100">
        <f t="shared" si="6"/>
        <v>-4</v>
      </c>
      <c r="W24" s="100">
        <f t="shared" si="6"/>
        <v>0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120"/>
      <c r="AZ24" s="39"/>
    </row>
    <row r="25" spans="1:52" x14ac:dyDescent="0.25">
      <c r="A25" s="115">
        <v>42278</v>
      </c>
      <c r="B25" s="35" t="s">
        <v>13</v>
      </c>
      <c r="C25" s="34">
        <v>5645</v>
      </c>
      <c r="D25" s="113" t="s">
        <v>6</v>
      </c>
      <c r="E25" s="105"/>
      <c r="F25" s="34"/>
      <c r="G25" s="34"/>
      <c r="H25" s="34"/>
      <c r="I25" s="34"/>
      <c r="J25" s="34"/>
      <c r="K25" s="34"/>
      <c r="L25" s="99">
        <f>SUM(L4:L24)+K22</f>
        <v>259</v>
      </c>
      <c r="M25" s="99">
        <f>SUM(M4:M24)+L25</f>
        <v>233</v>
      </c>
      <c r="N25" s="34">
        <v>43</v>
      </c>
      <c r="O25" s="34">
        <v>2</v>
      </c>
      <c r="P25" s="34">
        <v>4</v>
      </c>
      <c r="Q25" s="34">
        <v>3</v>
      </c>
      <c r="R25" s="34">
        <v>4</v>
      </c>
      <c r="S25" s="34">
        <v>2</v>
      </c>
      <c r="T25" s="34">
        <v>1</v>
      </c>
      <c r="U25" s="34">
        <v>3</v>
      </c>
      <c r="V25" s="34">
        <v>0</v>
      </c>
      <c r="W25" s="34">
        <v>0</v>
      </c>
      <c r="X25" s="34">
        <v>1</v>
      </c>
      <c r="Y25" s="34">
        <v>0</v>
      </c>
      <c r="Z25" s="97">
        <v>-63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120"/>
      <c r="AZ25" s="39"/>
    </row>
    <row r="26" spans="1:52" x14ac:dyDescent="0.25">
      <c r="A26" s="112">
        <v>42278</v>
      </c>
      <c r="B26" s="35" t="s">
        <v>13</v>
      </c>
      <c r="C26" s="34">
        <v>5645</v>
      </c>
      <c r="D26" s="113" t="s">
        <v>7</v>
      </c>
      <c r="E26" s="105"/>
      <c r="F26" s="34"/>
      <c r="G26" s="34"/>
      <c r="H26" s="34"/>
      <c r="I26" s="34"/>
      <c r="J26" s="34"/>
      <c r="K26" s="34"/>
      <c r="L26" s="34"/>
      <c r="M26" s="34"/>
      <c r="N26" s="34">
        <v>0</v>
      </c>
      <c r="O26" s="34">
        <v>8</v>
      </c>
      <c r="P26" s="34">
        <v>6</v>
      </c>
      <c r="Q26" s="34">
        <v>4</v>
      </c>
      <c r="R26" s="34">
        <v>5</v>
      </c>
      <c r="S26" s="34">
        <v>5</v>
      </c>
      <c r="T26" s="34">
        <v>7</v>
      </c>
      <c r="U26" s="34">
        <v>8</v>
      </c>
      <c r="V26" s="34">
        <v>7</v>
      </c>
      <c r="W26" s="34">
        <v>6</v>
      </c>
      <c r="X26" s="34">
        <v>3</v>
      </c>
      <c r="Y26" s="34">
        <v>2</v>
      </c>
      <c r="Z26" s="97">
        <f>SUM(N26:Y26)</f>
        <v>61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120"/>
      <c r="AZ26" s="39"/>
    </row>
    <row r="27" spans="1:52" x14ac:dyDescent="0.25">
      <c r="A27" s="114"/>
      <c r="B27" s="35"/>
      <c r="C27" s="34"/>
      <c r="D27" s="113"/>
      <c r="E27" s="105"/>
      <c r="F27" s="34"/>
      <c r="G27" s="34"/>
      <c r="H27" s="34"/>
      <c r="I27" s="34"/>
      <c r="J27" s="34"/>
      <c r="K27" s="34"/>
      <c r="L27" s="34"/>
      <c r="M27" s="34"/>
      <c r="N27" s="100">
        <f t="shared" ref="N27:Y27" si="7">(N26*-2)</f>
        <v>0</v>
      </c>
      <c r="O27" s="100">
        <f t="shared" si="7"/>
        <v>-16</v>
      </c>
      <c r="P27" s="100">
        <f t="shared" si="7"/>
        <v>-12</v>
      </c>
      <c r="Q27" s="100">
        <f t="shared" si="7"/>
        <v>-8</v>
      </c>
      <c r="R27" s="100">
        <f t="shared" si="7"/>
        <v>-10</v>
      </c>
      <c r="S27" s="100">
        <f t="shared" si="7"/>
        <v>-10</v>
      </c>
      <c r="T27" s="100">
        <f t="shared" si="7"/>
        <v>-14</v>
      </c>
      <c r="U27" s="100">
        <f t="shared" si="7"/>
        <v>-16</v>
      </c>
      <c r="V27" s="100">
        <f t="shared" si="7"/>
        <v>-14</v>
      </c>
      <c r="W27" s="100">
        <f t="shared" si="7"/>
        <v>-12</v>
      </c>
      <c r="X27" s="100">
        <f t="shared" si="7"/>
        <v>-6</v>
      </c>
      <c r="Y27" s="100">
        <f t="shared" si="7"/>
        <v>-4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120"/>
      <c r="AZ27" s="39"/>
    </row>
    <row r="28" spans="1:52" x14ac:dyDescent="0.25">
      <c r="A28" s="115">
        <v>42309</v>
      </c>
      <c r="B28" s="35" t="s">
        <v>15</v>
      </c>
      <c r="C28" s="34">
        <v>6323</v>
      </c>
      <c r="D28" s="113" t="s">
        <v>6</v>
      </c>
      <c r="E28" s="105"/>
      <c r="F28" s="34"/>
      <c r="G28" s="34"/>
      <c r="H28" s="34"/>
      <c r="I28" s="34"/>
      <c r="J28" s="34"/>
      <c r="K28" s="34"/>
      <c r="L28" s="34"/>
      <c r="M28" s="34"/>
      <c r="N28" s="99">
        <f>SUM(N4:N27)+M25</f>
        <v>231</v>
      </c>
      <c r="O28" s="34">
        <v>38</v>
      </c>
      <c r="P28" s="34">
        <v>4</v>
      </c>
      <c r="Q28" s="34">
        <v>3</v>
      </c>
      <c r="R28" s="34">
        <v>5</v>
      </c>
      <c r="S28" s="34">
        <v>2</v>
      </c>
      <c r="T28" s="34">
        <v>3</v>
      </c>
      <c r="U28" s="34">
        <v>2</v>
      </c>
      <c r="V28" s="34">
        <v>1</v>
      </c>
      <c r="W28" s="34">
        <v>1</v>
      </c>
      <c r="X28" s="34">
        <v>0</v>
      </c>
      <c r="Y28" s="34">
        <v>1</v>
      </c>
      <c r="Z28" s="34">
        <v>0</v>
      </c>
      <c r="AA28" s="97">
        <v>-60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120"/>
      <c r="AZ28" s="39"/>
    </row>
    <row r="29" spans="1:52" x14ac:dyDescent="0.25">
      <c r="A29" s="112">
        <v>42309</v>
      </c>
      <c r="B29" s="35" t="s">
        <v>15</v>
      </c>
      <c r="C29" s="34">
        <v>6323</v>
      </c>
      <c r="D29" s="113" t="s">
        <v>7</v>
      </c>
      <c r="E29" s="105"/>
      <c r="F29" s="34"/>
      <c r="G29" s="34"/>
      <c r="H29" s="34"/>
      <c r="I29" s="34"/>
      <c r="J29" s="34"/>
      <c r="K29" s="34"/>
      <c r="L29" s="34"/>
      <c r="M29" s="34"/>
      <c r="N29" s="34"/>
      <c r="O29" s="34">
        <v>0</v>
      </c>
      <c r="P29" s="34">
        <v>6</v>
      </c>
      <c r="Q29" s="34">
        <v>6</v>
      </c>
      <c r="R29" s="34">
        <v>7</v>
      </c>
      <c r="S29" s="34">
        <v>4</v>
      </c>
      <c r="T29" s="34">
        <v>7</v>
      </c>
      <c r="U29" s="34">
        <v>5</v>
      </c>
      <c r="V29" s="34">
        <v>6</v>
      </c>
      <c r="W29" s="34">
        <v>11</v>
      </c>
      <c r="X29" s="34">
        <v>5</v>
      </c>
      <c r="Y29" s="34">
        <v>2</v>
      </c>
      <c r="Z29" s="34">
        <v>0</v>
      </c>
      <c r="AA29" s="97">
        <f>SUM(O29:Z29)</f>
        <v>59</v>
      </c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120"/>
      <c r="AZ29" s="39"/>
    </row>
    <row r="30" spans="1:52" x14ac:dyDescent="0.25">
      <c r="A30" s="114"/>
      <c r="B30" s="35"/>
      <c r="C30" s="34"/>
      <c r="D30" s="113"/>
      <c r="E30" s="105"/>
      <c r="F30" s="34"/>
      <c r="G30" s="34"/>
      <c r="H30" s="34"/>
      <c r="I30" s="34"/>
      <c r="J30" s="34"/>
      <c r="K30" s="34"/>
      <c r="L30" s="34"/>
      <c r="M30" s="34"/>
      <c r="N30" s="34"/>
      <c r="O30" s="100">
        <f t="shared" ref="O30:Z30" si="8">(O29*-2)</f>
        <v>0</v>
      </c>
      <c r="P30" s="100">
        <f t="shared" si="8"/>
        <v>-12</v>
      </c>
      <c r="Q30" s="100">
        <f t="shared" si="8"/>
        <v>-12</v>
      </c>
      <c r="R30" s="100">
        <f t="shared" si="8"/>
        <v>-14</v>
      </c>
      <c r="S30" s="100">
        <f t="shared" si="8"/>
        <v>-8</v>
      </c>
      <c r="T30" s="100">
        <f t="shared" si="8"/>
        <v>-14</v>
      </c>
      <c r="U30" s="100">
        <f t="shared" si="8"/>
        <v>-10</v>
      </c>
      <c r="V30" s="100">
        <f t="shared" si="8"/>
        <v>-12</v>
      </c>
      <c r="W30" s="100">
        <f t="shared" si="8"/>
        <v>-22</v>
      </c>
      <c r="X30" s="100">
        <f t="shared" si="8"/>
        <v>-10</v>
      </c>
      <c r="Y30" s="100">
        <f t="shared" si="8"/>
        <v>-4</v>
      </c>
      <c r="Z30" s="100">
        <f t="shared" si="8"/>
        <v>0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120"/>
      <c r="AZ30" s="39"/>
    </row>
    <row r="31" spans="1:52" x14ac:dyDescent="0.25">
      <c r="A31" s="115">
        <v>42339</v>
      </c>
      <c r="B31" s="35" t="s">
        <v>16</v>
      </c>
      <c r="C31" s="34">
        <v>3809</v>
      </c>
      <c r="D31" s="113" t="s">
        <v>6</v>
      </c>
      <c r="E31" s="105"/>
      <c r="F31" s="34"/>
      <c r="G31" s="34"/>
      <c r="H31" s="34"/>
      <c r="I31" s="34"/>
      <c r="J31" s="34"/>
      <c r="K31" s="34"/>
      <c r="L31" s="34"/>
      <c r="M31" s="34"/>
      <c r="N31" s="34"/>
      <c r="O31" s="99">
        <f>SUM(O4:O30)+N28</f>
        <v>232</v>
      </c>
      <c r="P31" s="34">
        <v>42</v>
      </c>
      <c r="Q31" s="34">
        <v>2</v>
      </c>
      <c r="R31" s="34">
        <v>4</v>
      </c>
      <c r="S31" s="34">
        <v>3</v>
      </c>
      <c r="T31" s="34">
        <v>4</v>
      </c>
      <c r="U31" s="34">
        <v>2</v>
      </c>
      <c r="V31" s="34">
        <v>1</v>
      </c>
      <c r="W31" s="34">
        <v>3</v>
      </c>
      <c r="X31" s="34">
        <v>0</v>
      </c>
      <c r="Y31" s="34">
        <v>0</v>
      </c>
      <c r="Z31" s="34">
        <v>1</v>
      </c>
      <c r="AA31" s="34">
        <v>0</v>
      </c>
      <c r="AB31" s="97">
        <v>-62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120"/>
      <c r="AZ31" s="39"/>
    </row>
    <row r="32" spans="1:52" x14ac:dyDescent="0.25">
      <c r="A32" s="112">
        <v>42339</v>
      </c>
      <c r="B32" s="35" t="s">
        <v>16</v>
      </c>
      <c r="C32" s="34">
        <v>3809</v>
      </c>
      <c r="D32" s="113" t="s">
        <v>7</v>
      </c>
      <c r="E32" s="10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>
        <v>0</v>
      </c>
      <c r="Q32" s="34">
        <v>8</v>
      </c>
      <c r="R32" s="34">
        <v>6</v>
      </c>
      <c r="S32" s="34">
        <v>4</v>
      </c>
      <c r="T32" s="34">
        <v>5</v>
      </c>
      <c r="U32" s="34">
        <v>5</v>
      </c>
      <c r="V32" s="34">
        <v>7</v>
      </c>
      <c r="W32" s="34">
        <v>8</v>
      </c>
      <c r="X32" s="34">
        <v>6</v>
      </c>
      <c r="Y32" s="34">
        <v>6</v>
      </c>
      <c r="Z32" s="34">
        <v>3</v>
      </c>
      <c r="AA32" s="34">
        <v>2</v>
      </c>
      <c r="AB32" s="97">
        <f>SUM(P32:AA32)</f>
        <v>60</v>
      </c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120"/>
      <c r="AZ32" s="39"/>
    </row>
    <row r="33" spans="1:52" x14ac:dyDescent="0.25">
      <c r="A33" s="114"/>
      <c r="B33" s="35"/>
      <c r="C33" s="34"/>
      <c r="D33" s="113"/>
      <c r="E33" s="105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100">
        <f t="shared" ref="P33:AA33" si="9">(P32*-2)</f>
        <v>0</v>
      </c>
      <c r="Q33" s="100">
        <f t="shared" si="9"/>
        <v>-16</v>
      </c>
      <c r="R33" s="100">
        <f t="shared" si="9"/>
        <v>-12</v>
      </c>
      <c r="S33" s="100">
        <f t="shared" si="9"/>
        <v>-8</v>
      </c>
      <c r="T33" s="100">
        <f t="shared" si="9"/>
        <v>-10</v>
      </c>
      <c r="U33" s="100">
        <f t="shared" si="9"/>
        <v>-10</v>
      </c>
      <c r="V33" s="100">
        <f t="shared" si="9"/>
        <v>-14</v>
      </c>
      <c r="W33" s="100">
        <f t="shared" si="9"/>
        <v>-16</v>
      </c>
      <c r="X33" s="100">
        <f t="shared" si="9"/>
        <v>-12</v>
      </c>
      <c r="Y33" s="100">
        <f t="shared" si="9"/>
        <v>-12</v>
      </c>
      <c r="Z33" s="100">
        <f t="shared" si="9"/>
        <v>-6</v>
      </c>
      <c r="AA33" s="100">
        <f t="shared" si="9"/>
        <v>-4</v>
      </c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120"/>
      <c r="AZ33" s="39"/>
    </row>
    <row r="34" spans="1:52" x14ac:dyDescent="0.25">
      <c r="A34" s="115">
        <v>42370</v>
      </c>
      <c r="B34" s="35" t="s">
        <v>29</v>
      </c>
      <c r="C34" s="34">
        <v>2900</v>
      </c>
      <c r="D34" s="113" t="s">
        <v>6</v>
      </c>
      <c r="E34" s="105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99">
        <f>SUM(P4:P33)+O31</f>
        <v>245</v>
      </c>
      <c r="Q34" s="34">
        <v>40</v>
      </c>
      <c r="R34" s="34">
        <v>2</v>
      </c>
      <c r="S34" s="34">
        <v>6</v>
      </c>
      <c r="T34" s="34">
        <v>2</v>
      </c>
      <c r="U34" s="34">
        <v>1</v>
      </c>
      <c r="V34" s="34">
        <v>2</v>
      </c>
      <c r="W34" s="34">
        <v>3</v>
      </c>
      <c r="X34" s="34">
        <v>2</v>
      </c>
      <c r="Y34" s="34">
        <v>1</v>
      </c>
      <c r="Z34" s="34">
        <v>0</v>
      </c>
      <c r="AA34" s="34">
        <v>1</v>
      </c>
      <c r="AB34" s="34">
        <v>0</v>
      </c>
      <c r="AC34" s="97">
        <v>-60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120"/>
      <c r="AZ34" s="39"/>
    </row>
    <row r="35" spans="1:52" x14ac:dyDescent="0.25">
      <c r="A35" s="112">
        <v>42370</v>
      </c>
      <c r="B35" s="35" t="s">
        <v>29</v>
      </c>
      <c r="C35" s="34">
        <v>2900</v>
      </c>
      <c r="D35" s="113" t="s">
        <v>7</v>
      </c>
      <c r="E35" s="105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>
        <v>0</v>
      </c>
      <c r="R35" s="34">
        <v>5</v>
      </c>
      <c r="S35" s="34">
        <v>4</v>
      </c>
      <c r="T35" s="34">
        <v>6</v>
      </c>
      <c r="U35" s="34">
        <v>7</v>
      </c>
      <c r="V35" s="34">
        <v>3</v>
      </c>
      <c r="W35" s="34">
        <v>2</v>
      </c>
      <c r="X35" s="34">
        <v>9</v>
      </c>
      <c r="Y35" s="34">
        <v>8</v>
      </c>
      <c r="Z35" s="34">
        <v>5</v>
      </c>
      <c r="AA35" s="34">
        <v>6</v>
      </c>
      <c r="AB35" s="34">
        <v>4</v>
      </c>
      <c r="AC35" s="97">
        <f>SUM(Q35:AB35)</f>
        <v>59</v>
      </c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120"/>
      <c r="AZ35" s="39"/>
    </row>
    <row r="36" spans="1:52" x14ac:dyDescent="0.25">
      <c r="A36" s="114"/>
      <c r="B36" s="35"/>
      <c r="C36" s="34"/>
      <c r="D36" s="113"/>
      <c r="E36" s="105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100">
        <f t="shared" ref="Q36:AB36" si="10">(Q35*-2)</f>
        <v>0</v>
      </c>
      <c r="R36" s="100">
        <f t="shared" si="10"/>
        <v>-10</v>
      </c>
      <c r="S36" s="100">
        <f t="shared" si="10"/>
        <v>-8</v>
      </c>
      <c r="T36" s="100">
        <f t="shared" si="10"/>
        <v>-12</v>
      </c>
      <c r="U36" s="100">
        <f t="shared" si="10"/>
        <v>-14</v>
      </c>
      <c r="V36" s="100">
        <f t="shared" si="10"/>
        <v>-6</v>
      </c>
      <c r="W36" s="100">
        <f t="shared" si="10"/>
        <v>-4</v>
      </c>
      <c r="X36" s="100">
        <f t="shared" si="10"/>
        <v>-18</v>
      </c>
      <c r="Y36" s="100">
        <f t="shared" si="10"/>
        <v>-16</v>
      </c>
      <c r="Z36" s="100">
        <f t="shared" si="10"/>
        <v>-10</v>
      </c>
      <c r="AA36" s="100">
        <f t="shared" si="10"/>
        <v>-12</v>
      </c>
      <c r="AB36" s="100">
        <f t="shared" si="10"/>
        <v>-8</v>
      </c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120"/>
      <c r="AZ36" s="39"/>
    </row>
    <row r="37" spans="1:52" x14ac:dyDescent="0.25">
      <c r="A37" s="115">
        <v>42415</v>
      </c>
      <c r="B37" s="35" t="s">
        <v>30</v>
      </c>
      <c r="C37" s="34">
        <v>3800</v>
      </c>
      <c r="D37" s="113" t="s">
        <v>6</v>
      </c>
      <c r="E37" s="105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99">
        <f>SUM(Q4:Q36)+P34</f>
        <v>242</v>
      </c>
      <c r="R37" s="34">
        <v>25</v>
      </c>
      <c r="S37" s="34">
        <v>4</v>
      </c>
      <c r="T37" s="34">
        <v>6</v>
      </c>
      <c r="U37" s="34">
        <v>3</v>
      </c>
      <c r="V37" s="34">
        <v>1</v>
      </c>
      <c r="W37" s="34">
        <v>2</v>
      </c>
      <c r="X37" s="34">
        <v>2</v>
      </c>
      <c r="Y37" s="34">
        <v>3</v>
      </c>
      <c r="Z37" s="34">
        <v>1</v>
      </c>
      <c r="AA37" s="34">
        <v>0</v>
      </c>
      <c r="AB37" s="34">
        <v>1</v>
      </c>
      <c r="AC37" s="34">
        <v>0</v>
      </c>
      <c r="AD37" s="97">
        <v>-48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120"/>
      <c r="AZ37" s="39"/>
    </row>
    <row r="38" spans="1:52" x14ac:dyDescent="0.25">
      <c r="A38" s="112">
        <v>42415</v>
      </c>
      <c r="B38" s="35" t="s">
        <v>30</v>
      </c>
      <c r="C38" s="34">
        <v>3800</v>
      </c>
      <c r="D38" s="113" t="s">
        <v>7</v>
      </c>
      <c r="E38" s="105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>
        <v>0</v>
      </c>
      <c r="S38" s="34">
        <v>4</v>
      </c>
      <c r="T38" s="34">
        <v>8</v>
      </c>
      <c r="U38" s="34">
        <v>3</v>
      </c>
      <c r="V38" s="34">
        <v>5</v>
      </c>
      <c r="W38" s="34">
        <v>5</v>
      </c>
      <c r="X38" s="34">
        <v>7</v>
      </c>
      <c r="Y38" s="34">
        <v>8</v>
      </c>
      <c r="Z38" s="34">
        <v>6</v>
      </c>
      <c r="AA38" s="34">
        <v>1</v>
      </c>
      <c r="AB38" s="34">
        <v>0</v>
      </c>
      <c r="AC38" s="34">
        <v>1</v>
      </c>
      <c r="AD38" s="97">
        <f>SUM(R38:AC38)</f>
        <v>48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120"/>
      <c r="AZ38" s="39"/>
    </row>
    <row r="39" spans="1:52" x14ac:dyDescent="0.25">
      <c r="A39" s="114"/>
      <c r="B39" s="35"/>
      <c r="C39" s="34"/>
      <c r="D39" s="113"/>
      <c r="E39" s="105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00">
        <f t="shared" ref="R39:AC39" si="11">(R38*-2)</f>
        <v>0</v>
      </c>
      <c r="S39" s="100">
        <f t="shared" si="11"/>
        <v>-8</v>
      </c>
      <c r="T39" s="100">
        <f t="shared" si="11"/>
        <v>-16</v>
      </c>
      <c r="U39" s="100">
        <f t="shared" si="11"/>
        <v>-6</v>
      </c>
      <c r="V39" s="100">
        <f t="shared" si="11"/>
        <v>-10</v>
      </c>
      <c r="W39" s="100">
        <f t="shared" si="11"/>
        <v>-10</v>
      </c>
      <c r="X39" s="100">
        <f t="shared" si="11"/>
        <v>-14</v>
      </c>
      <c r="Y39" s="100">
        <f t="shared" si="11"/>
        <v>-16</v>
      </c>
      <c r="Z39" s="100">
        <f t="shared" si="11"/>
        <v>-12</v>
      </c>
      <c r="AA39" s="100">
        <f t="shared" si="11"/>
        <v>-2</v>
      </c>
      <c r="AB39" s="100">
        <f t="shared" si="11"/>
        <v>0</v>
      </c>
      <c r="AC39" s="100">
        <f t="shared" si="11"/>
        <v>-2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120"/>
      <c r="AZ39" s="39"/>
    </row>
    <row r="40" spans="1:52" x14ac:dyDescent="0.25">
      <c r="A40" s="115">
        <v>42430</v>
      </c>
      <c r="B40" s="35" t="s">
        <v>31</v>
      </c>
      <c r="C40" s="34">
        <v>5215</v>
      </c>
      <c r="D40" s="113" t="s">
        <v>6</v>
      </c>
      <c r="E40" s="105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99">
        <f>SUM(R4:R39)+Q37</f>
        <v>236</v>
      </c>
      <c r="S40" s="34">
        <v>36</v>
      </c>
      <c r="T40" s="34">
        <v>3</v>
      </c>
      <c r="U40" s="34">
        <v>4</v>
      </c>
      <c r="V40" s="34">
        <v>5</v>
      </c>
      <c r="W40" s="34">
        <v>1</v>
      </c>
      <c r="X40" s="34">
        <v>4</v>
      </c>
      <c r="Y40" s="34">
        <v>1</v>
      </c>
      <c r="Z40" s="34">
        <v>2</v>
      </c>
      <c r="AA40" s="34">
        <v>1</v>
      </c>
      <c r="AB40" s="34">
        <v>0</v>
      </c>
      <c r="AC40" s="34">
        <v>1</v>
      </c>
      <c r="AD40" s="34">
        <v>0</v>
      </c>
      <c r="AE40" s="97">
        <v>-58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120"/>
      <c r="AZ40" s="39"/>
    </row>
    <row r="41" spans="1:52" x14ac:dyDescent="0.25">
      <c r="A41" s="112">
        <v>42430</v>
      </c>
      <c r="B41" s="35" t="s">
        <v>31</v>
      </c>
      <c r="C41" s="34">
        <v>5215</v>
      </c>
      <c r="D41" s="113" t="s">
        <v>7</v>
      </c>
      <c r="E41" s="105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>
        <v>0</v>
      </c>
      <c r="T41" s="34">
        <v>6</v>
      </c>
      <c r="U41" s="34">
        <v>7</v>
      </c>
      <c r="V41" s="34">
        <v>5</v>
      </c>
      <c r="W41" s="34">
        <v>4</v>
      </c>
      <c r="X41" s="34">
        <v>6</v>
      </c>
      <c r="Y41" s="34">
        <v>3</v>
      </c>
      <c r="Z41" s="34">
        <v>10</v>
      </c>
      <c r="AA41" s="34">
        <v>10</v>
      </c>
      <c r="AB41" s="34">
        <v>5</v>
      </c>
      <c r="AC41" s="34">
        <v>2</v>
      </c>
      <c r="AD41" s="34">
        <v>0</v>
      </c>
      <c r="AE41" s="97">
        <f>SUM(S41:AD41)</f>
        <v>58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120"/>
      <c r="AZ41" s="39"/>
    </row>
    <row r="42" spans="1:52" x14ac:dyDescent="0.25">
      <c r="A42" s="114"/>
      <c r="B42" s="35"/>
      <c r="C42" s="34"/>
      <c r="D42" s="113"/>
      <c r="E42" s="105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100">
        <f t="shared" ref="S42:AD42" si="12">(S41*-2)</f>
        <v>0</v>
      </c>
      <c r="T42" s="100">
        <f t="shared" si="12"/>
        <v>-12</v>
      </c>
      <c r="U42" s="100">
        <f t="shared" si="12"/>
        <v>-14</v>
      </c>
      <c r="V42" s="100">
        <f t="shared" si="12"/>
        <v>-10</v>
      </c>
      <c r="W42" s="100">
        <f t="shared" si="12"/>
        <v>-8</v>
      </c>
      <c r="X42" s="100">
        <f t="shared" si="12"/>
        <v>-12</v>
      </c>
      <c r="Y42" s="100">
        <f t="shared" si="12"/>
        <v>-6</v>
      </c>
      <c r="Z42" s="100">
        <f t="shared" si="12"/>
        <v>-20</v>
      </c>
      <c r="AA42" s="100">
        <f t="shared" si="12"/>
        <v>-20</v>
      </c>
      <c r="AB42" s="100">
        <f t="shared" si="12"/>
        <v>-10</v>
      </c>
      <c r="AC42" s="100">
        <f t="shared" si="12"/>
        <v>-4</v>
      </c>
      <c r="AD42" s="100">
        <f t="shared" si="12"/>
        <v>0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120"/>
      <c r="AZ42" s="39"/>
    </row>
    <row r="43" spans="1:52" x14ac:dyDescent="0.25">
      <c r="A43" s="115">
        <v>42491</v>
      </c>
      <c r="B43" s="35" t="s">
        <v>6</v>
      </c>
      <c r="C43" s="34">
        <v>3900</v>
      </c>
      <c r="D43" s="113" t="s">
        <v>6</v>
      </c>
      <c r="E43" s="105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99">
        <f>SUM(S4:S42)+R40</f>
        <v>242</v>
      </c>
      <c r="T43" s="99">
        <f>SUM(T4:T42)+S43</f>
        <v>200</v>
      </c>
      <c r="U43" s="34">
        <v>28</v>
      </c>
      <c r="V43" s="34">
        <v>2</v>
      </c>
      <c r="W43" s="34">
        <v>3</v>
      </c>
      <c r="X43" s="34">
        <v>4</v>
      </c>
      <c r="Y43" s="34">
        <v>3</v>
      </c>
      <c r="Z43" s="34">
        <v>3</v>
      </c>
      <c r="AA43" s="34">
        <v>2</v>
      </c>
      <c r="AB43" s="34">
        <v>2</v>
      </c>
      <c r="AC43" s="34">
        <v>1</v>
      </c>
      <c r="AD43" s="34">
        <v>0</v>
      </c>
      <c r="AE43" s="34">
        <v>1</v>
      </c>
      <c r="AF43" s="34">
        <v>0</v>
      </c>
      <c r="AG43" s="97">
        <v>-49</v>
      </c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120"/>
      <c r="AZ43" s="39"/>
    </row>
    <row r="44" spans="1:52" x14ac:dyDescent="0.25">
      <c r="A44" s="112">
        <v>42491</v>
      </c>
      <c r="B44" s="35" t="s">
        <v>6</v>
      </c>
      <c r="C44" s="34">
        <v>3900</v>
      </c>
      <c r="D44" s="113" t="s">
        <v>7</v>
      </c>
      <c r="E44" s="105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>
        <v>0</v>
      </c>
      <c r="V44" s="34">
        <v>8</v>
      </c>
      <c r="W44" s="34">
        <v>4</v>
      </c>
      <c r="X44" s="34">
        <v>4</v>
      </c>
      <c r="Y44" s="34">
        <v>5</v>
      </c>
      <c r="Z44" s="34">
        <v>5</v>
      </c>
      <c r="AA44" s="34">
        <v>7</v>
      </c>
      <c r="AB44" s="34">
        <v>8</v>
      </c>
      <c r="AC44" s="34">
        <v>4</v>
      </c>
      <c r="AD44" s="34">
        <v>1</v>
      </c>
      <c r="AE44" s="34">
        <v>2</v>
      </c>
      <c r="AF44" s="34">
        <v>1</v>
      </c>
      <c r="AG44" s="97">
        <f>SUM(U44:AF44)</f>
        <v>49</v>
      </c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120"/>
      <c r="AZ44" s="39"/>
    </row>
    <row r="45" spans="1:52" x14ac:dyDescent="0.25">
      <c r="A45" s="114"/>
      <c r="B45" s="35"/>
      <c r="C45" s="34"/>
      <c r="D45" s="113"/>
      <c r="E45" s="105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100">
        <f t="shared" ref="U45:AF45" si="13">(U44*-2)</f>
        <v>0</v>
      </c>
      <c r="V45" s="100">
        <f t="shared" si="13"/>
        <v>-16</v>
      </c>
      <c r="W45" s="100">
        <f t="shared" si="13"/>
        <v>-8</v>
      </c>
      <c r="X45" s="100">
        <f t="shared" si="13"/>
        <v>-8</v>
      </c>
      <c r="Y45" s="100">
        <f t="shared" si="13"/>
        <v>-10</v>
      </c>
      <c r="Z45" s="100">
        <f t="shared" si="13"/>
        <v>-10</v>
      </c>
      <c r="AA45" s="100">
        <f t="shared" si="13"/>
        <v>-14</v>
      </c>
      <c r="AB45" s="100">
        <f t="shared" si="13"/>
        <v>-16</v>
      </c>
      <c r="AC45" s="100">
        <f t="shared" si="13"/>
        <v>-8</v>
      </c>
      <c r="AD45" s="100">
        <f t="shared" si="13"/>
        <v>-2</v>
      </c>
      <c r="AE45" s="100">
        <f t="shared" si="13"/>
        <v>-4</v>
      </c>
      <c r="AF45" s="100">
        <f t="shared" si="13"/>
        <v>-2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120"/>
      <c r="AZ45" s="39"/>
    </row>
    <row r="46" spans="1:52" x14ac:dyDescent="0.25">
      <c r="A46" s="115">
        <v>42536</v>
      </c>
      <c r="B46" s="35" t="s">
        <v>32</v>
      </c>
      <c r="C46" s="34">
        <v>5100</v>
      </c>
      <c r="D46" s="113" t="s">
        <v>6</v>
      </c>
      <c r="E46" s="105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99">
        <f>SUM(U4:U45)+T43</f>
        <v>193</v>
      </c>
      <c r="V46" s="34">
        <v>43</v>
      </c>
      <c r="W46" s="34">
        <v>2</v>
      </c>
      <c r="X46" s="34">
        <v>6</v>
      </c>
      <c r="Y46" s="34">
        <v>2</v>
      </c>
      <c r="Z46" s="34">
        <v>1</v>
      </c>
      <c r="AA46" s="34">
        <v>2</v>
      </c>
      <c r="AB46" s="34">
        <v>3</v>
      </c>
      <c r="AC46" s="34">
        <v>2</v>
      </c>
      <c r="AD46" s="34">
        <v>1</v>
      </c>
      <c r="AE46" s="34">
        <v>0</v>
      </c>
      <c r="AF46" s="34">
        <v>1</v>
      </c>
      <c r="AG46" s="34">
        <v>0</v>
      </c>
      <c r="AH46" s="97">
        <v>-63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120"/>
      <c r="AZ46" s="39"/>
    </row>
    <row r="47" spans="1:52" x14ac:dyDescent="0.25">
      <c r="A47" s="112">
        <v>42536</v>
      </c>
      <c r="B47" s="35" t="s">
        <v>32</v>
      </c>
      <c r="C47" s="34">
        <v>5100</v>
      </c>
      <c r="D47" s="113" t="s">
        <v>7</v>
      </c>
      <c r="E47" s="105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>
        <v>0</v>
      </c>
      <c r="W47" s="34">
        <v>5</v>
      </c>
      <c r="X47" s="34">
        <v>4</v>
      </c>
      <c r="Y47" s="34">
        <v>6</v>
      </c>
      <c r="Z47" s="34">
        <v>7</v>
      </c>
      <c r="AA47" s="34">
        <v>3</v>
      </c>
      <c r="AB47" s="34">
        <v>5</v>
      </c>
      <c r="AC47" s="34">
        <v>9</v>
      </c>
      <c r="AD47" s="34">
        <v>8</v>
      </c>
      <c r="AE47" s="34">
        <v>5</v>
      </c>
      <c r="AF47" s="34">
        <v>6</v>
      </c>
      <c r="AG47" s="34">
        <v>4</v>
      </c>
      <c r="AH47" s="97">
        <f>SUM(V47:AG47)</f>
        <v>62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120"/>
      <c r="AZ47" s="39"/>
    </row>
    <row r="48" spans="1:52" x14ac:dyDescent="0.25">
      <c r="A48" s="114"/>
      <c r="B48" s="35"/>
      <c r="C48" s="34"/>
      <c r="D48" s="113"/>
      <c r="E48" s="105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100">
        <f t="shared" ref="V48:AG48" si="14">(V47*-2)</f>
        <v>0</v>
      </c>
      <c r="W48" s="100">
        <f t="shared" si="14"/>
        <v>-10</v>
      </c>
      <c r="X48" s="100">
        <f t="shared" si="14"/>
        <v>-8</v>
      </c>
      <c r="Y48" s="100">
        <f t="shared" si="14"/>
        <v>-12</v>
      </c>
      <c r="Z48" s="100">
        <f t="shared" si="14"/>
        <v>-14</v>
      </c>
      <c r="AA48" s="100">
        <f t="shared" si="14"/>
        <v>-6</v>
      </c>
      <c r="AB48" s="100">
        <f t="shared" si="14"/>
        <v>-10</v>
      </c>
      <c r="AC48" s="100">
        <f t="shared" si="14"/>
        <v>-18</v>
      </c>
      <c r="AD48" s="100">
        <f t="shared" si="14"/>
        <v>-16</v>
      </c>
      <c r="AE48" s="100">
        <f t="shared" si="14"/>
        <v>-10</v>
      </c>
      <c r="AF48" s="100">
        <f t="shared" si="14"/>
        <v>-12</v>
      </c>
      <c r="AG48" s="100">
        <f t="shared" si="14"/>
        <v>-8</v>
      </c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120"/>
      <c r="AZ48" s="39"/>
    </row>
    <row r="49" spans="1:52" x14ac:dyDescent="0.25">
      <c r="A49" s="115">
        <v>42552</v>
      </c>
      <c r="B49" s="35" t="s">
        <v>33</v>
      </c>
      <c r="C49" s="34">
        <v>5330</v>
      </c>
      <c r="D49" s="113" t="s">
        <v>6</v>
      </c>
      <c r="E49" s="105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99">
        <f>SUM(V4:V48)+U46</f>
        <v>197</v>
      </c>
      <c r="W49" s="34">
        <v>30</v>
      </c>
      <c r="X49" s="34">
        <v>6</v>
      </c>
      <c r="Y49" s="34">
        <v>4</v>
      </c>
      <c r="Z49" s="34">
        <v>1</v>
      </c>
      <c r="AA49" s="34">
        <v>3</v>
      </c>
      <c r="AB49" s="34">
        <v>2</v>
      </c>
      <c r="AC49" s="34">
        <v>2</v>
      </c>
      <c r="AD49" s="34">
        <v>3</v>
      </c>
      <c r="AE49" s="34">
        <v>1</v>
      </c>
      <c r="AF49" s="34">
        <v>0</v>
      </c>
      <c r="AG49" s="34">
        <v>1</v>
      </c>
      <c r="AH49" s="34">
        <v>0</v>
      </c>
      <c r="AI49" s="97">
        <v>-53</v>
      </c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120"/>
      <c r="AZ49" s="39"/>
    </row>
    <row r="50" spans="1:52" x14ac:dyDescent="0.25">
      <c r="A50" s="112">
        <v>42552</v>
      </c>
      <c r="B50" s="35" t="s">
        <v>33</v>
      </c>
      <c r="C50" s="34">
        <v>5330</v>
      </c>
      <c r="D50" s="113" t="s">
        <v>7</v>
      </c>
      <c r="E50" s="105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>
        <v>0</v>
      </c>
      <c r="X50" s="34">
        <v>4</v>
      </c>
      <c r="Y50" s="34">
        <v>8</v>
      </c>
      <c r="Z50" s="34">
        <v>6</v>
      </c>
      <c r="AA50" s="34">
        <v>8</v>
      </c>
      <c r="AB50" s="34">
        <v>5</v>
      </c>
      <c r="AC50" s="34">
        <v>7</v>
      </c>
      <c r="AD50" s="34">
        <v>6</v>
      </c>
      <c r="AE50" s="34">
        <v>7</v>
      </c>
      <c r="AF50" s="34">
        <v>1</v>
      </c>
      <c r="AG50" s="34">
        <v>0</v>
      </c>
      <c r="AH50" s="34">
        <v>1</v>
      </c>
      <c r="AI50" s="97">
        <f>SUM(W50:AH50)</f>
        <v>53</v>
      </c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120"/>
      <c r="AZ50" s="39"/>
    </row>
    <row r="51" spans="1:52" x14ac:dyDescent="0.25">
      <c r="A51" s="114"/>
      <c r="B51" s="35"/>
      <c r="C51" s="34"/>
      <c r="D51" s="113"/>
      <c r="E51" s="105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100">
        <f t="shared" ref="W51:AH51" si="15">(W50*-2)</f>
        <v>0</v>
      </c>
      <c r="X51" s="100">
        <f t="shared" si="15"/>
        <v>-8</v>
      </c>
      <c r="Y51" s="100">
        <f t="shared" si="15"/>
        <v>-16</v>
      </c>
      <c r="Z51" s="100">
        <f t="shared" si="15"/>
        <v>-12</v>
      </c>
      <c r="AA51" s="100">
        <f t="shared" si="15"/>
        <v>-16</v>
      </c>
      <c r="AB51" s="100">
        <f t="shared" si="15"/>
        <v>-10</v>
      </c>
      <c r="AC51" s="100">
        <f t="shared" si="15"/>
        <v>-14</v>
      </c>
      <c r="AD51" s="100">
        <f t="shared" si="15"/>
        <v>-12</v>
      </c>
      <c r="AE51" s="100">
        <f t="shared" si="15"/>
        <v>-14</v>
      </c>
      <c r="AF51" s="100">
        <f t="shared" si="15"/>
        <v>-2</v>
      </c>
      <c r="AG51" s="100">
        <f t="shared" si="15"/>
        <v>0</v>
      </c>
      <c r="AH51" s="100">
        <f t="shared" si="15"/>
        <v>-2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120"/>
      <c r="AZ51" s="39"/>
    </row>
    <row r="52" spans="1:52" x14ac:dyDescent="0.25">
      <c r="A52" s="115">
        <v>42583</v>
      </c>
      <c r="B52" s="35" t="s">
        <v>34</v>
      </c>
      <c r="C52" s="34">
        <v>5455</v>
      </c>
      <c r="D52" s="113" t="s">
        <v>6</v>
      </c>
      <c r="E52" s="105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99">
        <f>SUM(W7:W51)+V49</f>
        <v>195</v>
      </c>
      <c r="X52" s="34">
        <v>36</v>
      </c>
      <c r="Y52" s="34">
        <v>3</v>
      </c>
      <c r="Z52" s="34">
        <v>4</v>
      </c>
      <c r="AA52" s="34">
        <v>5</v>
      </c>
      <c r="AB52" s="34">
        <v>1</v>
      </c>
      <c r="AC52" s="34">
        <v>4</v>
      </c>
      <c r="AD52" s="34">
        <v>1</v>
      </c>
      <c r="AE52" s="34">
        <v>2</v>
      </c>
      <c r="AF52" s="34">
        <v>1</v>
      </c>
      <c r="AG52" s="34">
        <v>0</v>
      </c>
      <c r="AH52" s="34">
        <v>1</v>
      </c>
      <c r="AI52" s="34">
        <v>0</v>
      </c>
      <c r="AJ52" s="34">
        <v>0</v>
      </c>
      <c r="AK52" s="97">
        <v>-22</v>
      </c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120"/>
      <c r="AZ52" s="39"/>
    </row>
    <row r="53" spans="1:52" x14ac:dyDescent="0.25">
      <c r="A53" s="112">
        <v>42583</v>
      </c>
      <c r="B53" s="35" t="s">
        <v>34</v>
      </c>
      <c r="C53" s="34">
        <v>5455</v>
      </c>
      <c r="D53" s="113" t="s">
        <v>7</v>
      </c>
      <c r="E53" s="105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>
        <v>0</v>
      </c>
      <c r="Y53" s="34">
        <v>6</v>
      </c>
      <c r="Z53" s="34">
        <v>7</v>
      </c>
      <c r="AA53" s="34">
        <v>5</v>
      </c>
      <c r="AB53" s="34">
        <v>4</v>
      </c>
      <c r="AC53" s="34">
        <v>6</v>
      </c>
      <c r="AD53" s="34">
        <v>3</v>
      </c>
      <c r="AE53" s="34">
        <v>10</v>
      </c>
      <c r="AF53" s="34">
        <v>10</v>
      </c>
      <c r="AG53" s="34">
        <v>5</v>
      </c>
      <c r="AH53" s="34">
        <v>2</v>
      </c>
      <c r="AI53" s="34">
        <v>0</v>
      </c>
      <c r="AJ53" s="34">
        <v>0</v>
      </c>
      <c r="AK53" s="97">
        <f>SUM(Y53:AJ53)</f>
        <v>58</v>
      </c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120"/>
      <c r="AZ53" s="39"/>
    </row>
    <row r="54" spans="1:52" x14ac:dyDescent="0.25">
      <c r="A54" s="114"/>
      <c r="B54" s="35"/>
      <c r="C54" s="34"/>
      <c r="D54" s="113"/>
      <c r="E54" s="105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100">
        <f t="shared" ref="X54:AJ54" si="16">(X53*-2)</f>
        <v>0</v>
      </c>
      <c r="Y54" s="100">
        <f t="shared" si="16"/>
        <v>-12</v>
      </c>
      <c r="Z54" s="100">
        <f t="shared" si="16"/>
        <v>-14</v>
      </c>
      <c r="AA54" s="100">
        <f t="shared" si="16"/>
        <v>-10</v>
      </c>
      <c r="AB54" s="100">
        <f t="shared" si="16"/>
        <v>-8</v>
      </c>
      <c r="AC54" s="100">
        <f t="shared" si="16"/>
        <v>-12</v>
      </c>
      <c r="AD54" s="100">
        <f t="shared" si="16"/>
        <v>-6</v>
      </c>
      <c r="AE54" s="100">
        <f t="shared" si="16"/>
        <v>-20</v>
      </c>
      <c r="AF54" s="100">
        <f t="shared" si="16"/>
        <v>-20</v>
      </c>
      <c r="AG54" s="100">
        <f t="shared" si="16"/>
        <v>-10</v>
      </c>
      <c r="AH54" s="100">
        <f t="shared" si="16"/>
        <v>-4</v>
      </c>
      <c r="AI54" s="100">
        <f t="shared" si="16"/>
        <v>0</v>
      </c>
      <c r="AJ54" s="100">
        <f t="shared" si="16"/>
        <v>0</v>
      </c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120"/>
      <c r="AZ54" s="39"/>
    </row>
    <row r="55" spans="1:52" x14ac:dyDescent="0.25">
      <c r="A55" s="115">
        <v>42644</v>
      </c>
      <c r="B55" s="35" t="s">
        <v>35</v>
      </c>
      <c r="C55" s="34">
        <v>6200</v>
      </c>
      <c r="D55" s="113" t="s">
        <v>6</v>
      </c>
      <c r="E55" s="105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99">
        <f>SUM(X4:X54)+W52</f>
        <v>207</v>
      </c>
      <c r="Y55" s="99">
        <f>SUM(Y4:Y54)+X55</f>
        <v>171</v>
      </c>
      <c r="Z55" s="34">
        <v>28</v>
      </c>
      <c r="AA55" s="34">
        <v>2</v>
      </c>
      <c r="AB55" s="34">
        <v>3</v>
      </c>
      <c r="AC55" s="34">
        <v>4</v>
      </c>
      <c r="AD55" s="34">
        <v>3</v>
      </c>
      <c r="AE55" s="34">
        <v>3</v>
      </c>
      <c r="AF55" s="34">
        <v>2</v>
      </c>
      <c r="AG55" s="34">
        <v>2</v>
      </c>
      <c r="AH55" s="34">
        <v>1</v>
      </c>
      <c r="AI55" s="34">
        <v>0</v>
      </c>
      <c r="AJ55" s="34">
        <v>1</v>
      </c>
      <c r="AK55" s="34">
        <v>0</v>
      </c>
      <c r="AL55" s="97">
        <v>-49</v>
      </c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120"/>
      <c r="AZ55" s="39"/>
    </row>
    <row r="56" spans="1:52" x14ac:dyDescent="0.25">
      <c r="A56" s="112">
        <v>42644</v>
      </c>
      <c r="B56" s="35" t="s">
        <v>35</v>
      </c>
      <c r="C56" s="34">
        <v>6200</v>
      </c>
      <c r="D56" s="113" t="s">
        <v>7</v>
      </c>
      <c r="E56" s="105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>
        <v>0</v>
      </c>
      <c r="AA56" s="34">
        <v>8</v>
      </c>
      <c r="AB56" s="34">
        <v>4</v>
      </c>
      <c r="AC56" s="34">
        <v>4</v>
      </c>
      <c r="AD56" s="34">
        <v>5</v>
      </c>
      <c r="AE56" s="34">
        <v>5</v>
      </c>
      <c r="AF56" s="34">
        <v>7</v>
      </c>
      <c r="AG56" s="34">
        <v>8</v>
      </c>
      <c r="AH56" s="34">
        <v>4</v>
      </c>
      <c r="AI56" s="34">
        <v>1</v>
      </c>
      <c r="AJ56" s="34">
        <v>2</v>
      </c>
      <c r="AK56" s="34">
        <v>1</v>
      </c>
      <c r="AL56" s="97">
        <f>SUM(Z56:AK56)</f>
        <v>49</v>
      </c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120"/>
      <c r="AZ56" s="39"/>
    </row>
    <row r="57" spans="1:52" x14ac:dyDescent="0.25">
      <c r="A57" s="114"/>
      <c r="B57" s="35"/>
      <c r="C57" s="34"/>
      <c r="D57" s="113"/>
      <c r="E57" s="105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100">
        <f t="shared" ref="Z57:AJ57" si="17">(Z56*-2)</f>
        <v>0</v>
      </c>
      <c r="AA57" s="100">
        <f t="shared" si="17"/>
        <v>-16</v>
      </c>
      <c r="AB57" s="100">
        <f t="shared" si="17"/>
        <v>-8</v>
      </c>
      <c r="AC57" s="100">
        <f t="shared" si="17"/>
        <v>-8</v>
      </c>
      <c r="AD57" s="100">
        <f t="shared" si="17"/>
        <v>-10</v>
      </c>
      <c r="AE57" s="100">
        <f t="shared" si="17"/>
        <v>-10</v>
      </c>
      <c r="AF57" s="100">
        <f t="shared" si="17"/>
        <v>-14</v>
      </c>
      <c r="AG57" s="100">
        <f t="shared" si="17"/>
        <v>-16</v>
      </c>
      <c r="AH57" s="100">
        <f t="shared" si="17"/>
        <v>-8</v>
      </c>
      <c r="AI57" s="100">
        <f t="shared" si="17"/>
        <v>-2</v>
      </c>
      <c r="AJ57" s="100">
        <f t="shared" si="17"/>
        <v>-4</v>
      </c>
      <c r="AK57" s="100">
        <f>(AK56*-2)</f>
        <v>-2</v>
      </c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120"/>
      <c r="AZ57" s="39"/>
    </row>
    <row r="58" spans="1:52" x14ac:dyDescent="0.25">
      <c r="A58" s="115">
        <v>42675</v>
      </c>
      <c r="B58" s="35" t="s">
        <v>36</v>
      </c>
      <c r="C58" s="34">
        <v>7100</v>
      </c>
      <c r="D58" s="113" t="s">
        <v>6</v>
      </c>
      <c r="E58" s="105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99">
        <f>SUM(Z4:Z57)+Y55</f>
        <v>161</v>
      </c>
      <c r="AA58" s="34">
        <v>32</v>
      </c>
      <c r="AB58" s="34">
        <v>3</v>
      </c>
      <c r="AC58" s="34">
        <v>4</v>
      </c>
      <c r="AD58" s="34">
        <v>5</v>
      </c>
      <c r="AE58" s="34">
        <v>1</v>
      </c>
      <c r="AF58" s="34">
        <v>4</v>
      </c>
      <c r="AG58" s="34">
        <v>1</v>
      </c>
      <c r="AH58" s="34">
        <v>2</v>
      </c>
      <c r="AI58" s="34">
        <v>1</v>
      </c>
      <c r="AJ58" s="34">
        <v>0</v>
      </c>
      <c r="AK58" s="34">
        <v>1</v>
      </c>
      <c r="AL58" s="34">
        <v>0</v>
      </c>
      <c r="AM58" s="97">
        <v>-54</v>
      </c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120"/>
      <c r="AZ58" s="39"/>
    </row>
    <row r="59" spans="1:52" x14ac:dyDescent="0.25">
      <c r="A59" s="112">
        <v>42675</v>
      </c>
      <c r="B59" s="35" t="s">
        <v>36</v>
      </c>
      <c r="C59" s="34">
        <v>7100</v>
      </c>
      <c r="D59" s="113" t="s">
        <v>7</v>
      </c>
      <c r="E59" s="105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>
        <v>0</v>
      </c>
      <c r="AB59" s="34">
        <v>6</v>
      </c>
      <c r="AC59" s="34">
        <v>7</v>
      </c>
      <c r="AD59" s="34">
        <v>5</v>
      </c>
      <c r="AE59" s="34">
        <v>4</v>
      </c>
      <c r="AF59" s="34">
        <v>6</v>
      </c>
      <c r="AG59" s="34">
        <v>3</v>
      </c>
      <c r="AH59" s="34">
        <v>8</v>
      </c>
      <c r="AI59" s="34">
        <v>8</v>
      </c>
      <c r="AJ59" s="34">
        <v>5</v>
      </c>
      <c r="AK59" s="34">
        <v>2</v>
      </c>
      <c r="AL59" s="34">
        <v>0</v>
      </c>
      <c r="AM59" s="97">
        <f>SUM(AA59:AL59)</f>
        <v>54</v>
      </c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120"/>
      <c r="AZ59" s="39"/>
    </row>
    <row r="60" spans="1:52" x14ac:dyDescent="0.25">
      <c r="A60" s="114"/>
      <c r="B60" s="35"/>
      <c r="C60" s="34"/>
      <c r="D60" s="113"/>
      <c r="E60" s="105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100">
        <f t="shared" ref="AA60:AL60" si="18">(AA59*-2)</f>
        <v>0</v>
      </c>
      <c r="AB60" s="100">
        <f t="shared" si="18"/>
        <v>-12</v>
      </c>
      <c r="AC60" s="100">
        <f t="shared" si="18"/>
        <v>-14</v>
      </c>
      <c r="AD60" s="100">
        <f t="shared" si="18"/>
        <v>-10</v>
      </c>
      <c r="AE60" s="100">
        <f t="shared" si="18"/>
        <v>-8</v>
      </c>
      <c r="AF60" s="100">
        <f t="shared" si="18"/>
        <v>-12</v>
      </c>
      <c r="AG60" s="100">
        <f t="shared" si="18"/>
        <v>-6</v>
      </c>
      <c r="AH60" s="100">
        <f t="shared" si="18"/>
        <v>-16</v>
      </c>
      <c r="AI60" s="100">
        <f t="shared" si="18"/>
        <v>-16</v>
      </c>
      <c r="AJ60" s="100">
        <f t="shared" si="18"/>
        <v>-10</v>
      </c>
      <c r="AK60" s="100">
        <f t="shared" si="18"/>
        <v>-4</v>
      </c>
      <c r="AL60" s="100">
        <f t="shared" si="18"/>
        <v>0</v>
      </c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120"/>
      <c r="AZ60" s="39"/>
    </row>
    <row r="61" spans="1:52" x14ac:dyDescent="0.25">
      <c r="A61" s="115">
        <v>42705</v>
      </c>
      <c r="B61" s="35" t="s">
        <v>37</v>
      </c>
      <c r="C61" s="34">
        <v>4204</v>
      </c>
      <c r="D61" s="113" t="s">
        <v>6</v>
      </c>
      <c r="E61" s="105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99">
        <f>SUM(AA4:AA60)+Z58</f>
        <v>158</v>
      </c>
      <c r="AB61" s="34">
        <v>24</v>
      </c>
      <c r="AC61" s="34">
        <v>2</v>
      </c>
      <c r="AD61" s="34">
        <v>3</v>
      </c>
      <c r="AE61" s="34">
        <v>4</v>
      </c>
      <c r="AF61" s="34">
        <v>3</v>
      </c>
      <c r="AG61" s="34">
        <v>3</v>
      </c>
      <c r="AH61" s="34">
        <v>2</v>
      </c>
      <c r="AI61" s="34">
        <v>2</v>
      </c>
      <c r="AJ61" s="34">
        <v>1</v>
      </c>
      <c r="AK61" s="34">
        <v>0</v>
      </c>
      <c r="AL61" s="34">
        <v>1</v>
      </c>
      <c r="AM61" s="34">
        <v>0</v>
      </c>
      <c r="AN61" s="97">
        <v>-45</v>
      </c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120"/>
      <c r="AZ61" s="39"/>
    </row>
    <row r="62" spans="1:52" x14ac:dyDescent="0.25">
      <c r="A62" s="112">
        <v>42705</v>
      </c>
      <c r="B62" s="35" t="s">
        <v>37</v>
      </c>
      <c r="C62" s="34">
        <v>4204</v>
      </c>
      <c r="D62" s="113" t="s">
        <v>7</v>
      </c>
      <c r="E62" s="105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>
        <v>0</v>
      </c>
      <c r="AC62" s="34">
        <v>8</v>
      </c>
      <c r="AD62" s="34">
        <v>4</v>
      </c>
      <c r="AE62" s="34">
        <v>4</v>
      </c>
      <c r="AF62" s="34">
        <v>5</v>
      </c>
      <c r="AG62" s="34">
        <v>5</v>
      </c>
      <c r="AH62" s="34">
        <v>7</v>
      </c>
      <c r="AI62" s="34">
        <v>6</v>
      </c>
      <c r="AJ62" s="34">
        <v>2</v>
      </c>
      <c r="AK62" s="34">
        <v>1</v>
      </c>
      <c r="AL62" s="34">
        <v>2</v>
      </c>
      <c r="AM62" s="34">
        <v>1</v>
      </c>
      <c r="AN62" s="97">
        <f>SUM(AB62:AM62)</f>
        <v>45</v>
      </c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120"/>
      <c r="AZ62" s="39"/>
    </row>
    <row r="63" spans="1:52" x14ac:dyDescent="0.25">
      <c r="A63" s="114"/>
      <c r="B63" s="35"/>
      <c r="C63" s="34"/>
      <c r="D63" s="113"/>
      <c r="E63" s="105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00">
        <f t="shared" ref="AB63:AM63" si="19">(AB62*-2)</f>
        <v>0</v>
      </c>
      <c r="AC63" s="100">
        <f t="shared" si="19"/>
        <v>-16</v>
      </c>
      <c r="AD63" s="100">
        <f t="shared" si="19"/>
        <v>-8</v>
      </c>
      <c r="AE63" s="100">
        <f t="shared" si="19"/>
        <v>-8</v>
      </c>
      <c r="AF63" s="100">
        <f t="shared" si="19"/>
        <v>-10</v>
      </c>
      <c r="AG63" s="100">
        <f t="shared" si="19"/>
        <v>-10</v>
      </c>
      <c r="AH63" s="100">
        <f t="shared" si="19"/>
        <v>-14</v>
      </c>
      <c r="AI63" s="100">
        <f t="shared" si="19"/>
        <v>-12</v>
      </c>
      <c r="AJ63" s="100">
        <f t="shared" si="19"/>
        <v>-4</v>
      </c>
      <c r="AK63" s="100">
        <f t="shared" si="19"/>
        <v>-2</v>
      </c>
      <c r="AL63" s="100">
        <f t="shared" si="19"/>
        <v>-4</v>
      </c>
      <c r="AM63" s="100">
        <f t="shared" si="19"/>
        <v>-2</v>
      </c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120"/>
      <c r="AZ63" s="39"/>
    </row>
    <row r="64" spans="1:52" x14ac:dyDescent="0.25">
      <c r="A64" s="115">
        <v>42736</v>
      </c>
      <c r="B64" s="35" t="s">
        <v>38</v>
      </c>
      <c r="C64" s="34">
        <v>3200</v>
      </c>
      <c r="D64" s="113" t="s">
        <v>6</v>
      </c>
      <c r="E64" s="105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99">
        <f>SUM(AB4:AB63)+AA61</f>
        <v>154</v>
      </c>
      <c r="AC64" s="34">
        <v>48</v>
      </c>
      <c r="AD64" s="34">
        <v>7</v>
      </c>
      <c r="AE64" s="34">
        <v>14</v>
      </c>
      <c r="AF64" s="34">
        <v>10</v>
      </c>
      <c r="AG64" s="34">
        <v>5</v>
      </c>
      <c r="AH64" s="34">
        <v>2</v>
      </c>
      <c r="AI64" s="34">
        <v>1</v>
      </c>
      <c r="AJ64" s="34">
        <v>2</v>
      </c>
      <c r="AK64" s="34">
        <v>1</v>
      </c>
      <c r="AL64" s="34">
        <v>0</v>
      </c>
      <c r="AM64" s="34">
        <v>0</v>
      </c>
      <c r="AN64" s="34">
        <v>0</v>
      </c>
      <c r="AO64" s="97">
        <v>-90</v>
      </c>
      <c r="AP64" s="34"/>
      <c r="AQ64" s="34"/>
      <c r="AR64" s="34"/>
      <c r="AS64" s="34"/>
      <c r="AT64" s="34"/>
      <c r="AU64" s="34"/>
      <c r="AV64" s="34"/>
      <c r="AW64" s="34"/>
      <c r="AX64" s="34"/>
      <c r="AY64" s="120"/>
      <c r="AZ64" s="39"/>
    </row>
    <row r="65" spans="1:52" x14ac:dyDescent="0.25">
      <c r="A65" s="112">
        <v>42736</v>
      </c>
      <c r="B65" s="35" t="s">
        <v>38</v>
      </c>
      <c r="C65" s="34">
        <v>3200</v>
      </c>
      <c r="D65" s="113" t="s">
        <v>7</v>
      </c>
      <c r="E65" s="105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>
        <v>0</v>
      </c>
      <c r="AD65" s="34">
        <v>5</v>
      </c>
      <c r="AE65" s="34">
        <v>7</v>
      </c>
      <c r="AF65" s="34">
        <v>6</v>
      </c>
      <c r="AG65" s="34">
        <v>6</v>
      </c>
      <c r="AH65" s="34">
        <v>7</v>
      </c>
      <c r="AI65" s="34">
        <v>5</v>
      </c>
      <c r="AJ65" s="34">
        <v>8</v>
      </c>
      <c r="AK65" s="34">
        <v>12</v>
      </c>
      <c r="AL65" s="34">
        <v>5</v>
      </c>
      <c r="AM65" s="34">
        <v>8</v>
      </c>
      <c r="AN65" s="34">
        <v>5</v>
      </c>
      <c r="AO65" s="97">
        <f>SUM(AC65:AN65)</f>
        <v>74</v>
      </c>
      <c r="AP65" s="34"/>
      <c r="AQ65" s="34"/>
      <c r="AR65" s="34"/>
      <c r="AS65" s="34"/>
      <c r="AT65" s="34"/>
      <c r="AU65" s="34"/>
      <c r="AV65" s="34"/>
      <c r="AW65" s="34"/>
      <c r="AX65" s="34"/>
      <c r="AY65" s="120"/>
      <c r="AZ65" s="39"/>
    </row>
    <row r="66" spans="1:52" x14ac:dyDescent="0.25">
      <c r="A66" s="114"/>
      <c r="B66" s="35"/>
      <c r="C66" s="34"/>
      <c r="D66" s="113"/>
      <c r="E66" s="105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100">
        <f t="shared" ref="AC66:AN66" si="20">(AC65*-2)</f>
        <v>0</v>
      </c>
      <c r="AD66" s="100">
        <f t="shared" si="20"/>
        <v>-10</v>
      </c>
      <c r="AE66" s="100">
        <f t="shared" si="20"/>
        <v>-14</v>
      </c>
      <c r="AF66" s="100">
        <f t="shared" si="20"/>
        <v>-12</v>
      </c>
      <c r="AG66" s="100">
        <f t="shared" si="20"/>
        <v>-12</v>
      </c>
      <c r="AH66" s="100">
        <f t="shared" si="20"/>
        <v>-14</v>
      </c>
      <c r="AI66" s="100">
        <f t="shared" si="20"/>
        <v>-10</v>
      </c>
      <c r="AJ66" s="100">
        <f t="shared" si="20"/>
        <v>-16</v>
      </c>
      <c r="AK66" s="100">
        <f t="shared" si="20"/>
        <v>-24</v>
      </c>
      <c r="AL66" s="100">
        <f t="shared" si="20"/>
        <v>-10</v>
      </c>
      <c r="AM66" s="100">
        <f t="shared" si="20"/>
        <v>-16</v>
      </c>
      <c r="AN66" s="100">
        <f t="shared" si="20"/>
        <v>-10</v>
      </c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120"/>
      <c r="AZ66" s="39"/>
    </row>
    <row r="67" spans="1:52" x14ac:dyDescent="0.25">
      <c r="A67" s="115">
        <v>42794</v>
      </c>
      <c r="B67" s="35" t="s">
        <v>39</v>
      </c>
      <c r="C67" s="34">
        <v>5020</v>
      </c>
      <c r="D67" s="113" t="s">
        <v>6</v>
      </c>
      <c r="E67" s="105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99">
        <f>SUM(AC4:AC66)+AB64</f>
        <v>173</v>
      </c>
      <c r="AD67" s="34">
        <v>40</v>
      </c>
      <c r="AE67" s="34">
        <v>10</v>
      </c>
      <c r="AF67" s="34">
        <v>16</v>
      </c>
      <c r="AG67" s="34">
        <v>8</v>
      </c>
      <c r="AH67" s="34">
        <v>5</v>
      </c>
      <c r="AI67" s="34">
        <v>1</v>
      </c>
      <c r="AJ67" s="34">
        <v>6</v>
      </c>
      <c r="AK67" s="34">
        <v>3</v>
      </c>
      <c r="AL67" s="34">
        <v>1</v>
      </c>
      <c r="AM67" s="34">
        <v>0</v>
      </c>
      <c r="AN67" s="34">
        <v>1</v>
      </c>
      <c r="AO67" s="34">
        <v>0</v>
      </c>
      <c r="AP67" s="97">
        <v>-91</v>
      </c>
      <c r="AQ67" s="34"/>
      <c r="AR67" s="34"/>
      <c r="AS67" s="34"/>
      <c r="AT67" s="34"/>
      <c r="AU67" s="34"/>
      <c r="AV67" s="34"/>
      <c r="AW67" s="34"/>
      <c r="AX67" s="34"/>
      <c r="AY67" s="120"/>
      <c r="AZ67" s="39"/>
    </row>
    <row r="68" spans="1:52" x14ac:dyDescent="0.25">
      <c r="A68" s="112">
        <v>42794</v>
      </c>
      <c r="B68" s="35" t="s">
        <v>39</v>
      </c>
      <c r="C68" s="34">
        <v>5020</v>
      </c>
      <c r="D68" s="113" t="s">
        <v>7</v>
      </c>
      <c r="E68" s="105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>
        <v>0</v>
      </c>
      <c r="AE68" s="34">
        <v>4</v>
      </c>
      <c r="AF68" s="34">
        <v>11</v>
      </c>
      <c r="AG68" s="34">
        <v>5</v>
      </c>
      <c r="AH68" s="34">
        <v>4</v>
      </c>
      <c r="AI68" s="34">
        <v>6</v>
      </c>
      <c r="AJ68" s="34">
        <v>4</v>
      </c>
      <c r="AK68" s="34">
        <v>6</v>
      </c>
      <c r="AL68" s="34">
        <v>6</v>
      </c>
      <c r="AM68" s="34">
        <v>3</v>
      </c>
      <c r="AN68" s="34">
        <v>5</v>
      </c>
      <c r="AO68" s="34">
        <v>9</v>
      </c>
      <c r="AP68" s="97">
        <f>SUM(AD68:AO68)</f>
        <v>63</v>
      </c>
      <c r="AQ68" s="34"/>
      <c r="AR68" s="34"/>
      <c r="AS68" s="34"/>
      <c r="AT68" s="34"/>
      <c r="AU68" s="34"/>
      <c r="AV68" s="34"/>
      <c r="AW68" s="34"/>
      <c r="AX68" s="34"/>
      <c r="AY68" s="120"/>
      <c r="AZ68" s="39"/>
    </row>
    <row r="69" spans="1:52" x14ac:dyDescent="0.25">
      <c r="A69" s="114"/>
      <c r="B69" s="35"/>
      <c r="C69" s="34"/>
      <c r="D69" s="113"/>
      <c r="E69" s="105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100">
        <f t="shared" ref="AD69:AO69" si="21">(AD68*-2)</f>
        <v>0</v>
      </c>
      <c r="AE69" s="100">
        <f t="shared" si="21"/>
        <v>-8</v>
      </c>
      <c r="AF69" s="100">
        <f t="shared" si="21"/>
        <v>-22</v>
      </c>
      <c r="AG69" s="100">
        <f t="shared" si="21"/>
        <v>-10</v>
      </c>
      <c r="AH69" s="100">
        <f t="shared" si="21"/>
        <v>-8</v>
      </c>
      <c r="AI69" s="100">
        <f t="shared" si="21"/>
        <v>-12</v>
      </c>
      <c r="AJ69" s="100">
        <f t="shared" si="21"/>
        <v>-8</v>
      </c>
      <c r="AK69" s="100">
        <f t="shared" si="21"/>
        <v>-12</v>
      </c>
      <c r="AL69" s="100">
        <f t="shared" si="21"/>
        <v>-12</v>
      </c>
      <c r="AM69" s="100">
        <f t="shared" si="21"/>
        <v>-6</v>
      </c>
      <c r="AN69" s="100">
        <f t="shared" si="21"/>
        <v>-10</v>
      </c>
      <c r="AO69" s="100">
        <f t="shared" si="21"/>
        <v>-18</v>
      </c>
      <c r="AP69" s="34"/>
      <c r="AQ69" s="34"/>
      <c r="AR69" s="34"/>
      <c r="AS69" s="34"/>
      <c r="AT69" s="34"/>
      <c r="AU69" s="34"/>
      <c r="AV69" s="34"/>
      <c r="AW69" s="34"/>
      <c r="AX69" s="34"/>
      <c r="AY69" s="120"/>
      <c r="AZ69" s="39"/>
    </row>
    <row r="70" spans="1:52" x14ac:dyDescent="0.25">
      <c r="A70" s="115">
        <v>42795</v>
      </c>
      <c r="B70" s="35" t="s">
        <v>40</v>
      </c>
      <c r="C70" s="34">
        <v>5500</v>
      </c>
      <c r="D70" s="113" t="s">
        <v>6</v>
      </c>
      <c r="E70" s="105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99">
        <f>SUM(AD4:AD69)+AC67</f>
        <v>199</v>
      </c>
      <c r="AE70" s="34">
        <v>30</v>
      </c>
      <c r="AF70" s="34">
        <v>5</v>
      </c>
      <c r="AG70" s="34">
        <v>13</v>
      </c>
      <c r="AH70" s="34">
        <v>14</v>
      </c>
      <c r="AI70" s="34">
        <v>8</v>
      </c>
      <c r="AJ70" s="34">
        <v>6</v>
      </c>
      <c r="AK70" s="34">
        <v>2</v>
      </c>
      <c r="AL70" s="34">
        <v>1</v>
      </c>
      <c r="AM70" s="34">
        <v>1</v>
      </c>
      <c r="AN70" s="34">
        <v>0</v>
      </c>
      <c r="AO70" s="34">
        <v>1</v>
      </c>
      <c r="AP70" s="34">
        <v>0</v>
      </c>
      <c r="AQ70" s="97">
        <v>-81</v>
      </c>
      <c r="AR70" s="34"/>
      <c r="AS70" s="34"/>
      <c r="AT70" s="34"/>
      <c r="AU70" s="34"/>
      <c r="AV70" s="34"/>
      <c r="AW70" s="34"/>
      <c r="AX70" s="34"/>
      <c r="AY70" s="120"/>
      <c r="AZ70" s="39"/>
    </row>
    <row r="71" spans="1:52" x14ac:dyDescent="0.25">
      <c r="A71" s="112">
        <v>42795</v>
      </c>
      <c r="B71" s="35" t="s">
        <v>40</v>
      </c>
      <c r="C71" s="34">
        <v>5500</v>
      </c>
      <c r="D71" s="113" t="s">
        <v>7</v>
      </c>
      <c r="E71" s="105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>
        <v>0</v>
      </c>
      <c r="AF71" s="34">
        <v>6</v>
      </c>
      <c r="AG71" s="34">
        <v>8</v>
      </c>
      <c r="AH71" s="34">
        <v>7</v>
      </c>
      <c r="AI71" s="34">
        <v>7</v>
      </c>
      <c r="AJ71" s="34">
        <v>6</v>
      </c>
      <c r="AK71" s="34">
        <v>3</v>
      </c>
      <c r="AL71" s="34">
        <v>10</v>
      </c>
      <c r="AM71" s="34">
        <v>12</v>
      </c>
      <c r="AN71" s="34">
        <v>5</v>
      </c>
      <c r="AO71" s="34">
        <v>6</v>
      </c>
      <c r="AP71" s="34">
        <v>4</v>
      </c>
      <c r="AQ71" s="97">
        <f>SUM(AE71:AP71)</f>
        <v>74</v>
      </c>
      <c r="AR71" s="34"/>
      <c r="AS71" s="34"/>
      <c r="AT71" s="34"/>
      <c r="AU71" s="34"/>
      <c r="AV71" s="34"/>
      <c r="AW71" s="34"/>
      <c r="AX71" s="34"/>
      <c r="AY71" s="120"/>
      <c r="AZ71" s="39"/>
    </row>
    <row r="72" spans="1:52" x14ac:dyDescent="0.25">
      <c r="A72" s="114"/>
      <c r="B72" s="35"/>
      <c r="C72" s="34"/>
      <c r="D72" s="113"/>
      <c r="E72" s="105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100">
        <f t="shared" ref="AE72:AP72" si="22">(AE71*-2)</f>
        <v>0</v>
      </c>
      <c r="AF72" s="100">
        <f t="shared" si="22"/>
        <v>-12</v>
      </c>
      <c r="AG72" s="100">
        <f t="shared" si="22"/>
        <v>-16</v>
      </c>
      <c r="AH72" s="100">
        <f t="shared" si="22"/>
        <v>-14</v>
      </c>
      <c r="AI72" s="100">
        <f t="shared" si="22"/>
        <v>-14</v>
      </c>
      <c r="AJ72" s="100">
        <f t="shared" si="22"/>
        <v>-12</v>
      </c>
      <c r="AK72" s="100">
        <f t="shared" si="22"/>
        <v>-6</v>
      </c>
      <c r="AL72" s="100">
        <f t="shared" si="22"/>
        <v>-20</v>
      </c>
      <c r="AM72" s="100">
        <f t="shared" si="22"/>
        <v>-24</v>
      </c>
      <c r="AN72" s="100">
        <f t="shared" si="22"/>
        <v>-10</v>
      </c>
      <c r="AO72" s="100">
        <f t="shared" si="22"/>
        <v>-12</v>
      </c>
      <c r="AP72" s="100">
        <f t="shared" si="22"/>
        <v>-8</v>
      </c>
      <c r="AQ72" s="34"/>
      <c r="AR72" s="34"/>
      <c r="AS72" s="34"/>
      <c r="AT72" s="34"/>
      <c r="AU72" s="34"/>
      <c r="AV72" s="34"/>
      <c r="AW72" s="34"/>
      <c r="AX72" s="34"/>
      <c r="AY72" s="120"/>
      <c r="AZ72" s="39"/>
    </row>
    <row r="73" spans="1:52" x14ac:dyDescent="0.25">
      <c r="A73" s="115">
        <v>42856</v>
      </c>
      <c r="B73" s="35" t="s">
        <v>41</v>
      </c>
      <c r="C73" s="34">
        <v>4500</v>
      </c>
      <c r="D73" s="113" t="s">
        <v>6</v>
      </c>
      <c r="E73" s="105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99">
        <f>SUM(AE4:AE72)+AD70</f>
        <v>217</v>
      </c>
      <c r="AF73" s="99">
        <f>SUM(AF4:AF72)+AE73</f>
        <v>200</v>
      </c>
      <c r="AG73" s="34">
        <v>33</v>
      </c>
      <c r="AH73" s="34">
        <v>4</v>
      </c>
      <c r="AI73" s="34">
        <v>12</v>
      </c>
      <c r="AJ73" s="34">
        <v>9</v>
      </c>
      <c r="AK73" s="34">
        <v>3</v>
      </c>
      <c r="AL73" s="34">
        <v>2</v>
      </c>
      <c r="AM73" s="34">
        <v>1</v>
      </c>
      <c r="AN73" s="34">
        <v>3</v>
      </c>
      <c r="AO73" s="34">
        <v>0</v>
      </c>
      <c r="AP73" s="34">
        <v>0</v>
      </c>
      <c r="AQ73" s="34">
        <v>1</v>
      </c>
      <c r="AR73" s="34">
        <v>2</v>
      </c>
      <c r="AS73" s="97">
        <v>-70</v>
      </c>
      <c r="AT73" s="34"/>
      <c r="AU73" s="34"/>
      <c r="AV73" s="34"/>
      <c r="AW73" s="34"/>
      <c r="AX73" s="34"/>
      <c r="AY73" s="120"/>
      <c r="AZ73" s="39"/>
    </row>
    <row r="74" spans="1:52" x14ac:dyDescent="0.25">
      <c r="A74" s="112">
        <v>42856</v>
      </c>
      <c r="B74" s="35" t="s">
        <v>41</v>
      </c>
      <c r="C74" s="34">
        <v>4500</v>
      </c>
      <c r="D74" s="113" t="s">
        <v>7</v>
      </c>
      <c r="E74" s="105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>
        <v>0</v>
      </c>
      <c r="AH74" s="34">
        <v>8</v>
      </c>
      <c r="AI74" s="34">
        <v>8</v>
      </c>
      <c r="AJ74" s="34">
        <v>6</v>
      </c>
      <c r="AK74" s="34">
        <v>5</v>
      </c>
      <c r="AL74" s="34">
        <v>7</v>
      </c>
      <c r="AM74" s="34">
        <v>7</v>
      </c>
      <c r="AN74" s="34">
        <v>2</v>
      </c>
      <c r="AO74" s="34">
        <v>7</v>
      </c>
      <c r="AP74" s="34">
        <v>6</v>
      </c>
      <c r="AQ74" s="34">
        <v>7</v>
      </c>
      <c r="AR74" s="34">
        <v>1</v>
      </c>
      <c r="AS74" s="97">
        <f>SUM(AG74:AR74)</f>
        <v>64</v>
      </c>
      <c r="AT74" s="34"/>
      <c r="AU74" s="34"/>
      <c r="AV74" s="34"/>
      <c r="AW74" s="34"/>
      <c r="AX74" s="34"/>
      <c r="AY74" s="120"/>
      <c r="AZ74" s="39"/>
    </row>
    <row r="75" spans="1:52" x14ac:dyDescent="0.25">
      <c r="A75" s="114"/>
      <c r="B75" s="35"/>
      <c r="C75" s="34"/>
      <c r="D75" s="113"/>
      <c r="E75" s="105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100">
        <f t="shared" ref="AG75:AR75" si="23">(AG74*-2)</f>
        <v>0</v>
      </c>
      <c r="AH75" s="100">
        <f t="shared" si="23"/>
        <v>-16</v>
      </c>
      <c r="AI75" s="100">
        <f t="shared" si="23"/>
        <v>-16</v>
      </c>
      <c r="AJ75" s="100">
        <f t="shared" si="23"/>
        <v>-12</v>
      </c>
      <c r="AK75" s="100">
        <f t="shared" si="23"/>
        <v>-10</v>
      </c>
      <c r="AL75" s="100">
        <f t="shared" si="23"/>
        <v>-14</v>
      </c>
      <c r="AM75" s="100">
        <f t="shared" si="23"/>
        <v>-14</v>
      </c>
      <c r="AN75" s="100">
        <f t="shared" si="23"/>
        <v>-4</v>
      </c>
      <c r="AO75" s="100">
        <f t="shared" si="23"/>
        <v>-14</v>
      </c>
      <c r="AP75" s="100">
        <f t="shared" si="23"/>
        <v>-12</v>
      </c>
      <c r="AQ75" s="100">
        <f t="shared" si="23"/>
        <v>-14</v>
      </c>
      <c r="AR75" s="100">
        <f t="shared" si="23"/>
        <v>-2</v>
      </c>
      <c r="AS75" s="34"/>
      <c r="AT75" s="34"/>
      <c r="AU75" s="34"/>
      <c r="AV75" s="34"/>
      <c r="AW75" s="34"/>
      <c r="AX75" s="34"/>
      <c r="AY75" s="120"/>
      <c r="AZ75" s="39"/>
    </row>
    <row r="76" spans="1:52" x14ac:dyDescent="0.25">
      <c r="A76" s="115">
        <v>42887</v>
      </c>
      <c r="B76" s="35" t="s">
        <v>42</v>
      </c>
      <c r="C76" s="34">
        <v>5600</v>
      </c>
      <c r="D76" s="113" t="s">
        <v>6</v>
      </c>
      <c r="E76" s="105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99">
        <f>SUM(AG4:AG75)+AF73</f>
        <v>222</v>
      </c>
      <c r="AH76" s="34">
        <v>45</v>
      </c>
      <c r="AI76" s="34">
        <v>7</v>
      </c>
      <c r="AJ76" s="34">
        <v>14</v>
      </c>
      <c r="AK76" s="34">
        <v>10</v>
      </c>
      <c r="AL76" s="34">
        <v>5</v>
      </c>
      <c r="AM76" s="34">
        <v>2</v>
      </c>
      <c r="AN76" s="34">
        <v>1</v>
      </c>
      <c r="AO76" s="34">
        <v>2</v>
      </c>
      <c r="AP76" s="34">
        <v>1</v>
      </c>
      <c r="AQ76" s="34">
        <v>0</v>
      </c>
      <c r="AR76" s="34">
        <v>0</v>
      </c>
      <c r="AS76" s="34">
        <v>0</v>
      </c>
      <c r="AT76" s="97">
        <v>-87</v>
      </c>
      <c r="AU76" s="34"/>
      <c r="AV76" s="34"/>
      <c r="AW76" s="34"/>
      <c r="AX76" s="34"/>
      <c r="AY76" s="120"/>
      <c r="AZ76" s="39"/>
    </row>
    <row r="77" spans="1:52" x14ac:dyDescent="0.25">
      <c r="A77" s="112">
        <v>42887</v>
      </c>
      <c r="B77" s="35" t="s">
        <v>42</v>
      </c>
      <c r="C77" s="34">
        <v>5600</v>
      </c>
      <c r="D77" s="113" t="s">
        <v>7</v>
      </c>
      <c r="E77" s="105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>
        <v>0</v>
      </c>
      <c r="AI77" s="34">
        <v>5</v>
      </c>
      <c r="AJ77" s="34">
        <v>7</v>
      </c>
      <c r="AK77" s="34">
        <v>6</v>
      </c>
      <c r="AL77" s="34">
        <v>6</v>
      </c>
      <c r="AM77" s="34">
        <v>7</v>
      </c>
      <c r="AN77" s="34">
        <v>5</v>
      </c>
      <c r="AO77" s="34">
        <v>8</v>
      </c>
      <c r="AP77" s="34">
        <v>12</v>
      </c>
      <c r="AQ77" s="34">
        <v>5</v>
      </c>
      <c r="AR77" s="34">
        <v>6</v>
      </c>
      <c r="AS77" s="34">
        <v>5</v>
      </c>
      <c r="AT77" s="97">
        <f>SUM(AH77:AS77)</f>
        <v>72</v>
      </c>
      <c r="AU77" s="34"/>
      <c r="AV77" s="34"/>
      <c r="AW77" s="34"/>
      <c r="AX77" s="34"/>
      <c r="AY77" s="120"/>
      <c r="AZ77" s="39"/>
    </row>
    <row r="78" spans="1:52" x14ac:dyDescent="0.25">
      <c r="A78" s="114"/>
      <c r="B78" s="35"/>
      <c r="C78" s="34"/>
      <c r="D78" s="113"/>
      <c r="E78" s="105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100">
        <f t="shared" ref="AH78:AS78" si="24">(AH77*-2)</f>
        <v>0</v>
      </c>
      <c r="AI78" s="100">
        <f t="shared" si="24"/>
        <v>-10</v>
      </c>
      <c r="AJ78" s="100">
        <f t="shared" si="24"/>
        <v>-14</v>
      </c>
      <c r="AK78" s="100">
        <f t="shared" si="24"/>
        <v>-12</v>
      </c>
      <c r="AL78" s="100">
        <f t="shared" si="24"/>
        <v>-12</v>
      </c>
      <c r="AM78" s="100">
        <f t="shared" si="24"/>
        <v>-14</v>
      </c>
      <c r="AN78" s="100">
        <f t="shared" si="24"/>
        <v>-10</v>
      </c>
      <c r="AO78" s="100">
        <f t="shared" si="24"/>
        <v>-16</v>
      </c>
      <c r="AP78" s="100">
        <f t="shared" si="24"/>
        <v>-24</v>
      </c>
      <c r="AQ78" s="100">
        <f t="shared" si="24"/>
        <v>-10</v>
      </c>
      <c r="AR78" s="100">
        <f t="shared" si="24"/>
        <v>-12</v>
      </c>
      <c r="AS78" s="100">
        <f t="shared" si="24"/>
        <v>-10</v>
      </c>
      <c r="AT78" s="34"/>
      <c r="AU78" s="34"/>
      <c r="AV78" s="34"/>
      <c r="AW78" s="34"/>
      <c r="AX78" s="34"/>
      <c r="AY78" s="120"/>
      <c r="AZ78" s="39"/>
    </row>
    <row r="79" spans="1:52" x14ac:dyDescent="0.25">
      <c r="A79" s="115">
        <v>42946</v>
      </c>
      <c r="B79" s="35" t="s">
        <v>43</v>
      </c>
      <c r="C79" s="34">
        <v>5600</v>
      </c>
      <c r="D79" s="113" t="s">
        <v>6</v>
      </c>
      <c r="E79" s="105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99">
        <f>SUM(AH4:AH78)+AG76</f>
        <v>249</v>
      </c>
      <c r="AI79" s="34">
        <v>46</v>
      </c>
      <c r="AJ79" s="34">
        <v>10</v>
      </c>
      <c r="AK79" s="34">
        <v>16</v>
      </c>
      <c r="AL79" s="34">
        <v>8</v>
      </c>
      <c r="AM79" s="34">
        <v>5</v>
      </c>
      <c r="AN79" s="34">
        <v>1</v>
      </c>
      <c r="AO79" s="34">
        <v>6</v>
      </c>
      <c r="AP79" s="34">
        <v>3</v>
      </c>
      <c r="AQ79" s="34">
        <v>1</v>
      </c>
      <c r="AR79" s="34">
        <v>0</v>
      </c>
      <c r="AS79" s="34">
        <v>1</v>
      </c>
      <c r="AT79" s="34">
        <v>0</v>
      </c>
      <c r="AU79" s="97">
        <v>-97</v>
      </c>
      <c r="AV79" s="34"/>
      <c r="AW79" s="34"/>
      <c r="AX79" s="34"/>
      <c r="AY79" s="120"/>
      <c r="AZ79" s="39"/>
    </row>
    <row r="80" spans="1:52" x14ac:dyDescent="0.25">
      <c r="A80" s="112">
        <v>42946</v>
      </c>
      <c r="B80" s="35" t="s">
        <v>43</v>
      </c>
      <c r="C80" s="34">
        <v>5600</v>
      </c>
      <c r="D80" s="113" t="s">
        <v>7</v>
      </c>
      <c r="E80" s="105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>
        <v>0</v>
      </c>
      <c r="AJ80" s="34">
        <v>4</v>
      </c>
      <c r="AK80" s="34">
        <v>11</v>
      </c>
      <c r="AL80" s="34">
        <v>5</v>
      </c>
      <c r="AM80" s="34">
        <v>8</v>
      </c>
      <c r="AN80" s="34">
        <v>6</v>
      </c>
      <c r="AO80" s="34">
        <v>4</v>
      </c>
      <c r="AP80" s="34">
        <v>6</v>
      </c>
      <c r="AQ80" s="34">
        <v>8</v>
      </c>
      <c r="AR80" s="34">
        <v>3</v>
      </c>
      <c r="AS80" s="34">
        <v>5</v>
      </c>
      <c r="AT80" s="34">
        <v>9</v>
      </c>
      <c r="AU80" s="97">
        <f>SUM(AI80:AT80)</f>
        <v>69</v>
      </c>
      <c r="AV80" s="34"/>
      <c r="AW80" s="34"/>
      <c r="AX80" s="34"/>
      <c r="AY80" s="120"/>
      <c r="AZ80" s="39"/>
    </row>
    <row r="81" spans="1:52" x14ac:dyDescent="0.25">
      <c r="A81" s="114"/>
      <c r="B81" s="35"/>
      <c r="C81" s="34"/>
      <c r="D81" s="113"/>
      <c r="E81" s="105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100">
        <f t="shared" ref="AI81:AT81" si="25">(AI80*-2)</f>
        <v>0</v>
      </c>
      <c r="AJ81" s="100">
        <f t="shared" si="25"/>
        <v>-8</v>
      </c>
      <c r="AK81" s="100">
        <f t="shared" si="25"/>
        <v>-22</v>
      </c>
      <c r="AL81" s="100">
        <f t="shared" si="25"/>
        <v>-10</v>
      </c>
      <c r="AM81" s="100">
        <f t="shared" si="25"/>
        <v>-16</v>
      </c>
      <c r="AN81" s="100">
        <f t="shared" si="25"/>
        <v>-12</v>
      </c>
      <c r="AO81" s="100">
        <f t="shared" si="25"/>
        <v>-8</v>
      </c>
      <c r="AP81" s="100">
        <f t="shared" si="25"/>
        <v>-12</v>
      </c>
      <c r="AQ81" s="100">
        <f t="shared" si="25"/>
        <v>-16</v>
      </c>
      <c r="AR81" s="100">
        <f t="shared" si="25"/>
        <v>-6</v>
      </c>
      <c r="AS81" s="100">
        <f t="shared" si="25"/>
        <v>-10</v>
      </c>
      <c r="AT81" s="100">
        <f t="shared" si="25"/>
        <v>-18</v>
      </c>
      <c r="AU81" s="34"/>
      <c r="AV81" s="34"/>
      <c r="AW81" s="34"/>
      <c r="AX81" s="34"/>
      <c r="AY81" s="120"/>
      <c r="AZ81" s="39"/>
    </row>
    <row r="82" spans="1:52" x14ac:dyDescent="0.25">
      <c r="A82" s="115">
        <v>42948</v>
      </c>
      <c r="B82" s="35" t="s">
        <v>44</v>
      </c>
      <c r="C82" s="34">
        <v>6100</v>
      </c>
      <c r="D82" s="113" t="s">
        <v>6</v>
      </c>
      <c r="E82" s="105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99">
        <f>SUM(AI4:AI81)+AH79</f>
        <v>281</v>
      </c>
      <c r="AJ82" s="34">
        <v>60</v>
      </c>
      <c r="AK82" s="34">
        <v>15</v>
      </c>
      <c r="AL82" s="34">
        <v>13</v>
      </c>
      <c r="AM82" s="34">
        <v>14</v>
      </c>
      <c r="AN82" s="34">
        <v>8</v>
      </c>
      <c r="AO82" s="34">
        <v>6</v>
      </c>
      <c r="AP82" s="34">
        <v>2</v>
      </c>
      <c r="AQ82" s="34">
        <v>1</v>
      </c>
      <c r="AR82" s="34">
        <v>1</v>
      </c>
      <c r="AS82" s="34">
        <v>0</v>
      </c>
      <c r="AT82" s="34">
        <v>1</v>
      </c>
      <c r="AU82" s="34">
        <v>2</v>
      </c>
      <c r="AV82" s="97">
        <v>-123</v>
      </c>
      <c r="AW82" s="34"/>
      <c r="AX82" s="34"/>
      <c r="AY82" s="120"/>
      <c r="AZ82" s="39"/>
    </row>
    <row r="83" spans="1:52" x14ac:dyDescent="0.25">
      <c r="A83" s="112">
        <v>42948</v>
      </c>
      <c r="B83" s="35" t="s">
        <v>44</v>
      </c>
      <c r="C83" s="34">
        <v>6100</v>
      </c>
      <c r="D83" s="113" t="s">
        <v>7</v>
      </c>
      <c r="E83" s="105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>
        <v>0</v>
      </c>
      <c r="AK83" s="34">
        <v>6</v>
      </c>
      <c r="AL83" s="34">
        <v>8</v>
      </c>
      <c r="AM83" s="34">
        <v>7</v>
      </c>
      <c r="AN83" s="34">
        <v>7</v>
      </c>
      <c r="AO83" s="34">
        <v>6</v>
      </c>
      <c r="AP83" s="34">
        <v>5</v>
      </c>
      <c r="AQ83" s="34">
        <v>10</v>
      </c>
      <c r="AR83" s="34">
        <v>12</v>
      </c>
      <c r="AS83" s="34">
        <v>15</v>
      </c>
      <c r="AT83" s="34">
        <v>16</v>
      </c>
      <c r="AU83" s="34">
        <v>7</v>
      </c>
      <c r="AV83" s="97">
        <f>SUM(AJ83:AU83)</f>
        <v>99</v>
      </c>
      <c r="AW83" s="34"/>
      <c r="AX83" s="34"/>
      <c r="AY83" s="120"/>
      <c r="AZ83" s="39"/>
    </row>
    <row r="84" spans="1:52" x14ac:dyDescent="0.25">
      <c r="A84" s="114"/>
      <c r="B84" s="35"/>
      <c r="C84" s="34"/>
      <c r="D84" s="113"/>
      <c r="E84" s="105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100">
        <f t="shared" ref="AJ84:AU84" si="26">(AJ83*-2)</f>
        <v>0</v>
      </c>
      <c r="AK84" s="100">
        <f t="shared" si="26"/>
        <v>-12</v>
      </c>
      <c r="AL84" s="100">
        <f t="shared" si="26"/>
        <v>-16</v>
      </c>
      <c r="AM84" s="100">
        <f t="shared" si="26"/>
        <v>-14</v>
      </c>
      <c r="AN84" s="100">
        <f t="shared" si="26"/>
        <v>-14</v>
      </c>
      <c r="AO84" s="100">
        <f t="shared" si="26"/>
        <v>-12</v>
      </c>
      <c r="AP84" s="100">
        <f t="shared" si="26"/>
        <v>-10</v>
      </c>
      <c r="AQ84" s="100">
        <f t="shared" si="26"/>
        <v>-20</v>
      </c>
      <c r="AR84" s="100">
        <f t="shared" si="26"/>
        <v>-24</v>
      </c>
      <c r="AS84" s="100">
        <f t="shared" si="26"/>
        <v>-30</v>
      </c>
      <c r="AT84" s="100">
        <f t="shared" si="26"/>
        <v>-32</v>
      </c>
      <c r="AU84" s="100">
        <f t="shared" si="26"/>
        <v>-14</v>
      </c>
      <c r="AV84" s="34"/>
      <c r="AW84" s="34"/>
      <c r="AX84" s="34"/>
      <c r="AY84" s="120"/>
      <c r="AZ84" s="39"/>
    </row>
    <row r="85" spans="1:52" x14ac:dyDescent="0.25">
      <c r="A85" s="115">
        <v>43009</v>
      </c>
      <c r="B85" s="35" t="s">
        <v>45</v>
      </c>
      <c r="C85" s="34">
        <v>6750</v>
      </c>
      <c r="D85" s="113" t="s">
        <v>6</v>
      </c>
      <c r="E85" s="105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99">
        <f>SUM(AJ4:AJ84)+AI82</f>
        <v>346</v>
      </c>
      <c r="AK85" s="99">
        <f>SUM(AK4:AK84)+AJ85</f>
        <v>380</v>
      </c>
      <c r="AL85" s="34">
        <v>55</v>
      </c>
      <c r="AM85" s="34">
        <v>14</v>
      </c>
      <c r="AN85" s="34">
        <v>12</v>
      </c>
      <c r="AO85" s="34">
        <v>9</v>
      </c>
      <c r="AP85" s="34">
        <v>3</v>
      </c>
      <c r="AQ85" s="34">
        <v>2</v>
      </c>
      <c r="AR85" s="34">
        <v>1</v>
      </c>
      <c r="AS85" s="34">
        <v>3</v>
      </c>
      <c r="AT85" s="34">
        <v>0</v>
      </c>
      <c r="AU85" s="34">
        <v>0</v>
      </c>
      <c r="AV85" s="34">
        <v>1</v>
      </c>
      <c r="AW85" s="34">
        <v>2</v>
      </c>
      <c r="AX85" s="97">
        <v>-102</v>
      </c>
      <c r="AY85" s="120"/>
      <c r="AZ85" s="39"/>
    </row>
    <row r="86" spans="1:52" x14ac:dyDescent="0.25">
      <c r="A86" s="112">
        <v>43009</v>
      </c>
      <c r="B86" s="35" t="s">
        <v>45</v>
      </c>
      <c r="C86" s="34">
        <v>6750</v>
      </c>
      <c r="D86" s="113" t="s">
        <v>7</v>
      </c>
      <c r="E86" s="105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>
        <v>0</v>
      </c>
      <c r="AM86" s="34">
        <v>8</v>
      </c>
      <c r="AN86" s="34">
        <v>8</v>
      </c>
      <c r="AO86" s="34">
        <v>16</v>
      </c>
      <c r="AP86" s="34">
        <v>9</v>
      </c>
      <c r="AQ86" s="34">
        <v>7</v>
      </c>
      <c r="AR86" s="34">
        <v>7</v>
      </c>
      <c r="AS86" s="34">
        <v>2</v>
      </c>
      <c r="AT86" s="34">
        <v>17</v>
      </c>
      <c r="AU86" s="34">
        <v>6</v>
      </c>
      <c r="AV86" s="34">
        <v>7</v>
      </c>
      <c r="AW86" s="34">
        <v>1</v>
      </c>
      <c r="AX86" s="97">
        <f>SUM(AL86:AW86)</f>
        <v>88</v>
      </c>
      <c r="AY86" s="120"/>
      <c r="AZ86" s="39"/>
    </row>
    <row r="87" spans="1:52" x14ac:dyDescent="0.25">
      <c r="A87" s="114"/>
      <c r="B87" s="35"/>
      <c r="C87" s="34"/>
      <c r="D87" s="113"/>
      <c r="E87" s="105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100">
        <f t="shared" ref="AL87:AW87" si="27">(AL86*-2)</f>
        <v>0</v>
      </c>
      <c r="AM87" s="100">
        <f t="shared" si="27"/>
        <v>-16</v>
      </c>
      <c r="AN87" s="100">
        <f t="shared" si="27"/>
        <v>-16</v>
      </c>
      <c r="AO87" s="100">
        <f t="shared" si="27"/>
        <v>-32</v>
      </c>
      <c r="AP87" s="100">
        <f t="shared" si="27"/>
        <v>-18</v>
      </c>
      <c r="AQ87" s="100">
        <f t="shared" si="27"/>
        <v>-14</v>
      </c>
      <c r="AR87" s="100">
        <f t="shared" si="27"/>
        <v>-14</v>
      </c>
      <c r="AS87" s="100">
        <f t="shared" si="27"/>
        <v>-4</v>
      </c>
      <c r="AT87" s="100">
        <f t="shared" si="27"/>
        <v>-34</v>
      </c>
      <c r="AU87" s="100">
        <f t="shared" si="27"/>
        <v>-12</v>
      </c>
      <c r="AV87" s="100">
        <f t="shared" si="27"/>
        <v>-14</v>
      </c>
      <c r="AW87" s="100">
        <f t="shared" si="27"/>
        <v>-2</v>
      </c>
      <c r="AX87" s="34"/>
      <c r="AY87" s="120"/>
      <c r="AZ87" s="39"/>
    </row>
    <row r="88" spans="1:52" x14ac:dyDescent="0.25">
      <c r="A88" s="115">
        <v>43040</v>
      </c>
      <c r="B88" s="35" t="s">
        <v>46</v>
      </c>
      <c r="C88" s="34">
        <v>7504</v>
      </c>
      <c r="D88" s="113" t="s">
        <v>6</v>
      </c>
      <c r="E88" s="105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99">
        <f>SUM(AL4:AL87)+AK85</f>
        <v>417</v>
      </c>
      <c r="AM88" s="34">
        <v>50</v>
      </c>
      <c r="AN88" s="34">
        <v>10</v>
      </c>
      <c r="AO88" s="34">
        <v>16</v>
      </c>
      <c r="AP88" s="34">
        <v>8</v>
      </c>
      <c r="AQ88" s="34">
        <v>5</v>
      </c>
      <c r="AR88" s="34">
        <v>1</v>
      </c>
      <c r="AS88" s="34">
        <v>6</v>
      </c>
      <c r="AT88" s="34">
        <v>3</v>
      </c>
      <c r="AU88" s="34">
        <v>1</v>
      </c>
      <c r="AV88" s="34">
        <v>0</v>
      </c>
      <c r="AW88" s="34">
        <v>1</v>
      </c>
      <c r="AX88" s="34">
        <v>0</v>
      </c>
      <c r="AY88" s="121">
        <v>-101</v>
      </c>
      <c r="AZ88" s="39"/>
    </row>
    <row r="89" spans="1:52" x14ac:dyDescent="0.25">
      <c r="A89" s="112">
        <v>43040</v>
      </c>
      <c r="B89" s="35" t="s">
        <v>46</v>
      </c>
      <c r="C89" s="34">
        <v>7504</v>
      </c>
      <c r="D89" s="113" t="s">
        <v>7</v>
      </c>
      <c r="E89" s="105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>
        <v>0</v>
      </c>
      <c r="AN89" s="34">
        <v>4</v>
      </c>
      <c r="AO89" s="34">
        <v>11</v>
      </c>
      <c r="AP89" s="34">
        <v>5</v>
      </c>
      <c r="AQ89" s="34">
        <v>8</v>
      </c>
      <c r="AR89" s="34">
        <v>6</v>
      </c>
      <c r="AS89" s="34">
        <v>4</v>
      </c>
      <c r="AT89" s="34">
        <v>6</v>
      </c>
      <c r="AU89" s="34">
        <v>8</v>
      </c>
      <c r="AV89" s="34">
        <v>3</v>
      </c>
      <c r="AW89" s="34">
        <v>5</v>
      </c>
      <c r="AX89" s="34">
        <v>9</v>
      </c>
      <c r="AY89" s="121">
        <f>SUM(AM89:AX89)</f>
        <v>69</v>
      </c>
      <c r="AZ89" s="39"/>
    </row>
    <row r="90" spans="1:52" x14ac:dyDescent="0.25">
      <c r="A90" s="114"/>
      <c r="B90" s="35"/>
      <c r="C90" s="34"/>
      <c r="D90" s="113"/>
      <c r="E90" s="105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100">
        <f t="shared" ref="AM90:AX90" si="28">(AM89*-2)</f>
        <v>0</v>
      </c>
      <c r="AN90" s="100">
        <f t="shared" si="28"/>
        <v>-8</v>
      </c>
      <c r="AO90" s="100">
        <f t="shared" si="28"/>
        <v>-22</v>
      </c>
      <c r="AP90" s="100">
        <f t="shared" si="28"/>
        <v>-10</v>
      </c>
      <c r="AQ90" s="100">
        <f t="shared" si="28"/>
        <v>-16</v>
      </c>
      <c r="AR90" s="100">
        <f t="shared" si="28"/>
        <v>-12</v>
      </c>
      <c r="AS90" s="100">
        <f t="shared" si="28"/>
        <v>-8</v>
      </c>
      <c r="AT90" s="100">
        <f t="shared" si="28"/>
        <v>-12</v>
      </c>
      <c r="AU90" s="100">
        <f t="shared" si="28"/>
        <v>-16</v>
      </c>
      <c r="AV90" s="100">
        <f t="shared" si="28"/>
        <v>-6</v>
      </c>
      <c r="AW90" s="100">
        <f t="shared" si="28"/>
        <v>-10</v>
      </c>
      <c r="AX90" s="100">
        <f t="shared" si="28"/>
        <v>-18</v>
      </c>
      <c r="AY90" s="120"/>
      <c r="AZ90" s="39"/>
    </row>
    <row r="91" spans="1:52" x14ac:dyDescent="0.25">
      <c r="A91" s="115">
        <v>43070</v>
      </c>
      <c r="B91" s="35" t="s">
        <v>47</v>
      </c>
      <c r="C91" s="34">
        <v>4932</v>
      </c>
      <c r="D91" s="113" t="s">
        <v>6</v>
      </c>
      <c r="E91" s="105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99">
        <f>SUM(AM4:AM90)+AL88</f>
        <v>443</v>
      </c>
      <c r="AN91" s="34">
        <v>63</v>
      </c>
      <c r="AO91" s="34">
        <v>15</v>
      </c>
      <c r="AP91" s="34">
        <v>13</v>
      </c>
      <c r="AQ91" s="34">
        <v>14</v>
      </c>
      <c r="AR91" s="34">
        <v>8</v>
      </c>
      <c r="AS91" s="34">
        <v>6</v>
      </c>
      <c r="AT91" s="34">
        <v>2</v>
      </c>
      <c r="AU91" s="34">
        <v>1</v>
      </c>
      <c r="AV91" s="34">
        <v>1</v>
      </c>
      <c r="AW91" s="34">
        <v>0</v>
      </c>
      <c r="AX91" s="34">
        <v>1</v>
      </c>
      <c r="AY91" s="120">
        <v>2</v>
      </c>
      <c r="AZ91" s="39"/>
    </row>
    <row r="92" spans="1:52" x14ac:dyDescent="0.25">
      <c r="A92" s="114">
        <v>43070</v>
      </c>
      <c r="B92" s="116" t="s">
        <v>47</v>
      </c>
      <c r="C92" s="117">
        <v>4932</v>
      </c>
      <c r="D92" s="118" t="s">
        <v>7</v>
      </c>
      <c r="E92" s="105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>
        <v>0</v>
      </c>
      <c r="AO92" s="34">
        <v>6</v>
      </c>
      <c r="AP92" s="34">
        <v>8</v>
      </c>
      <c r="AQ92" s="34">
        <v>7</v>
      </c>
      <c r="AR92" s="34">
        <v>7</v>
      </c>
      <c r="AS92" s="34">
        <v>6</v>
      </c>
      <c r="AT92" s="34">
        <v>5</v>
      </c>
      <c r="AU92" s="34">
        <v>10</v>
      </c>
      <c r="AV92" s="34">
        <v>12</v>
      </c>
      <c r="AW92" s="34">
        <v>15</v>
      </c>
      <c r="AX92" s="34">
        <v>16</v>
      </c>
      <c r="AY92" s="120">
        <v>7</v>
      </c>
      <c r="AZ92" s="39"/>
    </row>
    <row r="93" spans="1:52" x14ac:dyDescent="0.25">
      <c r="A93" s="12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0">
        <f t="shared" ref="AN93:AY93" si="29">(AN92*-2)</f>
        <v>0</v>
      </c>
      <c r="AO93" s="100">
        <f t="shared" si="29"/>
        <v>-12</v>
      </c>
      <c r="AP93" s="100">
        <f t="shared" si="29"/>
        <v>-16</v>
      </c>
      <c r="AQ93" s="100">
        <f t="shared" si="29"/>
        <v>-14</v>
      </c>
      <c r="AR93" s="100">
        <f t="shared" si="29"/>
        <v>-14</v>
      </c>
      <c r="AS93" s="100">
        <f t="shared" si="29"/>
        <v>-12</v>
      </c>
      <c r="AT93" s="100">
        <f t="shared" si="29"/>
        <v>-10</v>
      </c>
      <c r="AU93" s="100">
        <f t="shared" si="29"/>
        <v>-20</v>
      </c>
      <c r="AV93" s="100">
        <f t="shared" si="29"/>
        <v>-24</v>
      </c>
      <c r="AW93" s="100">
        <f t="shared" si="29"/>
        <v>-30</v>
      </c>
      <c r="AX93" s="100">
        <f t="shared" si="29"/>
        <v>-32</v>
      </c>
      <c r="AY93" s="123">
        <f t="shared" si="29"/>
        <v>-14</v>
      </c>
    </row>
    <row r="94" spans="1:52" ht="13.8" thickBot="1" x14ac:dyDescent="0.3">
      <c r="A94" s="124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6">
        <f>SUM(AN4:AN93)+AM91</f>
        <v>495</v>
      </c>
      <c r="AO94" s="126">
        <f t="shared" ref="AO94:AY94" si="30">SUM(AO4:AO93)+AN94</f>
        <v>461</v>
      </c>
      <c r="AP94" s="126">
        <f t="shared" si="30"/>
        <v>408</v>
      </c>
      <c r="AQ94" s="126">
        <f t="shared" si="30"/>
        <v>373</v>
      </c>
      <c r="AR94" s="126">
        <f t="shared" si="30"/>
        <v>344</v>
      </c>
      <c r="AS94" s="126">
        <f t="shared" si="30"/>
        <v>317</v>
      </c>
      <c r="AT94" s="126">
        <f t="shared" si="30"/>
        <v>255</v>
      </c>
      <c r="AU94" s="126">
        <f t="shared" si="30"/>
        <v>200</v>
      </c>
      <c r="AV94" s="126">
        <f t="shared" si="30"/>
        <v>156</v>
      </c>
      <c r="AW94" s="126">
        <f t="shared" si="30"/>
        <v>138</v>
      </c>
      <c r="AX94" s="126">
        <f t="shared" si="30"/>
        <v>100</v>
      </c>
      <c r="AY94" s="127">
        <f t="shared" si="30"/>
        <v>63</v>
      </c>
    </row>
    <row r="95" spans="1:52" ht="13.8" thickBot="1" x14ac:dyDescent="0.3">
      <c r="D95" s="33" t="s">
        <v>81</v>
      </c>
      <c r="E95" s="134">
        <v>42005</v>
      </c>
      <c r="F95" s="135">
        <v>42036</v>
      </c>
      <c r="G95" s="135">
        <v>42064</v>
      </c>
      <c r="H95" s="135">
        <v>42095</v>
      </c>
      <c r="I95" s="135">
        <v>42125</v>
      </c>
      <c r="J95" s="135">
        <v>42156</v>
      </c>
      <c r="K95" s="135">
        <v>42186</v>
      </c>
      <c r="L95" s="135">
        <v>42217</v>
      </c>
      <c r="M95" s="135">
        <v>42248</v>
      </c>
      <c r="N95" s="135">
        <v>42278</v>
      </c>
      <c r="O95" s="135">
        <v>42309</v>
      </c>
      <c r="P95" s="135">
        <v>42339</v>
      </c>
      <c r="Q95" s="135">
        <v>42370</v>
      </c>
      <c r="R95" s="135">
        <v>42401</v>
      </c>
      <c r="S95" s="135">
        <v>42430</v>
      </c>
      <c r="T95" s="135">
        <v>42461</v>
      </c>
      <c r="U95" s="135">
        <v>42491</v>
      </c>
      <c r="V95" s="135">
        <v>42522</v>
      </c>
      <c r="W95" s="135">
        <v>42552</v>
      </c>
      <c r="X95" s="135">
        <v>42583</v>
      </c>
      <c r="Y95" s="135">
        <v>42614</v>
      </c>
      <c r="Z95" s="135">
        <v>42644</v>
      </c>
      <c r="AA95" s="135">
        <v>42675</v>
      </c>
      <c r="AB95" s="135">
        <v>42705</v>
      </c>
      <c r="AC95" s="135">
        <v>42736</v>
      </c>
      <c r="AD95" s="135">
        <v>42767</v>
      </c>
      <c r="AE95" s="135">
        <v>42795</v>
      </c>
      <c r="AF95" s="135">
        <v>42826</v>
      </c>
      <c r="AG95" s="135">
        <v>42856</v>
      </c>
      <c r="AH95" s="135">
        <v>42887</v>
      </c>
      <c r="AI95" s="135">
        <v>42917</v>
      </c>
      <c r="AJ95" s="135">
        <v>42948</v>
      </c>
      <c r="AK95" s="135">
        <v>42979</v>
      </c>
      <c r="AL95" s="135">
        <v>43009</v>
      </c>
      <c r="AM95" s="135">
        <v>43040</v>
      </c>
      <c r="AN95" s="135">
        <v>43070</v>
      </c>
      <c r="AO95" s="135">
        <v>43101</v>
      </c>
      <c r="AP95" s="135">
        <v>43132</v>
      </c>
      <c r="AQ95" s="135">
        <v>43160</v>
      </c>
      <c r="AR95" s="135">
        <v>43191</v>
      </c>
      <c r="AS95" s="135">
        <v>43221</v>
      </c>
      <c r="AT95" s="135">
        <v>43252</v>
      </c>
      <c r="AU95" s="135">
        <v>43282</v>
      </c>
      <c r="AV95" s="135">
        <v>43313</v>
      </c>
      <c r="AW95" s="135">
        <v>43344</v>
      </c>
      <c r="AX95" s="135">
        <v>43374</v>
      </c>
      <c r="AY95" s="136">
        <v>43405</v>
      </c>
    </row>
    <row r="96" spans="1:52" ht="16.2" thickBot="1" x14ac:dyDescent="0.4">
      <c r="D96" s="128" t="s">
        <v>146</v>
      </c>
      <c r="E96" s="129">
        <f>E7</f>
        <v>45</v>
      </c>
      <c r="F96" s="129">
        <v>81</v>
      </c>
      <c r="G96" s="129">
        <v>122</v>
      </c>
      <c r="H96" s="129">
        <v>118</v>
      </c>
      <c r="I96" s="129">
        <v>141</v>
      </c>
      <c r="J96" s="129">
        <v>190</v>
      </c>
      <c r="K96" s="129">
        <v>235</v>
      </c>
      <c r="L96" s="129">
        <v>259</v>
      </c>
      <c r="M96" s="129">
        <v>233</v>
      </c>
      <c r="N96" s="129">
        <v>231</v>
      </c>
      <c r="O96" s="129">
        <v>232</v>
      </c>
      <c r="P96" s="129">
        <v>245</v>
      </c>
      <c r="Q96" s="129">
        <v>242</v>
      </c>
      <c r="R96" s="129">
        <v>236</v>
      </c>
      <c r="S96" s="129">
        <v>242</v>
      </c>
      <c r="T96" s="129">
        <v>200</v>
      </c>
      <c r="U96" s="129">
        <v>193</v>
      </c>
      <c r="V96" s="129">
        <v>197</v>
      </c>
      <c r="W96" s="129">
        <v>195</v>
      </c>
      <c r="X96" s="129">
        <v>207</v>
      </c>
      <c r="Y96" s="129">
        <v>171</v>
      </c>
      <c r="Z96" s="129">
        <v>161</v>
      </c>
      <c r="AA96" s="129">
        <v>158</v>
      </c>
      <c r="AB96" s="129">
        <v>154</v>
      </c>
      <c r="AC96" s="129">
        <v>173</v>
      </c>
      <c r="AD96" s="129">
        <v>199</v>
      </c>
      <c r="AE96" s="129">
        <v>217</v>
      </c>
      <c r="AF96" s="129">
        <v>200</v>
      </c>
      <c r="AG96" s="129">
        <v>222</v>
      </c>
      <c r="AH96" s="129">
        <v>249</v>
      </c>
      <c r="AI96" s="129">
        <v>281</v>
      </c>
      <c r="AJ96" s="129">
        <v>346</v>
      </c>
      <c r="AK96" s="129">
        <v>380</v>
      </c>
      <c r="AL96" s="129">
        <v>417</v>
      </c>
      <c r="AM96" s="129">
        <v>443</v>
      </c>
      <c r="AN96" s="129">
        <v>495</v>
      </c>
      <c r="AO96" s="129">
        <v>461</v>
      </c>
      <c r="AP96" s="129">
        <v>408</v>
      </c>
      <c r="AQ96" s="129">
        <v>373</v>
      </c>
      <c r="AR96" s="129">
        <v>344</v>
      </c>
      <c r="AS96" s="129">
        <v>317</v>
      </c>
      <c r="AT96" s="129">
        <v>255</v>
      </c>
      <c r="AU96" s="129">
        <v>200</v>
      </c>
      <c r="AV96" s="129">
        <v>156</v>
      </c>
      <c r="AW96" s="129">
        <v>138</v>
      </c>
      <c r="AX96" s="129">
        <v>100</v>
      </c>
      <c r="AY96" s="130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ED9B-6706-CC41-8866-86289F46121A}">
  <dimension ref="A2:BC99"/>
  <sheetViews>
    <sheetView topLeftCell="A95" zoomScale="48" zoomScaleNormal="48" workbookViewId="0">
      <selection activeCell="D96" sqref="D96"/>
    </sheetView>
  </sheetViews>
  <sheetFormatPr defaultColWidth="8.77734375" defaultRowHeight="13.2" x14ac:dyDescent="0.25"/>
  <cols>
    <col min="1" max="1" width="12.6640625" style="29" customWidth="1"/>
    <col min="2" max="2" width="6.109375" style="29" customWidth="1"/>
    <col min="3" max="3" width="9.33203125" style="29" customWidth="1"/>
    <col min="4" max="4" width="43.109375" style="29" customWidth="1"/>
    <col min="5" max="5" width="8.77734375" style="29"/>
    <col min="6" max="6" width="11.6640625" style="29" customWidth="1"/>
    <col min="7" max="7" width="13.6640625" style="29" customWidth="1"/>
    <col min="8" max="8" width="6.77734375" style="29" customWidth="1"/>
    <col min="9" max="9" width="9.77734375" style="29" customWidth="1"/>
    <col min="10" max="10" width="8.109375" style="29" customWidth="1"/>
    <col min="11" max="11" width="7.77734375" style="29" customWidth="1"/>
    <col min="12" max="12" width="6.6640625" style="29" customWidth="1"/>
    <col min="13" max="13" width="8" style="29" customWidth="1"/>
    <col min="14" max="14" width="7.44140625" style="29" customWidth="1"/>
    <col min="15" max="15" width="8.33203125" style="29" customWidth="1"/>
    <col min="16" max="16" width="10.33203125" style="29" customWidth="1"/>
    <col min="17" max="17" width="9" style="29" customWidth="1"/>
    <col min="18" max="18" width="7.77734375" style="29" customWidth="1"/>
    <col min="19" max="19" width="7.33203125" style="29" customWidth="1"/>
    <col min="20" max="20" width="8.109375" style="29" customWidth="1"/>
    <col min="21" max="21" width="7.44140625" style="29" customWidth="1"/>
    <col min="22" max="22" width="10.44140625" style="29" customWidth="1"/>
    <col min="23" max="23" width="6.44140625" style="29" customWidth="1"/>
    <col min="24" max="24" width="8.44140625" style="29" customWidth="1"/>
    <col min="25" max="16384" width="8.77734375" style="29"/>
  </cols>
  <sheetData>
    <row r="2" spans="1:55" ht="13.8" thickBot="1" x14ac:dyDescent="0.3"/>
    <row r="3" spans="1:55" ht="13.8" thickBot="1" x14ac:dyDescent="0.3">
      <c r="A3" s="45" t="s">
        <v>1</v>
      </c>
      <c r="B3" s="187" t="s">
        <v>2</v>
      </c>
      <c r="C3" s="187" t="s">
        <v>3</v>
      </c>
      <c r="D3" s="188" t="s">
        <v>4</v>
      </c>
      <c r="E3" s="184">
        <v>42005</v>
      </c>
      <c r="F3" s="170">
        <v>42036</v>
      </c>
      <c r="G3" s="170">
        <v>42064</v>
      </c>
      <c r="H3" s="170">
        <v>42095</v>
      </c>
      <c r="I3" s="170">
        <v>42125</v>
      </c>
      <c r="J3" s="170">
        <v>42156</v>
      </c>
      <c r="K3" s="170">
        <v>42186</v>
      </c>
      <c r="L3" s="170">
        <v>42217</v>
      </c>
      <c r="M3" s="170">
        <v>42248</v>
      </c>
      <c r="N3" s="170">
        <v>42278</v>
      </c>
      <c r="O3" s="170">
        <v>42309</v>
      </c>
      <c r="P3" s="170">
        <v>42339</v>
      </c>
      <c r="Q3" s="170">
        <v>42370</v>
      </c>
      <c r="R3" s="170">
        <v>42401</v>
      </c>
      <c r="S3" s="170">
        <v>42430</v>
      </c>
      <c r="T3" s="170">
        <v>42461</v>
      </c>
      <c r="U3" s="170">
        <v>42491</v>
      </c>
      <c r="V3" s="170">
        <v>42522</v>
      </c>
      <c r="W3" s="170">
        <v>42552</v>
      </c>
      <c r="X3" s="170">
        <v>42583</v>
      </c>
      <c r="Y3" s="170">
        <v>42614</v>
      </c>
      <c r="Z3" s="170">
        <v>42644</v>
      </c>
      <c r="AA3" s="170">
        <v>42675</v>
      </c>
      <c r="AB3" s="170">
        <v>42705</v>
      </c>
      <c r="AC3" s="170">
        <v>42736</v>
      </c>
      <c r="AD3" s="170">
        <v>42767</v>
      </c>
      <c r="AE3" s="170">
        <v>42795</v>
      </c>
      <c r="AF3" s="170">
        <v>42826</v>
      </c>
      <c r="AG3" s="170">
        <v>42856</v>
      </c>
      <c r="AH3" s="170">
        <v>42887</v>
      </c>
      <c r="AI3" s="170">
        <v>42917</v>
      </c>
      <c r="AJ3" s="170">
        <v>42948</v>
      </c>
      <c r="AK3" s="170">
        <v>42979</v>
      </c>
      <c r="AL3" s="170">
        <v>43009</v>
      </c>
      <c r="AM3" s="170">
        <v>43040</v>
      </c>
      <c r="AN3" s="170">
        <v>43070</v>
      </c>
      <c r="AO3" s="170">
        <v>43101</v>
      </c>
      <c r="AP3" s="170">
        <v>43132</v>
      </c>
      <c r="AQ3" s="170">
        <v>43160</v>
      </c>
      <c r="AR3" s="170">
        <v>43191</v>
      </c>
      <c r="AS3" s="170">
        <v>43221</v>
      </c>
      <c r="AT3" s="170">
        <v>43252</v>
      </c>
      <c r="AU3" s="170">
        <v>43282</v>
      </c>
      <c r="AV3" s="170">
        <v>43313</v>
      </c>
      <c r="AW3" s="170">
        <v>43344</v>
      </c>
      <c r="AX3" s="170">
        <v>43374</v>
      </c>
      <c r="AY3" s="171">
        <v>43405</v>
      </c>
      <c r="AZ3" s="48"/>
      <c r="BA3" s="46"/>
      <c r="BB3" s="47"/>
      <c r="BC3" s="47"/>
    </row>
    <row r="4" spans="1:55" x14ac:dyDescent="0.25">
      <c r="A4" s="44">
        <v>42005</v>
      </c>
      <c r="B4" s="185" t="s">
        <v>5</v>
      </c>
      <c r="C4" s="96">
        <v>2400</v>
      </c>
      <c r="D4" s="186" t="s">
        <v>6</v>
      </c>
      <c r="E4" s="172">
        <v>45</v>
      </c>
      <c r="F4" s="110">
        <v>3</v>
      </c>
      <c r="G4" s="110">
        <v>5</v>
      </c>
      <c r="H4" s="110">
        <v>3</v>
      </c>
      <c r="I4" s="110">
        <v>2</v>
      </c>
      <c r="J4" s="110">
        <v>6</v>
      </c>
      <c r="K4" s="110">
        <v>3</v>
      </c>
      <c r="L4" s="110">
        <v>2</v>
      </c>
      <c r="M4" s="110">
        <v>1</v>
      </c>
      <c r="N4" s="110">
        <v>0</v>
      </c>
      <c r="O4" s="110">
        <v>1</v>
      </c>
      <c r="P4" s="110">
        <v>0</v>
      </c>
      <c r="Q4" s="173">
        <v>-71</v>
      </c>
      <c r="R4" s="174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75"/>
      <c r="AZ4" s="40"/>
      <c r="BA4" s="46"/>
      <c r="BB4" s="46"/>
      <c r="BC4" s="46"/>
    </row>
    <row r="5" spans="1:55" x14ac:dyDescent="0.25">
      <c r="A5" s="41">
        <v>42005</v>
      </c>
      <c r="B5" s="35" t="s">
        <v>5</v>
      </c>
      <c r="C5" s="34">
        <v>2400</v>
      </c>
      <c r="D5" s="169" t="s">
        <v>7</v>
      </c>
      <c r="E5" s="176">
        <v>0</v>
      </c>
      <c r="F5" s="34">
        <v>5</v>
      </c>
      <c r="G5" s="34">
        <v>7</v>
      </c>
      <c r="H5" s="34">
        <v>6</v>
      </c>
      <c r="I5" s="34">
        <v>6</v>
      </c>
      <c r="J5" s="34">
        <v>3</v>
      </c>
      <c r="K5" s="34">
        <v>5</v>
      </c>
      <c r="L5" s="34">
        <v>8</v>
      </c>
      <c r="M5" s="34">
        <v>12</v>
      </c>
      <c r="N5" s="34">
        <v>5</v>
      </c>
      <c r="O5" s="34">
        <v>6</v>
      </c>
      <c r="P5" s="34">
        <v>4</v>
      </c>
      <c r="Q5" s="97">
        <f>SUM(E5:P5)</f>
        <v>67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120"/>
      <c r="AZ5" s="39"/>
    </row>
    <row r="6" spans="1:55" x14ac:dyDescent="0.25">
      <c r="A6" s="43"/>
      <c r="B6" s="35"/>
      <c r="C6" s="34"/>
      <c r="D6" s="169"/>
      <c r="E6" s="177">
        <f t="shared" ref="E6:P6" si="0">(E5*-2)</f>
        <v>0</v>
      </c>
      <c r="F6" s="100">
        <f t="shared" si="0"/>
        <v>-10</v>
      </c>
      <c r="G6" s="100">
        <f t="shared" si="0"/>
        <v>-14</v>
      </c>
      <c r="H6" s="100">
        <f t="shared" si="0"/>
        <v>-12</v>
      </c>
      <c r="I6" s="100">
        <f t="shared" si="0"/>
        <v>-12</v>
      </c>
      <c r="J6" s="100">
        <f t="shared" si="0"/>
        <v>-6</v>
      </c>
      <c r="K6" s="100">
        <f t="shared" si="0"/>
        <v>-10</v>
      </c>
      <c r="L6" s="100">
        <f t="shared" si="0"/>
        <v>-16</v>
      </c>
      <c r="M6" s="100">
        <f t="shared" si="0"/>
        <v>-24</v>
      </c>
      <c r="N6" s="100">
        <f t="shared" si="0"/>
        <v>-10</v>
      </c>
      <c r="O6" s="100">
        <f t="shared" si="0"/>
        <v>-12</v>
      </c>
      <c r="P6" s="100">
        <f t="shared" si="0"/>
        <v>-8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120"/>
      <c r="AZ6" s="39"/>
    </row>
    <row r="7" spans="1:55" x14ac:dyDescent="0.25">
      <c r="A7" s="42">
        <v>42036</v>
      </c>
      <c r="B7" s="35" t="s">
        <v>8</v>
      </c>
      <c r="C7" s="34">
        <v>3780</v>
      </c>
      <c r="D7" s="169" t="s">
        <v>6</v>
      </c>
      <c r="E7" s="178">
        <f>SUM(E4:E6)</f>
        <v>45</v>
      </c>
      <c r="F7" s="34">
        <v>38</v>
      </c>
      <c r="G7" s="34">
        <v>6</v>
      </c>
      <c r="H7" s="34">
        <v>8</v>
      </c>
      <c r="I7" s="34">
        <v>2</v>
      </c>
      <c r="J7" s="34">
        <v>3</v>
      </c>
      <c r="K7" s="34">
        <v>4</v>
      </c>
      <c r="L7" s="34">
        <v>1</v>
      </c>
      <c r="M7" s="34">
        <v>5</v>
      </c>
      <c r="N7" s="34">
        <v>0</v>
      </c>
      <c r="O7" s="34">
        <v>0</v>
      </c>
      <c r="P7" s="34">
        <v>1</v>
      </c>
      <c r="Q7" s="34">
        <v>0</v>
      </c>
      <c r="R7" s="97">
        <v>-68</v>
      </c>
      <c r="S7" s="98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120"/>
      <c r="AZ7" s="39"/>
    </row>
    <row r="8" spans="1:55" x14ac:dyDescent="0.25">
      <c r="A8" s="41">
        <v>42036</v>
      </c>
      <c r="B8" s="35" t="s">
        <v>8</v>
      </c>
      <c r="C8" s="34">
        <v>3780</v>
      </c>
      <c r="D8" s="169" t="s">
        <v>7</v>
      </c>
      <c r="E8" s="176"/>
      <c r="F8" s="34">
        <v>0</v>
      </c>
      <c r="G8" s="34">
        <v>4</v>
      </c>
      <c r="H8" s="34">
        <v>8</v>
      </c>
      <c r="I8" s="34">
        <v>3</v>
      </c>
      <c r="J8" s="34">
        <v>5</v>
      </c>
      <c r="K8" s="34">
        <v>5</v>
      </c>
      <c r="L8" s="34">
        <v>7</v>
      </c>
      <c r="M8" s="34">
        <v>8</v>
      </c>
      <c r="N8" s="34">
        <v>10</v>
      </c>
      <c r="O8" s="34">
        <v>6</v>
      </c>
      <c r="P8" s="34">
        <v>7</v>
      </c>
      <c r="Q8" s="34">
        <v>3</v>
      </c>
      <c r="R8" s="97">
        <f>SUM(F8:Q8)</f>
        <v>66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120"/>
      <c r="AZ8" s="39"/>
    </row>
    <row r="9" spans="1:55" x14ac:dyDescent="0.25">
      <c r="A9" s="43"/>
      <c r="B9" s="35"/>
      <c r="C9" s="34"/>
      <c r="D9" s="169"/>
      <c r="E9" s="176"/>
      <c r="F9" s="100">
        <f t="shared" ref="F9:Q9" si="1">(F8*-2)</f>
        <v>0</v>
      </c>
      <c r="G9" s="100">
        <f t="shared" si="1"/>
        <v>-8</v>
      </c>
      <c r="H9" s="100">
        <f t="shared" si="1"/>
        <v>-16</v>
      </c>
      <c r="I9" s="100">
        <f t="shared" si="1"/>
        <v>-6</v>
      </c>
      <c r="J9" s="100">
        <f t="shared" si="1"/>
        <v>-10</v>
      </c>
      <c r="K9" s="100">
        <f t="shared" si="1"/>
        <v>-10</v>
      </c>
      <c r="L9" s="100">
        <f t="shared" si="1"/>
        <v>-14</v>
      </c>
      <c r="M9" s="100">
        <f t="shared" si="1"/>
        <v>-16</v>
      </c>
      <c r="N9" s="100">
        <f t="shared" si="1"/>
        <v>-20</v>
      </c>
      <c r="O9" s="100">
        <f t="shared" si="1"/>
        <v>-12</v>
      </c>
      <c r="P9" s="100">
        <f t="shared" si="1"/>
        <v>-14</v>
      </c>
      <c r="Q9" s="100">
        <f t="shared" si="1"/>
        <v>-6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20"/>
      <c r="AZ9" s="39"/>
    </row>
    <row r="10" spans="1:55" x14ac:dyDescent="0.25">
      <c r="A10" s="42">
        <v>42064</v>
      </c>
      <c r="B10" s="35" t="s">
        <v>7</v>
      </c>
      <c r="C10" s="34">
        <v>4593</v>
      </c>
      <c r="D10" s="169" t="s">
        <v>6</v>
      </c>
      <c r="E10" s="176"/>
      <c r="F10" s="99">
        <f>SUM(F4:F9)+E7</f>
        <v>81</v>
      </c>
      <c r="G10" s="34">
        <v>41</v>
      </c>
      <c r="H10" s="34">
        <v>5</v>
      </c>
      <c r="I10" s="34">
        <v>3</v>
      </c>
      <c r="J10" s="34">
        <v>4</v>
      </c>
      <c r="K10" s="34">
        <v>3</v>
      </c>
      <c r="L10" s="34">
        <v>2</v>
      </c>
      <c r="M10" s="34">
        <v>2</v>
      </c>
      <c r="N10" s="34">
        <v>1</v>
      </c>
      <c r="O10" s="34">
        <v>1</v>
      </c>
      <c r="P10" s="34">
        <v>0</v>
      </c>
      <c r="Q10" s="34">
        <v>1</v>
      </c>
      <c r="R10" s="34">
        <v>0</v>
      </c>
      <c r="S10" s="97">
        <v>-63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20"/>
      <c r="AZ10" s="39"/>
    </row>
    <row r="11" spans="1:55" x14ac:dyDescent="0.25">
      <c r="A11" s="41">
        <v>42064</v>
      </c>
      <c r="B11" s="35" t="s">
        <v>7</v>
      </c>
      <c r="C11" s="34">
        <v>4593</v>
      </c>
      <c r="D11" s="169" t="s">
        <v>7</v>
      </c>
      <c r="E11" s="176"/>
      <c r="F11" s="34"/>
      <c r="G11" s="34">
        <v>0</v>
      </c>
      <c r="H11" s="34">
        <v>6</v>
      </c>
      <c r="I11" s="34">
        <v>8</v>
      </c>
      <c r="J11" s="34">
        <v>7</v>
      </c>
      <c r="K11" s="34">
        <v>4</v>
      </c>
      <c r="L11" s="34">
        <v>5</v>
      </c>
      <c r="M11" s="34">
        <v>3</v>
      </c>
      <c r="N11" s="34">
        <v>10</v>
      </c>
      <c r="O11" s="34">
        <v>12</v>
      </c>
      <c r="P11" s="34">
        <v>5</v>
      </c>
      <c r="Q11" s="34">
        <v>2</v>
      </c>
      <c r="R11" s="34">
        <v>0</v>
      </c>
      <c r="S11" s="97">
        <f>SUM(G11:R11)</f>
        <v>62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120"/>
      <c r="AZ11" s="39"/>
    </row>
    <row r="12" spans="1:55" x14ac:dyDescent="0.25">
      <c r="A12" s="43"/>
      <c r="B12" s="35"/>
      <c r="C12" s="34"/>
      <c r="D12" s="169"/>
      <c r="E12" s="176"/>
      <c r="F12" s="34"/>
      <c r="G12" s="100">
        <f t="shared" ref="G12:R12" si="2">(G11*-2)</f>
        <v>0</v>
      </c>
      <c r="H12" s="100">
        <f t="shared" si="2"/>
        <v>-12</v>
      </c>
      <c r="I12" s="100">
        <f t="shared" si="2"/>
        <v>-16</v>
      </c>
      <c r="J12" s="100">
        <f t="shared" si="2"/>
        <v>-14</v>
      </c>
      <c r="K12" s="100">
        <f t="shared" si="2"/>
        <v>-8</v>
      </c>
      <c r="L12" s="100">
        <f t="shared" si="2"/>
        <v>-10</v>
      </c>
      <c r="M12" s="100">
        <f t="shared" si="2"/>
        <v>-6</v>
      </c>
      <c r="N12" s="100">
        <f t="shared" si="2"/>
        <v>-20</v>
      </c>
      <c r="O12" s="100">
        <f t="shared" si="2"/>
        <v>-24</v>
      </c>
      <c r="P12" s="100">
        <f t="shared" si="2"/>
        <v>-10</v>
      </c>
      <c r="Q12" s="100">
        <f t="shared" si="2"/>
        <v>-4</v>
      </c>
      <c r="R12" s="100">
        <f t="shared" si="2"/>
        <v>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120"/>
      <c r="AZ12" s="39"/>
    </row>
    <row r="13" spans="1:55" x14ac:dyDescent="0.25">
      <c r="A13" s="42">
        <v>42125</v>
      </c>
      <c r="B13" s="35" t="s">
        <v>9</v>
      </c>
      <c r="C13" s="34">
        <v>3690</v>
      </c>
      <c r="D13" s="169" t="s">
        <v>6</v>
      </c>
      <c r="E13" s="176"/>
      <c r="F13" s="34"/>
      <c r="G13" s="99">
        <f>SUM(G4:G12)+F10</f>
        <v>122</v>
      </c>
      <c r="H13" s="99">
        <f>SUM(H4:H12)+G13</f>
        <v>118</v>
      </c>
      <c r="I13" s="34">
        <v>33</v>
      </c>
      <c r="J13" s="34">
        <v>4</v>
      </c>
      <c r="K13" s="34">
        <v>2</v>
      </c>
      <c r="L13" s="34">
        <v>5</v>
      </c>
      <c r="M13" s="34">
        <v>2</v>
      </c>
      <c r="N13" s="34">
        <v>2</v>
      </c>
      <c r="O13" s="34">
        <v>1</v>
      </c>
      <c r="P13" s="34">
        <v>3</v>
      </c>
      <c r="Q13" s="34">
        <v>0</v>
      </c>
      <c r="R13" s="34">
        <v>0</v>
      </c>
      <c r="S13" s="34">
        <v>1</v>
      </c>
      <c r="T13" s="34">
        <v>0</v>
      </c>
      <c r="U13" s="97">
        <v>-53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120"/>
      <c r="AZ13" s="39"/>
    </row>
    <row r="14" spans="1:55" x14ac:dyDescent="0.25">
      <c r="A14" s="41">
        <v>42125</v>
      </c>
      <c r="B14" s="35" t="s">
        <v>9</v>
      </c>
      <c r="C14" s="34">
        <v>3690</v>
      </c>
      <c r="D14" s="169" t="s">
        <v>7</v>
      </c>
      <c r="E14" s="176"/>
      <c r="F14" s="34"/>
      <c r="G14" s="34"/>
      <c r="H14" s="34"/>
      <c r="I14" s="34">
        <v>0</v>
      </c>
      <c r="J14" s="34">
        <v>8</v>
      </c>
      <c r="K14" s="34">
        <v>4</v>
      </c>
      <c r="L14" s="34">
        <v>4</v>
      </c>
      <c r="M14" s="34">
        <v>5</v>
      </c>
      <c r="N14" s="34">
        <v>3</v>
      </c>
      <c r="O14" s="34">
        <v>7</v>
      </c>
      <c r="P14" s="34">
        <v>8</v>
      </c>
      <c r="Q14" s="34">
        <v>7</v>
      </c>
      <c r="R14" s="34">
        <v>4</v>
      </c>
      <c r="S14" s="34">
        <v>2</v>
      </c>
      <c r="T14" s="34">
        <v>1</v>
      </c>
      <c r="U14" s="97">
        <f>SUM(I14:T14)</f>
        <v>53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120"/>
      <c r="AZ14" s="39"/>
    </row>
    <row r="15" spans="1:55" x14ac:dyDescent="0.25">
      <c r="A15" s="43"/>
      <c r="B15" s="35"/>
      <c r="C15" s="34"/>
      <c r="D15" s="169"/>
      <c r="E15" s="176"/>
      <c r="F15" s="34"/>
      <c r="G15" s="34"/>
      <c r="H15" s="34"/>
      <c r="I15" s="100">
        <f t="shared" ref="I15:T15" si="3">(I14*-2)</f>
        <v>0</v>
      </c>
      <c r="J15" s="100">
        <f t="shared" si="3"/>
        <v>-16</v>
      </c>
      <c r="K15" s="100">
        <f t="shared" si="3"/>
        <v>-8</v>
      </c>
      <c r="L15" s="100">
        <f t="shared" si="3"/>
        <v>-8</v>
      </c>
      <c r="M15" s="100">
        <f t="shared" si="3"/>
        <v>-10</v>
      </c>
      <c r="N15" s="100">
        <f t="shared" si="3"/>
        <v>-6</v>
      </c>
      <c r="O15" s="100">
        <f t="shared" si="3"/>
        <v>-14</v>
      </c>
      <c r="P15" s="100">
        <f t="shared" si="3"/>
        <v>-16</v>
      </c>
      <c r="Q15" s="100">
        <f t="shared" si="3"/>
        <v>-14</v>
      </c>
      <c r="R15" s="100">
        <f t="shared" si="3"/>
        <v>-8</v>
      </c>
      <c r="S15" s="100">
        <f t="shared" si="3"/>
        <v>-4</v>
      </c>
      <c r="T15" s="100">
        <f t="shared" si="3"/>
        <v>-2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120"/>
      <c r="AZ15" s="39"/>
    </row>
    <row r="16" spans="1:55" x14ac:dyDescent="0.25">
      <c r="A16" s="42">
        <v>42156</v>
      </c>
      <c r="B16" s="35" t="s">
        <v>10</v>
      </c>
      <c r="C16" s="34">
        <v>4400</v>
      </c>
      <c r="D16" s="169" t="s">
        <v>6</v>
      </c>
      <c r="E16" s="176"/>
      <c r="F16" s="34"/>
      <c r="G16" s="34"/>
      <c r="H16" s="34"/>
      <c r="I16" s="99">
        <f>SUM(I4:I15)+H13</f>
        <v>141</v>
      </c>
      <c r="J16" s="34">
        <v>55</v>
      </c>
      <c r="K16" s="34">
        <v>3</v>
      </c>
      <c r="L16" s="34">
        <v>5</v>
      </c>
      <c r="M16" s="34">
        <v>3</v>
      </c>
      <c r="N16" s="34">
        <v>2</v>
      </c>
      <c r="O16" s="34">
        <v>6</v>
      </c>
      <c r="P16" s="34">
        <v>3</v>
      </c>
      <c r="Q16" s="34">
        <v>2</v>
      </c>
      <c r="R16" s="34">
        <v>1</v>
      </c>
      <c r="S16" s="34">
        <v>0</v>
      </c>
      <c r="T16" s="34">
        <v>1</v>
      </c>
      <c r="U16" s="34">
        <v>0</v>
      </c>
      <c r="V16" s="97">
        <v>-81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120"/>
      <c r="AZ16" s="39"/>
    </row>
    <row r="17" spans="1:52" x14ac:dyDescent="0.25">
      <c r="A17" s="41">
        <v>42156</v>
      </c>
      <c r="B17" s="35" t="s">
        <v>10</v>
      </c>
      <c r="C17" s="34">
        <v>4400</v>
      </c>
      <c r="D17" s="169" t="s">
        <v>7</v>
      </c>
      <c r="E17" s="176"/>
      <c r="F17" s="34"/>
      <c r="G17" s="34"/>
      <c r="H17" s="34"/>
      <c r="I17" s="34"/>
      <c r="J17" s="34">
        <v>0</v>
      </c>
      <c r="K17" s="34">
        <v>8</v>
      </c>
      <c r="L17" s="34">
        <v>7</v>
      </c>
      <c r="M17" s="34">
        <v>9</v>
      </c>
      <c r="N17" s="34">
        <v>6</v>
      </c>
      <c r="O17" s="34">
        <v>5</v>
      </c>
      <c r="P17" s="34">
        <v>5</v>
      </c>
      <c r="Q17" s="34">
        <v>8</v>
      </c>
      <c r="R17" s="34">
        <v>12</v>
      </c>
      <c r="S17" s="34">
        <v>5</v>
      </c>
      <c r="T17" s="34">
        <v>6</v>
      </c>
      <c r="U17" s="34">
        <v>4</v>
      </c>
      <c r="V17" s="97">
        <f>SUM(J17:U17)</f>
        <v>75</v>
      </c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120"/>
      <c r="AZ17" s="39"/>
    </row>
    <row r="18" spans="1:52" x14ac:dyDescent="0.25">
      <c r="A18" s="43"/>
      <c r="B18" s="35"/>
      <c r="C18" s="34"/>
      <c r="D18" s="169"/>
      <c r="E18" s="176"/>
      <c r="F18" s="34"/>
      <c r="G18" s="34"/>
      <c r="H18" s="34"/>
      <c r="I18" s="34"/>
      <c r="J18" s="100">
        <f t="shared" ref="J18:U18" si="4">(J17*-2)</f>
        <v>0</v>
      </c>
      <c r="K18" s="100">
        <f t="shared" si="4"/>
        <v>-16</v>
      </c>
      <c r="L18" s="100">
        <f t="shared" si="4"/>
        <v>-14</v>
      </c>
      <c r="M18" s="100">
        <f t="shared" si="4"/>
        <v>-18</v>
      </c>
      <c r="N18" s="100">
        <f t="shared" si="4"/>
        <v>-12</v>
      </c>
      <c r="O18" s="100">
        <f t="shared" si="4"/>
        <v>-10</v>
      </c>
      <c r="P18" s="100">
        <f t="shared" si="4"/>
        <v>-10</v>
      </c>
      <c r="Q18" s="100">
        <f t="shared" si="4"/>
        <v>-16</v>
      </c>
      <c r="R18" s="100">
        <f t="shared" si="4"/>
        <v>-24</v>
      </c>
      <c r="S18" s="100">
        <f t="shared" si="4"/>
        <v>-10</v>
      </c>
      <c r="T18" s="100">
        <f t="shared" si="4"/>
        <v>-12</v>
      </c>
      <c r="U18" s="100">
        <f t="shared" si="4"/>
        <v>-8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120"/>
      <c r="AZ18" s="39"/>
    </row>
    <row r="19" spans="1:52" x14ac:dyDescent="0.25">
      <c r="A19" s="42">
        <v>42186</v>
      </c>
      <c r="B19" s="35" t="s">
        <v>11</v>
      </c>
      <c r="C19" s="34">
        <v>4450</v>
      </c>
      <c r="D19" s="169" t="s">
        <v>6</v>
      </c>
      <c r="E19" s="176"/>
      <c r="F19" s="34"/>
      <c r="G19" s="34"/>
      <c r="H19" s="34"/>
      <c r="I19" s="34"/>
      <c r="J19" s="99">
        <f>SUM(J4:J18)+I16</f>
        <v>190</v>
      </c>
      <c r="K19" s="34">
        <v>56</v>
      </c>
      <c r="L19" s="34">
        <v>6</v>
      </c>
      <c r="M19" s="34">
        <v>8</v>
      </c>
      <c r="N19" s="34">
        <v>2</v>
      </c>
      <c r="O19" s="34">
        <v>3</v>
      </c>
      <c r="P19" s="34">
        <v>4</v>
      </c>
      <c r="Q19" s="34">
        <v>1</v>
      </c>
      <c r="R19" s="34">
        <v>5</v>
      </c>
      <c r="S19" s="34">
        <v>0</v>
      </c>
      <c r="T19" s="34">
        <v>0</v>
      </c>
      <c r="U19" s="34">
        <v>1</v>
      </c>
      <c r="V19" s="34">
        <v>0</v>
      </c>
      <c r="W19" s="97">
        <v>-86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120"/>
      <c r="AZ19" s="39"/>
    </row>
    <row r="20" spans="1:52" x14ac:dyDescent="0.25">
      <c r="A20" s="41">
        <v>42186</v>
      </c>
      <c r="B20" s="35" t="s">
        <v>11</v>
      </c>
      <c r="C20" s="34">
        <v>4450</v>
      </c>
      <c r="D20" s="169" t="s">
        <v>7</v>
      </c>
      <c r="E20" s="176"/>
      <c r="F20" s="34"/>
      <c r="G20" s="34"/>
      <c r="H20" s="34"/>
      <c r="I20" s="34"/>
      <c r="J20" s="34"/>
      <c r="K20" s="34">
        <v>0</v>
      </c>
      <c r="L20" s="34">
        <v>10</v>
      </c>
      <c r="M20" s="34">
        <v>8</v>
      </c>
      <c r="N20" s="34">
        <v>13</v>
      </c>
      <c r="O20" s="34">
        <v>5</v>
      </c>
      <c r="P20" s="34">
        <v>5</v>
      </c>
      <c r="Q20" s="34">
        <v>9</v>
      </c>
      <c r="R20" s="34">
        <v>8</v>
      </c>
      <c r="S20" s="34">
        <v>10</v>
      </c>
      <c r="T20" s="34">
        <v>6</v>
      </c>
      <c r="U20" s="34">
        <v>7</v>
      </c>
      <c r="V20" s="34">
        <v>3</v>
      </c>
      <c r="W20" s="97">
        <f>SUM(K20:V20)</f>
        <v>84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120"/>
      <c r="AZ20" s="39"/>
    </row>
    <row r="21" spans="1:52" x14ac:dyDescent="0.25">
      <c r="A21" s="43"/>
      <c r="B21" s="35"/>
      <c r="C21" s="34"/>
      <c r="D21" s="169"/>
      <c r="E21" s="176"/>
      <c r="F21" s="34"/>
      <c r="G21" s="34"/>
      <c r="H21" s="34"/>
      <c r="I21" s="34"/>
      <c r="J21" s="34"/>
      <c r="K21" s="100">
        <f t="shared" ref="K21:V21" si="5">(K20*-2)</f>
        <v>0</v>
      </c>
      <c r="L21" s="100">
        <f t="shared" si="5"/>
        <v>-20</v>
      </c>
      <c r="M21" s="100">
        <f t="shared" si="5"/>
        <v>-16</v>
      </c>
      <c r="N21" s="100">
        <f t="shared" si="5"/>
        <v>-26</v>
      </c>
      <c r="O21" s="100">
        <f t="shared" si="5"/>
        <v>-10</v>
      </c>
      <c r="P21" s="100">
        <f t="shared" si="5"/>
        <v>-10</v>
      </c>
      <c r="Q21" s="100">
        <f t="shared" si="5"/>
        <v>-18</v>
      </c>
      <c r="R21" s="100">
        <f t="shared" si="5"/>
        <v>-16</v>
      </c>
      <c r="S21" s="100">
        <f t="shared" si="5"/>
        <v>-20</v>
      </c>
      <c r="T21" s="100">
        <f t="shared" si="5"/>
        <v>-12</v>
      </c>
      <c r="U21" s="100">
        <f t="shared" si="5"/>
        <v>-14</v>
      </c>
      <c r="V21" s="100">
        <f t="shared" si="5"/>
        <v>-6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120"/>
      <c r="AZ21" s="39"/>
    </row>
    <row r="22" spans="1:52" x14ac:dyDescent="0.25">
      <c r="A22" s="42">
        <v>42217</v>
      </c>
      <c r="B22" s="35" t="s">
        <v>12</v>
      </c>
      <c r="C22" s="34">
        <v>4925</v>
      </c>
      <c r="D22" s="169" t="s">
        <v>6</v>
      </c>
      <c r="E22" s="176"/>
      <c r="F22" s="34"/>
      <c r="G22" s="34"/>
      <c r="H22" s="34"/>
      <c r="I22" s="34"/>
      <c r="J22" s="34"/>
      <c r="K22" s="99">
        <f>SUM(K4:K21)+J19</f>
        <v>235</v>
      </c>
      <c r="L22" s="34">
        <v>44</v>
      </c>
      <c r="M22" s="34">
        <v>4</v>
      </c>
      <c r="N22" s="34">
        <v>3</v>
      </c>
      <c r="O22" s="34">
        <v>5</v>
      </c>
      <c r="P22" s="34">
        <v>2</v>
      </c>
      <c r="Q22" s="34">
        <v>3</v>
      </c>
      <c r="R22" s="34">
        <v>2</v>
      </c>
      <c r="S22" s="34">
        <v>1</v>
      </c>
      <c r="T22" s="34">
        <v>1</v>
      </c>
      <c r="U22" s="34">
        <v>0</v>
      </c>
      <c r="V22" s="34">
        <v>1</v>
      </c>
      <c r="W22" s="34">
        <v>0</v>
      </c>
      <c r="X22" s="97">
        <v>-66</v>
      </c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120"/>
      <c r="AZ22" s="39"/>
    </row>
    <row r="23" spans="1:52" x14ac:dyDescent="0.25">
      <c r="A23" s="41">
        <v>42217</v>
      </c>
      <c r="B23" s="35" t="s">
        <v>12</v>
      </c>
      <c r="C23" s="34">
        <v>4925</v>
      </c>
      <c r="D23" s="169" t="s">
        <v>7</v>
      </c>
      <c r="E23" s="176"/>
      <c r="F23" s="34"/>
      <c r="G23" s="34"/>
      <c r="H23" s="34"/>
      <c r="I23" s="34"/>
      <c r="J23" s="34"/>
      <c r="K23" s="34"/>
      <c r="L23" s="34">
        <v>0</v>
      </c>
      <c r="M23" s="34">
        <v>6</v>
      </c>
      <c r="N23" s="34">
        <v>8</v>
      </c>
      <c r="O23" s="34">
        <v>7</v>
      </c>
      <c r="P23" s="34">
        <v>4</v>
      </c>
      <c r="Q23" s="34">
        <v>7</v>
      </c>
      <c r="R23" s="34">
        <v>5</v>
      </c>
      <c r="S23" s="34">
        <v>10</v>
      </c>
      <c r="T23" s="34">
        <v>11</v>
      </c>
      <c r="U23" s="34">
        <v>5</v>
      </c>
      <c r="V23" s="34">
        <v>2</v>
      </c>
      <c r="W23" s="34">
        <v>0</v>
      </c>
      <c r="X23" s="97">
        <f>SUM(L23:W23)</f>
        <v>65</v>
      </c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120"/>
      <c r="AZ23" s="39"/>
    </row>
    <row r="24" spans="1:52" x14ac:dyDescent="0.25">
      <c r="A24" s="43"/>
      <c r="B24" s="35"/>
      <c r="C24" s="34"/>
      <c r="D24" s="169"/>
      <c r="E24" s="176"/>
      <c r="F24" s="34"/>
      <c r="G24" s="34"/>
      <c r="H24" s="34"/>
      <c r="I24" s="34"/>
      <c r="J24" s="34"/>
      <c r="K24" s="34"/>
      <c r="L24" s="100">
        <f t="shared" ref="L24:W24" si="6">(L23*-2)</f>
        <v>0</v>
      </c>
      <c r="M24" s="100">
        <f t="shared" si="6"/>
        <v>-12</v>
      </c>
      <c r="N24" s="100">
        <f t="shared" si="6"/>
        <v>-16</v>
      </c>
      <c r="O24" s="100">
        <f t="shared" si="6"/>
        <v>-14</v>
      </c>
      <c r="P24" s="100">
        <f t="shared" si="6"/>
        <v>-8</v>
      </c>
      <c r="Q24" s="100">
        <f t="shared" si="6"/>
        <v>-14</v>
      </c>
      <c r="R24" s="100">
        <f t="shared" si="6"/>
        <v>-10</v>
      </c>
      <c r="S24" s="100">
        <f t="shared" si="6"/>
        <v>-20</v>
      </c>
      <c r="T24" s="100">
        <f t="shared" si="6"/>
        <v>-22</v>
      </c>
      <c r="U24" s="100">
        <f t="shared" si="6"/>
        <v>-10</v>
      </c>
      <c r="V24" s="100">
        <f t="shared" si="6"/>
        <v>-4</v>
      </c>
      <c r="W24" s="100">
        <f t="shared" si="6"/>
        <v>0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120"/>
      <c r="AZ24" s="39"/>
    </row>
    <row r="25" spans="1:52" x14ac:dyDescent="0.25">
      <c r="A25" s="42">
        <v>42278</v>
      </c>
      <c r="B25" s="35" t="s">
        <v>13</v>
      </c>
      <c r="C25" s="34">
        <v>5645</v>
      </c>
      <c r="D25" s="169" t="s">
        <v>6</v>
      </c>
      <c r="E25" s="176"/>
      <c r="F25" s="34"/>
      <c r="G25" s="34"/>
      <c r="H25" s="34"/>
      <c r="I25" s="34"/>
      <c r="J25" s="34"/>
      <c r="K25" s="34"/>
      <c r="L25" s="99">
        <f>SUM(L4:L24)+K22</f>
        <v>259</v>
      </c>
      <c r="M25" s="99">
        <f>SUM(M4:M24)+L25</f>
        <v>233</v>
      </c>
      <c r="N25" s="34">
        <v>43</v>
      </c>
      <c r="O25" s="34">
        <v>2</v>
      </c>
      <c r="P25" s="34">
        <v>4</v>
      </c>
      <c r="Q25" s="34">
        <v>3</v>
      </c>
      <c r="R25" s="34">
        <v>4</v>
      </c>
      <c r="S25" s="34">
        <v>2</v>
      </c>
      <c r="T25" s="34">
        <v>1</v>
      </c>
      <c r="U25" s="34">
        <v>3</v>
      </c>
      <c r="V25" s="34">
        <v>0</v>
      </c>
      <c r="W25" s="34">
        <v>0</v>
      </c>
      <c r="X25" s="34">
        <v>1</v>
      </c>
      <c r="Y25" s="34">
        <v>0</v>
      </c>
      <c r="Z25" s="97">
        <v>-63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120"/>
      <c r="AZ25" s="39"/>
    </row>
    <row r="26" spans="1:52" x14ac:dyDescent="0.25">
      <c r="A26" s="41">
        <v>42278</v>
      </c>
      <c r="B26" s="35" t="s">
        <v>13</v>
      </c>
      <c r="C26" s="34">
        <v>5645</v>
      </c>
      <c r="D26" s="169" t="s">
        <v>7</v>
      </c>
      <c r="E26" s="176"/>
      <c r="F26" s="34"/>
      <c r="G26" s="34"/>
      <c r="H26" s="34"/>
      <c r="I26" s="34"/>
      <c r="J26" s="34"/>
      <c r="K26" s="34"/>
      <c r="L26" s="34"/>
      <c r="M26" s="34"/>
      <c r="N26" s="34">
        <v>0</v>
      </c>
      <c r="O26" s="34">
        <v>8</v>
      </c>
      <c r="P26" s="34">
        <v>6</v>
      </c>
      <c r="Q26" s="34">
        <v>4</v>
      </c>
      <c r="R26" s="34">
        <v>5</v>
      </c>
      <c r="S26" s="34">
        <v>5</v>
      </c>
      <c r="T26" s="34">
        <v>7</v>
      </c>
      <c r="U26" s="34">
        <v>8</v>
      </c>
      <c r="V26" s="34">
        <v>7</v>
      </c>
      <c r="W26" s="34">
        <v>6</v>
      </c>
      <c r="X26" s="34">
        <v>3</v>
      </c>
      <c r="Y26" s="34">
        <v>2</v>
      </c>
      <c r="Z26" s="97">
        <f>SUM(N26:Y26)</f>
        <v>61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120"/>
      <c r="AZ26" s="39"/>
    </row>
    <row r="27" spans="1:52" x14ac:dyDescent="0.25">
      <c r="A27" s="43"/>
      <c r="B27" s="35"/>
      <c r="C27" s="34"/>
      <c r="D27" s="169"/>
      <c r="E27" s="176"/>
      <c r="F27" s="34"/>
      <c r="G27" s="34"/>
      <c r="H27" s="34"/>
      <c r="I27" s="34"/>
      <c r="J27" s="34"/>
      <c r="K27" s="34"/>
      <c r="L27" s="34"/>
      <c r="M27" s="34"/>
      <c r="N27" s="100">
        <f t="shared" ref="N27:Y27" si="7">(N26*-2)</f>
        <v>0</v>
      </c>
      <c r="O27" s="100">
        <f t="shared" si="7"/>
        <v>-16</v>
      </c>
      <c r="P27" s="100">
        <f t="shared" si="7"/>
        <v>-12</v>
      </c>
      <c r="Q27" s="100">
        <f t="shared" si="7"/>
        <v>-8</v>
      </c>
      <c r="R27" s="100">
        <f t="shared" si="7"/>
        <v>-10</v>
      </c>
      <c r="S27" s="100">
        <f t="shared" si="7"/>
        <v>-10</v>
      </c>
      <c r="T27" s="100">
        <f t="shared" si="7"/>
        <v>-14</v>
      </c>
      <c r="U27" s="100">
        <f t="shared" si="7"/>
        <v>-16</v>
      </c>
      <c r="V27" s="100">
        <f t="shared" si="7"/>
        <v>-14</v>
      </c>
      <c r="W27" s="100">
        <f t="shared" si="7"/>
        <v>-12</v>
      </c>
      <c r="X27" s="100">
        <f t="shared" si="7"/>
        <v>-6</v>
      </c>
      <c r="Y27" s="100">
        <f t="shared" si="7"/>
        <v>-4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120"/>
      <c r="AZ27" s="39"/>
    </row>
    <row r="28" spans="1:52" x14ac:dyDescent="0.25">
      <c r="A28" s="42">
        <v>42309</v>
      </c>
      <c r="B28" s="35" t="s">
        <v>15</v>
      </c>
      <c r="C28" s="34">
        <v>6323</v>
      </c>
      <c r="D28" s="169" t="s">
        <v>6</v>
      </c>
      <c r="E28" s="176"/>
      <c r="F28" s="34"/>
      <c r="G28" s="34"/>
      <c r="H28" s="34"/>
      <c r="I28" s="34"/>
      <c r="J28" s="34"/>
      <c r="K28" s="34"/>
      <c r="L28" s="34"/>
      <c r="M28" s="34"/>
      <c r="N28" s="99">
        <f>SUM(N4:N27)+M25</f>
        <v>231</v>
      </c>
      <c r="O28" s="34">
        <v>38</v>
      </c>
      <c r="P28" s="34">
        <v>4</v>
      </c>
      <c r="Q28" s="34">
        <v>3</v>
      </c>
      <c r="R28" s="34">
        <v>5</v>
      </c>
      <c r="S28" s="34">
        <v>2</v>
      </c>
      <c r="T28" s="34">
        <v>3</v>
      </c>
      <c r="U28" s="34">
        <v>2</v>
      </c>
      <c r="V28" s="34">
        <v>1</v>
      </c>
      <c r="W28" s="34">
        <v>1</v>
      </c>
      <c r="X28" s="34">
        <v>0</v>
      </c>
      <c r="Y28" s="34">
        <v>1</v>
      </c>
      <c r="Z28" s="34">
        <v>0</v>
      </c>
      <c r="AA28" s="97">
        <v>-60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120"/>
      <c r="AZ28" s="39"/>
    </row>
    <row r="29" spans="1:52" x14ac:dyDescent="0.25">
      <c r="A29" s="41">
        <v>42309</v>
      </c>
      <c r="B29" s="35" t="s">
        <v>15</v>
      </c>
      <c r="C29" s="34">
        <v>6323</v>
      </c>
      <c r="D29" s="169" t="s">
        <v>7</v>
      </c>
      <c r="E29" s="176"/>
      <c r="F29" s="34"/>
      <c r="G29" s="34"/>
      <c r="H29" s="34"/>
      <c r="I29" s="34"/>
      <c r="J29" s="34"/>
      <c r="K29" s="34"/>
      <c r="L29" s="34"/>
      <c r="M29" s="34"/>
      <c r="N29" s="34"/>
      <c r="O29" s="34">
        <v>0</v>
      </c>
      <c r="P29" s="34">
        <v>6</v>
      </c>
      <c r="Q29" s="34">
        <v>6</v>
      </c>
      <c r="R29" s="34">
        <v>7</v>
      </c>
      <c r="S29" s="34">
        <v>4</v>
      </c>
      <c r="T29" s="34">
        <v>7</v>
      </c>
      <c r="U29" s="34">
        <v>5</v>
      </c>
      <c r="V29" s="34">
        <v>6</v>
      </c>
      <c r="W29" s="34">
        <v>11</v>
      </c>
      <c r="X29" s="34">
        <v>5</v>
      </c>
      <c r="Y29" s="34">
        <v>2</v>
      </c>
      <c r="Z29" s="34">
        <v>0</v>
      </c>
      <c r="AA29" s="97">
        <f>SUM(O29:Z29)</f>
        <v>59</v>
      </c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120"/>
      <c r="AZ29" s="39"/>
    </row>
    <row r="30" spans="1:52" x14ac:dyDescent="0.25">
      <c r="A30" s="43"/>
      <c r="B30" s="35"/>
      <c r="C30" s="34"/>
      <c r="D30" s="169"/>
      <c r="E30" s="176"/>
      <c r="F30" s="34"/>
      <c r="G30" s="34"/>
      <c r="H30" s="34"/>
      <c r="I30" s="34"/>
      <c r="J30" s="34"/>
      <c r="K30" s="34"/>
      <c r="L30" s="34"/>
      <c r="M30" s="34"/>
      <c r="N30" s="34"/>
      <c r="O30" s="100">
        <f t="shared" ref="O30:Z30" si="8">(O29*-2)</f>
        <v>0</v>
      </c>
      <c r="P30" s="100">
        <f t="shared" si="8"/>
        <v>-12</v>
      </c>
      <c r="Q30" s="100">
        <f t="shared" si="8"/>
        <v>-12</v>
      </c>
      <c r="R30" s="100">
        <f t="shared" si="8"/>
        <v>-14</v>
      </c>
      <c r="S30" s="100">
        <f t="shared" si="8"/>
        <v>-8</v>
      </c>
      <c r="T30" s="100">
        <f t="shared" si="8"/>
        <v>-14</v>
      </c>
      <c r="U30" s="100">
        <f t="shared" si="8"/>
        <v>-10</v>
      </c>
      <c r="V30" s="100">
        <f t="shared" si="8"/>
        <v>-12</v>
      </c>
      <c r="W30" s="100">
        <f t="shared" si="8"/>
        <v>-22</v>
      </c>
      <c r="X30" s="100">
        <f t="shared" si="8"/>
        <v>-10</v>
      </c>
      <c r="Y30" s="100">
        <f t="shared" si="8"/>
        <v>-4</v>
      </c>
      <c r="Z30" s="100">
        <f t="shared" si="8"/>
        <v>0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120"/>
      <c r="AZ30" s="39"/>
    </row>
    <row r="31" spans="1:52" x14ac:dyDescent="0.25">
      <c r="A31" s="42">
        <v>42339</v>
      </c>
      <c r="B31" s="35" t="s">
        <v>16</v>
      </c>
      <c r="C31" s="34">
        <v>3809</v>
      </c>
      <c r="D31" s="169" t="s">
        <v>6</v>
      </c>
      <c r="E31" s="176"/>
      <c r="F31" s="34"/>
      <c r="G31" s="34"/>
      <c r="H31" s="34"/>
      <c r="I31" s="34"/>
      <c r="J31" s="34"/>
      <c r="K31" s="34"/>
      <c r="L31" s="34"/>
      <c r="M31" s="34"/>
      <c r="N31" s="34"/>
      <c r="O31" s="99">
        <f>SUM(O4:O30)+N28</f>
        <v>232</v>
      </c>
      <c r="P31" s="34">
        <v>42</v>
      </c>
      <c r="Q31" s="34">
        <v>2</v>
      </c>
      <c r="R31" s="34">
        <v>4</v>
      </c>
      <c r="S31" s="34">
        <v>3</v>
      </c>
      <c r="T31" s="34">
        <v>4</v>
      </c>
      <c r="U31" s="34">
        <v>2</v>
      </c>
      <c r="V31" s="34">
        <v>1</v>
      </c>
      <c r="W31" s="34">
        <v>3</v>
      </c>
      <c r="X31" s="34">
        <v>0</v>
      </c>
      <c r="Y31" s="34">
        <v>0</v>
      </c>
      <c r="Z31" s="34">
        <v>1</v>
      </c>
      <c r="AA31" s="34">
        <v>0</v>
      </c>
      <c r="AB31" s="97">
        <v>-62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120"/>
      <c r="AZ31" s="39"/>
    </row>
    <row r="32" spans="1:52" x14ac:dyDescent="0.25">
      <c r="A32" s="41">
        <v>42339</v>
      </c>
      <c r="B32" s="35" t="s">
        <v>16</v>
      </c>
      <c r="C32" s="34">
        <v>3809</v>
      </c>
      <c r="D32" s="169" t="s">
        <v>7</v>
      </c>
      <c r="E32" s="176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>
        <v>0</v>
      </c>
      <c r="Q32" s="34">
        <v>8</v>
      </c>
      <c r="R32" s="34">
        <v>6</v>
      </c>
      <c r="S32" s="34">
        <v>4</v>
      </c>
      <c r="T32" s="34">
        <v>5</v>
      </c>
      <c r="U32" s="34">
        <v>5</v>
      </c>
      <c r="V32" s="34">
        <v>7</v>
      </c>
      <c r="W32" s="34">
        <v>8</v>
      </c>
      <c r="X32" s="34">
        <v>6</v>
      </c>
      <c r="Y32" s="34">
        <v>6</v>
      </c>
      <c r="Z32" s="34">
        <v>3</v>
      </c>
      <c r="AA32" s="34">
        <v>2</v>
      </c>
      <c r="AB32" s="97">
        <f>SUM(P32:AA32)</f>
        <v>60</v>
      </c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120"/>
      <c r="AZ32" s="39"/>
    </row>
    <row r="33" spans="1:52" x14ac:dyDescent="0.25">
      <c r="A33" s="43"/>
      <c r="B33" s="35"/>
      <c r="C33" s="34"/>
      <c r="D33" s="169"/>
      <c r="E33" s="176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100">
        <f t="shared" ref="P33:AA33" si="9">(P32*-2)</f>
        <v>0</v>
      </c>
      <c r="Q33" s="100">
        <f t="shared" si="9"/>
        <v>-16</v>
      </c>
      <c r="R33" s="100">
        <f t="shared" si="9"/>
        <v>-12</v>
      </c>
      <c r="S33" s="100">
        <f t="shared" si="9"/>
        <v>-8</v>
      </c>
      <c r="T33" s="100">
        <f t="shared" si="9"/>
        <v>-10</v>
      </c>
      <c r="U33" s="100">
        <f t="shared" si="9"/>
        <v>-10</v>
      </c>
      <c r="V33" s="100">
        <f t="shared" si="9"/>
        <v>-14</v>
      </c>
      <c r="W33" s="100">
        <f t="shared" si="9"/>
        <v>-16</v>
      </c>
      <c r="X33" s="100">
        <f t="shared" si="9"/>
        <v>-12</v>
      </c>
      <c r="Y33" s="100">
        <f t="shared" si="9"/>
        <v>-12</v>
      </c>
      <c r="Z33" s="100">
        <f t="shared" si="9"/>
        <v>-6</v>
      </c>
      <c r="AA33" s="100">
        <f t="shared" si="9"/>
        <v>-4</v>
      </c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120"/>
      <c r="AZ33" s="39"/>
    </row>
    <row r="34" spans="1:52" x14ac:dyDescent="0.25">
      <c r="A34" s="42">
        <v>42370</v>
      </c>
      <c r="B34" s="35" t="s">
        <v>29</v>
      </c>
      <c r="C34" s="34">
        <v>2900</v>
      </c>
      <c r="D34" s="169" t="s">
        <v>6</v>
      </c>
      <c r="E34" s="176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99">
        <f>SUM(P4:P33)+O31</f>
        <v>245</v>
      </c>
      <c r="Q34" s="34">
        <v>40</v>
      </c>
      <c r="R34" s="34">
        <v>2</v>
      </c>
      <c r="S34" s="34">
        <v>6</v>
      </c>
      <c r="T34" s="34">
        <v>2</v>
      </c>
      <c r="U34" s="34">
        <v>1</v>
      </c>
      <c r="V34" s="34">
        <v>2</v>
      </c>
      <c r="W34" s="34">
        <v>3</v>
      </c>
      <c r="X34" s="34">
        <v>2</v>
      </c>
      <c r="Y34" s="34">
        <v>1</v>
      </c>
      <c r="Z34" s="34">
        <v>0</v>
      </c>
      <c r="AA34" s="34">
        <v>1</v>
      </c>
      <c r="AB34" s="34">
        <v>0</v>
      </c>
      <c r="AC34" s="97">
        <v>-60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120"/>
      <c r="AZ34" s="39"/>
    </row>
    <row r="35" spans="1:52" x14ac:dyDescent="0.25">
      <c r="A35" s="41">
        <v>42370</v>
      </c>
      <c r="B35" s="35" t="s">
        <v>29</v>
      </c>
      <c r="C35" s="34">
        <v>2900</v>
      </c>
      <c r="D35" s="169" t="s">
        <v>7</v>
      </c>
      <c r="E35" s="176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>
        <v>0</v>
      </c>
      <c r="R35" s="34">
        <v>5</v>
      </c>
      <c r="S35" s="34">
        <v>4</v>
      </c>
      <c r="T35" s="34">
        <v>6</v>
      </c>
      <c r="U35" s="34">
        <v>7</v>
      </c>
      <c r="V35" s="34">
        <v>3</v>
      </c>
      <c r="W35" s="34">
        <v>2</v>
      </c>
      <c r="X35" s="34">
        <v>9</v>
      </c>
      <c r="Y35" s="34">
        <v>8</v>
      </c>
      <c r="Z35" s="34">
        <v>5</v>
      </c>
      <c r="AA35" s="34">
        <v>6</v>
      </c>
      <c r="AB35" s="34">
        <v>4</v>
      </c>
      <c r="AC35" s="97">
        <f>SUM(Q35:AB35)</f>
        <v>59</v>
      </c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120"/>
      <c r="AZ35" s="39"/>
    </row>
    <row r="36" spans="1:52" x14ac:dyDescent="0.25">
      <c r="A36" s="43"/>
      <c r="B36" s="35"/>
      <c r="C36" s="34"/>
      <c r="D36" s="169"/>
      <c r="E36" s="176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100">
        <f t="shared" ref="Q36:AB36" si="10">(Q35*-2)</f>
        <v>0</v>
      </c>
      <c r="R36" s="100">
        <f t="shared" si="10"/>
        <v>-10</v>
      </c>
      <c r="S36" s="100">
        <f t="shared" si="10"/>
        <v>-8</v>
      </c>
      <c r="T36" s="100">
        <f t="shared" si="10"/>
        <v>-12</v>
      </c>
      <c r="U36" s="100">
        <f t="shared" si="10"/>
        <v>-14</v>
      </c>
      <c r="V36" s="100">
        <f t="shared" si="10"/>
        <v>-6</v>
      </c>
      <c r="W36" s="100">
        <f t="shared" si="10"/>
        <v>-4</v>
      </c>
      <c r="X36" s="100">
        <f t="shared" si="10"/>
        <v>-18</v>
      </c>
      <c r="Y36" s="100">
        <f t="shared" si="10"/>
        <v>-16</v>
      </c>
      <c r="Z36" s="100">
        <f t="shared" si="10"/>
        <v>-10</v>
      </c>
      <c r="AA36" s="100">
        <f t="shared" si="10"/>
        <v>-12</v>
      </c>
      <c r="AB36" s="100">
        <f t="shared" si="10"/>
        <v>-8</v>
      </c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120"/>
      <c r="AZ36" s="39"/>
    </row>
    <row r="37" spans="1:52" x14ac:dyDescent="0.25">
      <c r="A37" s="42">
        <v>42415</v>
      </c>
      <c r="B37" s="35" t="s">
        <v>30</v>
      </c>
      <c r="C37" s="34">
        <v>3800</v>
      </c>
      <c r="D37" s="169" t="s">
        <v>6</v>
      </c>
      <c r="E37" s="176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99">
        <f>SUM(Q4:Q36)+P34</f>
        <v>242</v>
      </c>
      <c r="R37" s="34">
        <v>25</v>
      </c>
      <c r="S37" s="34">
        <v>4</v>
      </c>
      <c r="T37" s="34">
        <v>6</v>
      </c>
      <c r="U37" s="34">
        <v>3</v>
      </c>
      <c r="V37" s="34">
        <v>1</v>
      </c>
      <c r="W37" s="34">
        <v>2</v>
      </c>
      <c r="X37" s="34">
        <v>2</v>
      </c>
      <c r="Y37" s="34">
        <v>3</v>
      </c>
      <c r="Z37" s="34">
        <v>1</v>
      </c>
      <c r="AA37" s="34">
        <v>0</v>
      </c>
      <c r="AB37" s="34">
        <v>1</v>
      </c>
      <c r="AC37" s="34">
        <v>0</v>
      </c>
      <c r="AD37" s="97">
        <v>-48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120"/>
      <c r="AZ37" s="39"/>
    </row>
    <row r="38" spans="1:52" ht="12.45" customHeight="1" x14ac:dyDescent="0.25">
      <c r="A38" s="41">
        <v>42415</v>
      </c>
      <c r="B38" s="35" t="s">
        <v>30</v>
      </c>
      <c r="C38" s="34">
        <v>3800</v>
      </c>
      <c r="D38" s="169" t="s">
        <v>7</v>
      </c>
      <c r="E38" s="176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>
        <v>0</v>
      </c>
      <c r="S38" s="34">
        <v>4</v>
      </c>
      <c r="T38" s="34">
        <v>8</v>
      </c>
      <c r="U38" s="34">
        <v>3</v>
      </c>
      <c r="V38" s="34">
        <v>5</v>
      </c>
      <c r="W38" s="34">
        <v>5</v>
      </c>
      <c r="X38" s="34">
        <v>7</v>
      </c>
      <c r="Y38" s="34">
        <v>8</v>
      </c>
      <c r="Z38" s="34">
        <v>6</v>
      </c>
      <c r="AA38" s="34">
        <v>1</v>
      </c>
      <c r="AB38" s="34">
        <v>0</v>
      </c>
      <c r="AC38" s="34">
        <v>1</v>
      </c>
      <c r="AD38" s="97">
        <f>SUM(R38:AC38)</f>
        <v>48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120"/>
      <c r="AZ38" s="39"/>
    </row>
    <row r="39" spans="1:52" ht="12.45" customHeight="1" x14ac:dyDescent="0.25">
      <c r="A39" s="43"/>
      <c r="B39" s="35"/>
      <c r="C39" s="34"/>
      <c r="D39" s="169"/>
      <c r="E39" s="176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00">
        <f t="shared" ref="R39:AC39" si="11">(R38*-2)</f>
        <v>0</v>
      </c>
      <c r="S39" s="100">
        <f t="shared" si="11"/>
        <v>-8</v>
      </c>
      <c r="T39" s="100">
        <f t="shared" si="11"/>
        <v>-16</v>
      </c>
      <c r="U39" s="100">
        <f t="shared" si="11"/>
        <v>-6</v>
      </c>
      <c r="V39" s="100">
        <f t="shared" si="11"/>
        <v>-10</v>
      </c>
      <c r="W39" s="100">
        <f t="shared" si="11"/>
        <v>-10</v>
      </c>
      <c r="X39" s="100">
        <f t="shared" si="11"/>
        <v>-14</v>
      </c>
      <c r="Y39" s="100">
        <f t="shared" si="11"/>
        <v>-16</v>
      </c>
      <c r="Z39" s="100">
        <f t="shared" si="11"/>
        <v>-12</v>
      </c>
      <c r="AA39" s="100">
        <f t="shared" si="11"/>
        <v>-2</v>
      </c>
      <c r="AB39" s="100">
        <f t="shared" si="11"/>
        <v>0</v>
      </c>
      <c r="AC39" s="100">
        <f t="shared" si="11"/>
        <v>-2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120"/>
      <c r="AZ39" s="39"/>
    </row>
    <row r="40" spans="1:52" x14ac:dyDescent="0.25">
      <c r="A40" s="42">
        <v>42430</v>
      </c>
      <c r="B40" s="35" t="s">
        <v>31</v>
      </c>
      <c r="C40" s="34">
        <v>5215</v>
      </c>
      <c r="D40" s="169" t="s">
        <v>6</v>
      </c>
      <c r="E40" s="176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99">
        <f>SUM(R4:R39)+Q37</f>
        <v>236</v>
      </c>
      <c r="S40" s="34">
        <v>36</v>
      </c>
      <c r="T40" s="34">
        <v>3</v>
      </c>
      <c r="U40" s="34">
        <v>4</v>
      </c>
      <c r="V40" s="34">
        <v>5</v>
      </c>
      <c r="W40" s="34">
        <v>1</v>
      </c>
      <c r="X40" s="34">
        <v>4</v>
      </c>
      <c r="Y40" s="34">
        <v>1</v>
      </c>
      <c r="Z40" s="34">
        <v>2</v>
      </c>
      <c r="AA40" s="34">
        <v>1</v>
      </c>
      <c r="AB40" s="34">
        <v>0</v>
      </c>
      <c r="AC40" s="34">
        <v>1</v>
      </c>
      <c r="AD40" s="34">
        <v>0</v>
      </c>
      <c r="AE40" s="97">
        <v>-58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120"/>
      <c r="AZ40" s="39"/>
    </row>
    <row r="41" spans="1:52" x14ac:dyDescent="0.25">
      <c r="A41" s="41">
        <v>42430</v>
      </c>
      <c r="B41" s="35" t="s">
        <v>31</v>
      </c>
      <c r="C41" s="34">
        <v>5215</v>
      </c>
      <c r="D41" s="169" t="s">
        <v>7</v>
      </c>
      <c r="E41" s="176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>
        <v>0</v>
      </c>
      <c r="T41" s="34">
        <v>6</v>
      </c>
      <c r="U41" s="34">
        <v>7</v>
      </c>
      <c r="V41" s="34">
        <v>5</v>
      </c>
      <c r="W41" s="34">
        <v>4</v>
      </c>
      <c r="X41" s="34">
        <v>6</v>
      </c>
      <c r="Y41" s="34">
        <v>3</v>
      </c>
      <c r="Z41" s="34">
        <v>10</v>
      </c>
      <c r="AA41" s="34">
        <v>10</v>
      </c>
      <c r="AB41" s="34">
        <v>5</v>
      </c>
      <c r="AC41" s="34">
        <v>2</v>
      </c>
      <c r="AD41" s="34">
        <v>0</v>
      </c>
      <c r="AE41" s="97">
        <f>SUM(S41:AD41)</f>
        <v>58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120"/>
      <c r="AZ41" s="39"/>
    </row>
    <row r="42" spans="1:52" x14ac:dyDescent="0.25">
      <c r="A42" s="43"/>
      <c r="B42" s="35"/>
      <c r="C42" s="34"/>
      <c r="D42" s="169"/>
      <c r="E42" s="176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100">
        <f t="shared" ref="S42:AD42" si="12">(S41*-2)</f>
        <v>0</v>
      </c>
      <c r="T42" s="100">
        <f t="shared" si="12"/>
        <v>-12</v>
      </c>
      <c r="U42" s="100">
        <f t="shared" si="12"/>
        <v>-14</v>
      </c>
      <c r="V42" s="100">
        <f t="shared" si="12"/>
        <v>-10</v>
      </c>
      <c r="W42" s="100">
        <f t="shared" si="12"/>
        <v>-8</v>
      </c>
      <c r="X42" s="100">
        <f t="shared" si="12"/>
        <v>-12</v>
      </c>
      <c r="Y42" s="100">
        <f t="shared" si="12"/>
        <v>-6</v>
      </c>
      <c r="Z42" s="100">
        <f t="shared" si="12"/>
        <v>-20</v>
      </c>
      <c r="AA42" s="100">
        <f t="shared" si="12"/>
        <v>-20</v>
      </c>
      <c r="AB42" s="100">
        <f t="shared" si="12"/>
        <v>-10</v>
      </c>
      <c r="AC42" s="100">
        <f t="shared" si="12"/>
        <v>-4</v>
      </c>
      <c r="AD42" s="100">
        <f t="shared" si="12"/>
        <v>0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120"/>
      <c r="AZ42" s="39"/>
    </row>
    <row r="43" spans="1:52" x14ac:dyDescent="0.25">
      <c r="A43" s="42">
        <v>42491</v>
      </c>
      <c r="B43" s="35" t="s">
        <v>6</v>
      </c>
      <c r="C43" s="34">
        <v>3900</v>
      </c>
      <c r="D43" s="169" t="s">
        <v>6</v>
      </c>
      <c r="E43" s="176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99">
        <f>SUM(S4:S42)+R40</f>
        <v>242</v>
      </c>
      <c r="T43" s="99">
        <f>SUM(T4:T42)+S43</f>
        <v>200</v>
      </c>
      <c r="U43" s="34">
        <v>28</v>
      </c>
      <c r="V43" s="34">
        <v>2</v>
      </c>
      <c r="W43" s="34">
        <v>3</v>
      </c>
      <c r="X43" s="34">
        <v>4</v>
      </c>
      <c r="Y43" s="34">
        <v>3</v>
      </c>
      <c r="Z43" s="34">
        <v>3</v>
      </c>
      <c r="AA43" s="34">
        <v>2</v>
      </c>
      <c r="AB43" s="34">
        <v>2</v>
      </c>
      <c r="AC43" s="34">
        <v>1</v>
      </c>
      <c r="AD43" s="34">
        <v>0</v>
      </c>
      <c r="AE43" s="34">
        <v>1</v>
      </c>
      <c r="AF43" s="34">
        <v>0</v>
      </c>
      <c r="AG43" s="97">
        <v>-49</v>
      </c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120"/>
      <c r="AZ43" s="39"/>
    </row>
    <row r="44" spans="1:52" x14ac:dyDescent="0.25">
      <c r="A44" s="41">
        <v>42491</v>
      </c>
      <c r="B44" s="35" t="s">
        <v>6</v>
      </c>
      <c r="C44" s="34">
        <v>3900</v>
      </c>
      <c r="D44" s="169" t="s">
        <v>7</v>
      </c>
      <c r="E44" s="176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>
        <v>0</v>
      </c>
      <c r="V44" s="34">
        <v>8</v>
      </c>
      <c r="W44" s="34">
        <v>4</v>
      </c>
      <c r="X44" s="34">
        <v>4</v>
      </c>
      <c r="Y44" s="34">
        <v>5</v>
      </c>
      <c r="Z44" s="34">
        <v>5</v>
      </c>
      <c r="AA44" s="34">
        <v>7</v>
      </c>
      <c r="AB44" s="34">
        <v>8</v>
      </c>
      <c r="AC44" s="34">
        <v>4</v>
      </c>
      <c r="AD44" s="34">
        <v>1</v>
      </c>
      <c r="AE44" s="34">
        <v>2</v>
      </c>
      <c r="AF44" s="34">
        <v>1</v>
      </c>
      <c r="AG44" s="97">
        <f>SUM(U44:AF44)</f>
        <v>49</v>
      </c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120"/>
      <c r="AZ44" s="39"/>
    </row>
    <row r="45" spans="1:52" ht="13.8" customHeight="1" x14ac:dyDescent="0.25">
      <c r="A45" s="43"/>
      <c r="B45" s="35"/>
      <c r="C45" s="34"/>
      <c r="D45" s="169"/>
      <c r="E45" s="17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100">
        <f t="shared" ref="U45:AF45" si="13">(U44*-2)</f>
        <v>0</v>
      </c>
      <c r="V45" s="100">
        <f t="shared" si="13"/>
        <v>-16</v>
      </c>
      <c r="W45" s="100">
        <f t="shared" si="13"/>
        <v>-8</v>
      </c>
      <c r="X45" s="100">
        <f t="shared" si="13"/>
        <v>-8</v>
      </c>
      <c r="Y45" s="100">
        <f t="shared" si="13"/>
        <v>-10</v>
      </c>
      <c r="Z45" s="100">
        <f t="shared" si="13"/>
        <v>-10</v>
      </c>
      <c r="AA45" s="100">
        <f t="shared" si="13"/>
        <v>-14</v>
      </c>
      <c r="AB45" s="100">
        <f t="shared" si="13"/>
        <v>-16</v>
      </c>
      <c r="AC45" s="100">
        <f t="shared" si="13"/>
        <v>-8</v>
      </c>
      <c r="AD45" s="100">
        <f t="shared" si="13"/>
        <v>-2</v>
      </c>
      <c r="AE45" s="100">
        <f t="shared" si="13"/>
        <v>-4</v>
      </c>
      <c r="AF45" s="100">
        <f t="shared" si="13"/>
        <v>-2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120"/>
      <c r="AZ45" s="39"/>
    </row>
    <row r="46" spans="1:52" x14ac:dyDescent="0.25">
      <c r="A46" s="42">
        <v>42536</v>
      </c>
      <c r="B46" s="35" t="s">
        <v>32</v>
      </c>
      <c r="C46" s="34">
        <v>5100</v>
      </c>
      <c r="D46" s="169" t="s">
        <v>6</v>
      </c>
      <c r="E46" s="17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99">
        <f>SUM(U4:U45)+T43</f>
        <v>193</v>
      </c>
      <c r="V46" s="34">
        <v>43</v>
      </c>
      <c r="W46" s="34">
        <v>2</v>
      </c>
      <c r="X46" s="34">
        <v>6</v>
      </c>
      <c r="Y46" s="34">
        <v>2</v>
      </c>
      <c r="Z46" s="34">
        <v>1</v>
      </c>
      <c r="AA46" s="34">
        <v>2</v>
      </c>
      <c r="AB46" s="34">
        <v>3</v>
      </c>
      <c r="AC46" s="34">
        <v>2</v>
      </c>
      <c r="AD46" s="34">
        <v>1</v>
      </c>
      <c r="AE46" s="34">
        <v>0</v>
      </c>
      <c r="AF46" s="34">
        <v>1</v>
      </c>
      <c r="AG46" s="34">
        <v>0</v>
      </c>
      <c r="AH46" s="97">
        <v>-63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120"/>
      <c r="AZ46" s="39"/>
    </row>
    <row r="47" spans="1:52" x14ac:dyDescent="0.25">
      <c r="A47" s="41">
        <v>42536</v>
      </c>
      <c r="B47" s="35" t="s">
        <v>32</v>
      </c>
      <c r="C47" s="34">
        <v>5100</v>
      </c>
      <c r="D47" s="169" t="s">
        <v>7</v>
      </c>
      <c r="E47" s="17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>
        <v>0</v>
      </c>
      <c r="W47" s="34">
        <v>5</v>
      </c>
      <c r="X47" s="34">
        <v>4</v>
      </c>
      <c r="Y47" s="34">
        <v>6</v>
      </c>
      <c r="Z47" s="34">
        <v>7</v>
      </c>
      <c r="AA47" s="34">
        <v>3</v>
      </c>
      <c r="AB47" s="34">
        <v>5</v>
      </c>
      <c r="AC47" s="34">
        <v>9</v>
      </c>
      <c r="AD47" s="34">
        <v>8</v>
      </c>
      <c r="AE47" s="34">
        <v>5</v>
      </c>
      <c r="AF47" s="34">
        <v>6</v>
      </c>
      <c r="AG47" s="34">
        <v>4</v>
      </c>
      <c r="AH47" s="97">
        <f>SUM(V47:AG47)</f>
        <v>62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120"/>
      <c r="AZ47" s="39"/>
    </row>
    <row r="48" spans="1:52" x14ac:dyDescent="0.25">
      <c r="A48" s="43"/>
      <c r="B48" s="35"/>
      <c r="C48" s="34"/>
      <c r="D48" s="169"/>
      <c r="E48" s="176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100">
        <f t="shared" ref="V48:AG48" si="14">(V47*-2)</f>
        <v>0</v>
      </c>
      <c r="W48" s="100">
        <f t="shared" si="14"/>
        <v>-10</v>
      </c>
      <c r="X48" s="100">
        <f t="shared" si="14"/>
        <v>-8</v>
      </c>
      <c r="Y48" s="100">
        <f t="shared" si="14"/>
        <v>-12</v>
      </c>
      <c r="Z48" s="100">
        <f t="shared" si="14"/>
        <v>-14</v>
      </c>
      <c r="AA48" s="100">
        <f t="shared" si="14"/>
        <v>-6</v>
      </c>
      <c r="AB48" s="100">
        <f t="shared" si="14"/>
        <v>-10</v>
      </c>
      <c r="AC48" s="100">
        <f t="shared" si="14"/>
        <v>-18</v>
      </c>
      <c r="AD48" s="100">
        <f t="shared" si="14"/>
        <v>-16</v>
      </c>
      <c r="AE48" s="100">
        <f t="shared" si="14"/>
        <v>-10</v>
      </c>
      <c r="AF48" s="100">
        <f t="shared" si="14"/>
        <v>-12</v>
      </c>
      <c r="AG48" s="100">
        <f t="shared" si="14"/>
        <v>-8</v>
      </c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120"/>
      <c r="AZ48" s="39"/>
    </row>
    <row r="49" spans="1:52" x14ac:dyDescent="0.25">
      <c r="A49" s="42">
        <v>42552</v>
      </c>
      <c r="B49" s="35" t="s">
        <v>33</v>
      </c>
      <c r="C49" s="34">
        <v>5330</v>
      </c>
      <c r="D49" s="169" t="s">
        <v>6</v>
      </c>
      <c r="E49" s="176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99">
        <f>SUM(V4:V48)+U46</f>
        <v>197</v>
      </c>
      <c r="W49" s="34">
        <v>30</v>
      </c>
      <c r="X49" s="34">
        <v>6</v>
      </c>
      <c r="Y49" s="34">
        <v>4</v>
      </c>
      <c r="Z49" s="34">
        <v>1</v>
      </c>
      <c r="AA49" s="34">
        <v>3</v>
      </c>
      <c r="AB49" s="34">
        <v>2</v>
      </c>
      <c r="AC49" s="34">
        <v>2</v>
      </c>
      <c r="AD49" s="34">
        <v>3</v>
      </c>
      <c r="AE49" s="34">
        <v>1</v>
      </c>
      <c r="AF49" s="34">
        <v>0</v>
      </c>
      <c r="AG49" s="34">
        <v>1</v>
      </c>
      <c r="AH49" s="34">
        <v>0</v>
      </c>
      <c r="AI49" s="97">
        <v>-53</v>
      </c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120"/>
      <c r="AZ49" s="39"/>
    </row>
    <row r="50" spans="1:52" x14ac:dyDescent="0.25">
      <c r="A50" s="41">
        <v>42552</v>
      </c>
      <c r="B50" s="35" t="s">
        <v>33</v>
      </c>
      <c r="C50" s="34">
        <v>5330</v>
      </c>
      <c r="D50" s="169" t="s">
        <v>7</v>
      </c>
      <c r="E50" s="176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>
        <v>0</v>
      </c>
      <c r="X50" s="34">
        <v>4</v>
      </c>
      <c r="Y50" s="34">
        <v>8</v>
      </c>
      <c r="Z50" s="34">
        <v>6</v>
      </c>
      <c r="AA50" s="34">
        <v>8</v>
      </c>
      <c r="AB50" s="34">
        <v>5</v>
      </c>
      <c r="AC50" s="34">
        <v>7</v>
      </c>
      <c r="AD50" s="34">
        <v>6</v>
      </c>
      <c r="AE50" s="34">
        <v>7</v>
      </c>
      <c r="AF50" s="34">
        <v>1</v>
      </c>
      <c r="AG50" s="34">
        <v>0</v>
      </c>
      <c r="AH50" s="34">
        <v>1</v>
      </c>
      <c r="AI50" s="97">
        <f>SUM(W50:AH50)</f>
        <v>53</v>
      </c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120"/>
      <c r="AZ50" s="39"/>
    </row>
    <row r="51" spans="1:52" x14ac:dyDescent="0.25">
      <c r="A51" s="43"/>
      <c r="B51" s="35"/>
      <c r="C51" s="34"/>
      <c r="D51" s="169"/>
      <c r="E51" s="176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100">
        <f t="shared" ref="W51:AH51" si="15">(W50*-2)</f>
        <v>0</v>
      </c>
      <c r="X51" s="100">
        <f t="shared" si="15"/>
        <v>-8</v>
      </c>
      <c r="Y51" s="100">
        <f t="shared" si="15"/>
        <v>-16</v>
      </c>
      <c r="Z51" s="100">
        <f t="shared" si="15"/>
        <v>-12</v>
      </c>
      <c r="AA51" s="100">
        <f t="shared" si="15"/>
        <v>-16</v>
      </c>
      <c r="AB51" s="100">
        <f t="shared" si="15"/>
        <v>-10</v>
      </c>
      <c r="AC51" s="100">
        <f t="shared" si="15"/>
        <v>-14</v>
      </c>
      <c r="AD51" s="100">
        <f t="shared" si="15"/>
        <v>-12</v>
      </c>
      <c r="AE51" s="100">
        <f t="shared" si="15"/>
        <v>-14</v>
      </c>
      <c r="AF51" s="100">
        <f t="shared" si="15"/>
        <v>-2</v>
      </c>
      <c r="AG51" s="100">
        <f t="shared" si="15"/>
        <v>0</v>
      </c>
      <c r="AH51" s="100">
        <f t="shared" si="15"/>
        <v>-2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120"/>
      <c r="AZ51" s="39"/>
    </row>
    <row r="52" spans="1:52" x14ac:dyDescent="0.25">
      <c r="A52" s="42">
        <v>42583</v>
      </c>
      <c r="B52" s="35" t="s">
        <v>34</v>
      </c>
      <c r="C52" s="34">
        <v>5455</v>
      </c>
      <c r="D52" s="169" t="s">
        <v>6</v>
      </c>
      <c r="E52" s="176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99">
        <f>SUM(W7:W51)+V49</f>
        <v>195</v>
      </c>
      <c r="X52" s="34">
        <v>36</v>
      </c>
      <c r="Y52" s="34">
        <v>3</v>
      </c>
      <c r="Z52" s="34">
        <v>4</v>
      </c>
      <c r="AA52" s="34">
        <v>5</v>
      </c>
      <c r="AB52" s="34">
        <v>1</v>
      </c>
      <c r="AC52" s="34">
        <v>4</v>
      </c>
      <c r="AD52" s="34">
        <v>1</v>
      </c>
      <c r="AE52" s="34">
        <v>2</v>
      </c>
      <c r="AF52" s="34">
        <v>1</v>
      </c>
      <c r="AG52" s="34">
        <v>0</v>
      </c>
      <c r="AH52" s="34">
        <v>1</v>
      </c>
      <c r="AI52" s="34">
        <v>0</v>
      </c>
      <c r="AJ52" s="97">
        <v>-22</v>
      </c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120"/>
      <c r="AZ52" s="39"/>
    </row>
    <row r="53" spans="1:52" x14ac:dyDescent="0.25">
      <c r="A53" s="41">
        <v>42583</v>
      </c>
      <c r="B53" s="35" t="s">
        <v>34</v>
      </c>
      <c r="C53" s="34">
        <v>5455</v>
      </c>
      <c r="D53" s="169" t="s">
        <v>7</v>
      </c>
      <c r="E53" s="176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>
        <v>0</v>
      </c>
      <c r="Y53" s="34">
        <v>6</v>
      </c>
      <c r="Z53" s="34">
        <v>7</v>
      </c>
      <c r="AA53" s="34">
        <v>5</v>
      </c>
      <c r="AB53" s="34">
        <v>4</v>
      </c>
      <c r="AC53" s="34">
        <v>6</v>
      </c>
      <c r="AD53" s="34">
        <v>3</v>
      </c>
      <c r="AE53" s="34">
        <v>10</v>
      </c>
      <c r="AF53" s="34">
        <v>10</v>
      </c>
      <c r="AG53" s="34">
        <v>5</v>
      </c>
      <c r="AH53" s="34">
        <v>2</v>
      </c>
      <c r="AI53" s="34">
        <v>0</v>
      </c>
      <c r="AJ53" s="97">
        <f>SUM(X53:AI53)</f>
        <v>58</v>
      </c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120"/>
      <c r="AZ53" s="39"/>
    </row>
    <row r="54" spans="1:52" x14ac:dyDescent="0.25">
      <c r="A54" s="43"/>
      <c r="B54" s="35"/>
      <c r="C54" s="34"/>
      <c r="D54" s="169"/>
      <c r="E54" s="176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100">
        <f t="shared" ref="X54:AJ54" si="16">(X53*-2)</f>
        <v>0</v>
      </c>
      <c r="Y54" s="100">
        <f t="shared" si="16"/>
        <v>-12</v>
      </c>
      <c r="Z54" s="100">
        <f t="shared" si="16"/>
        <v>-14</v>
      </c>
      <c r="AA54" s="100">
        <f t="shared" si="16"/>
        <v>-10</v>
      </c>
      <c r="AB54" s="100">
        <f t="shared" si="16"/>
        <v>-8</v>
      </c>
      <c r="AC54" s="100">
        <f t="shared" si="16"/>
        <v>-12</v>
      </c>
      <c r="AD54" s="100">
        <f t="shared" si="16"/>
        <v>-6</v>
      </c>
      <c r="AE54" s="100">
        <f t="shared" si="16"/>
        <v>-20</v>
      </c>
      <c r="AF54" s="100">
        <f t="shared" si="16"/>
        <v>-20</v>
      </c>
      <c r="AG54" s="100">
        <f t="shared" si="16"/>
        <v>-10</v>
      </c>
      <c r="AH54" s="100">
        <f t="shared" si="16"/>
        <v>-4</v>
      </c>
      <c r="AI54" s="100">
        <f t="shared" si="16"/>
        <v>0</v>
      </c>
      <c r="AJ54" s="100">
        <f t="shared" si="16"/>
        <v>-116</v>
      </c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120"/>
      <c r="AZ54" s="39"/>
    </row>
    <row r="55" spans="1:52" x14ac:dyDescent="0.25">
      <c r="A55" s="42">
        <v>42644</v>
      </c>
      <c r="B55" s="35" t="s">
        <v>35</v>
      </c>
      <c r="C55" s="34">
        <v>6200</v>
      </c>
      <c r="D55" s="169" t="s">
        <v>6</v>
      </c>
      <c r="E55" s="176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99">
        <f>SUM(X4:X54)+W52</f>
        <v>207</v>
      </c>
      <c r="Y55" s="99">
        <f>SUM(Y4:Y54)+X55</f>
        <v>171</v>
      </c>
      <c r="Z55" s="34">
        <v>28</v>
      </c>
      <c r="AA55" s="34">
        <v>2</v>
      </c>
      <c r="AB55" s="34">
        <v>3</v>
      </c>
      <c r="AC55" s="34">
        <v>4</v>
      </c>
      <c r="AD55" s="34">
        <v>3</v>
      </c>
      <c r="AE55" s="34">
        <v>3</v>
      </c>
      <c r="AF55" s="34">
        <v>2</v>
      </c>
      <c r="AG55" s="34">
        <v>2</v>
      </c>
      <c r="AH55" s="34">
        <v>1</v>
      </c>
      <c r="AI55" s="34">
        <v>0</v>
      </c>
      <c r="AJ55" s="34">
        <v>1</v>
      </c>
      <c r="AK55" s="34">
        <v>0</v>
      </c>
      <c r="AL55" s="97">
        <v>-49</v>
      </c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120"/>
      <c r="AZ55" s="39"/>
    </row>
    <row r="56" spans="1:52" x14ac:dyDescent="0.25">
      <c r="A56" s="41">
        <v>42644</v>
      </c>
      <c r="B56" s="35" t="s">
        <v>35</v>
      </c>
      <c r="C56" s="34">
        <v>6200</v>
      </c>
      <c r="D56" s="169" t="s">
        <v>7</v>
      </c>
      <c r="E56" s="17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>
        <v>0</v>
      </c>
      <c r="AA56" s="34">
        <v>8</v>
      </c>
      <c r="AB56" s="34">
        <v>4</v>
      </c>
      <c r="AC56" s="34">
        <v>4</v>
      </c>
      <c r="AD56" s="34">
        <v>5</v>
      </c>
      <c r="AE56" s="34">
        <v>5</v>
      </c>
      <c r="AF56" s="34">
        <v>7</v>
      </c>
      <c r="AG56" s="34">
        <v>8</v>
      </c>
      <c r="AH56" s="34">
        <v>4</v>
      </c>
      <c r="AI56" s="34">
        <v>1</v>
      </c>
      <c r="AJ56" s="34">
        <v>2</v>
      </c>
      <c r="AK56" s="34">
        <v>1</v>
      </c>
      <c r="AL56" s="97">
        <f>SUM(Z56:AK56)</f>
        <v>49</v>
      </c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120"/>
      <c r="AZ56" s="39"/>
    </row>
    <row r="57" spans="1:52" x14ac:dyDescent="0.25">
      <c r="A57" s="43"/>
      <c r="B57" s="35"/>
      <c r="C57" s="34"/>
      <c r="D57" s="169"/>
      <c r="E57" s="176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100">
        <f t="shared" ref="Z57:AK57" si="17">(Z56*-2)</f>
        <v>0</v>
      </c>
      <c r="AA57" s="100">
        <f t="shared" si="17"/>
        <v>-16</v>
      </c>
      <c r="AB57" s="100">
        <f t="shared" si="17"/>
        <v>-8</v>
      </c>
      <c r="AC57" s="100">
        <f t="shared" si="17"/>
        <v>-8</v>
      </c>
      <c r="AD57" s="100">
        <f t="shared" si="17"/>
        <v>-10</v>
      </c>
      <c r="AE57" s="100">
        <f t="shared" si="17"/>
        <v>-10</v>
      </c>
      <c r="AF57" s="100">
        <f t="shared" si="17"/>
        <v>-14</v>
      </c>
      <c r="AG57" s="100">
        <f t="shared" si="17"/>
        <v>-16</v>
      </c>
      <c r="AH57" s="100">
        <f t="shared" si="17"/>
        <v>-8</v>
      </c>
      <c r="AI57" s="100">
        <f t="shared" si="17"/>
        <v>-2</v>
      </c>
      <c r="AJ57" s="100">
        <f t="shared" si="17"/>
        <v>-4</v>
      </c>
      <c r="AK57" s="100">
        <f t="shared" si="17"/>
        <v>-2</v>
      </c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120"/>
      <c r="AZ57" s="39"/>
    </row>
    <row r="58" spans="1:52" x14ac:dyDescent="0.25">
      <c r="A58" s="42">
        <v>42675</v>
      </c>
      <c r="B58" s="35" t="s">
        <v>36</v>
      </c>
      <c r="C58" s="34">
        <v>7100</v>
      </c>
      <c r="D58" s="169" t="s">
        <v>6</v>
      </c>
      <c r="E58" s="176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99">
        <f>SUM(Z4:Z57)+Y55</f>
        <v>161</v>
      </c>
      <c r="AA58" s="34">
        <v>32</v>
      </c>
      <c r="AB58" s="34">
        <v>3</v>
      </c>
      <c r="AC58" s="34">
        <v>4</v>
      </c>
      <c r="AD58" s="34">
        <v>5</v>
      </c>
      <c r="AE58" s="34">
        <v>1</v>
      </c>
      <c r="AF58" s="34">
        <v>4</v>
      </c>
      <c r="AG58" s="34">
        <v>1</v>
      </c>
      <c r="AH58" s="34">
        <v>2</v>
      </c>
      <c r="AI58" s="34">
        <v>1</v>
      </c>
      <c r="AJ58" s="34">
        <v>0</v>
      </c>
      <c r="AK58" s="34">
        <v>1</v>
      </c>
      <c r="AL58" s="34">
        <v>0</v>
      </c>
      <c r="AM58" s="97">
        <v>-54</v>
      </c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120"/>
      <c r="AZ58" s="39"/>
    </row>
    <row r="59" spans="1:52" x14ac:dyDescent="0.25">
      <c r="A59" s="41">
        <v>42675</v>
      </c>
      <c r="B59" s="35" t="s">
        <v>36</v>
      </c>
      <c r="C59" s="34">
        <v>7100</v>
      </c>
      <c r="D59" s="169" t="s">
        <v>7</v>
      </c>
      <c r="E59" s="176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>
        <v>0</v>
      </c>
      <c r="AB59" s="34">
        <v>6</v>
      </c>
      <c r="AC59" s="34">
        <v>7</v>
      </c>
      <c r="AD59" s="34">
        <v>5</v>
      </c>
      <c r="AE59" s="34">
        <v>4</v>
      </c>
      <c r="AF59" s="34">
        <v>6</v>
      </c>
      <c r="AG59" s="34">
        <v>3</v>
      </c>
      <c r="AH59" s="34">
        <v>8</v>
      </c>
      <c r="AI59" s="34">
        <v>8</v>
      </c>
      <c r="AJ59" s="34">
        <v>5</v>
      </c>
      <c r="AK59" s="34">
        <v>2</v>
      </c>
      <c r="AL59" s="34">
        <v>0</v>
      </c>
      <c r="AM59" s="97">
        <f>SUM(AA59:AL59)</f>
        <v>54</v>
      </c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120"/>
      <c r="AZ59" s="39"/>
    </row>
    <row r="60" spans="1:52" x14ac:dyDescent="0.25">
      <c r="A60" s="43"/>
      <c r="B60" s="35"/>
      <c r="C60" s="34"/>
      <c r="D60" s="169"/>
      <c r="E60" s="176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100">
        <f t="shared" ref="AA60:AL60" si="18">(AA59*-2)</f>
        <v>0</v>
      </c>
      <c r="AB60" s="100">
        <f t="shared" si="18"/>
        <v>-12</v>
      </c>
      <c r="AC60" s="100">
        <f t="shared" si="18"/>
        <v>-14</v>
      </c>
      <c r="AD60" s="100">
        <f t="shared" si="18"/>
        <v>-10</v>
      </c>
      <c r="AE60" s="100">
        <f t="shared" si="18"/>
        <v>-8</v>
      </c>
      <c r="AF60" s="100">
        <f t="shared" si="18"/>
        <v>-12</v>
      </c>
      <c r="AG60" s="100">
        <f t="shared" si="18"/>
        <v>-6</v>
      </c>
      <c r="AH60" s="100">
        <f t="shared" si="18"/>
        <v>-16</v>
      </c>
      <c r="AI60" s="100">
        <f t="shared" si="18"/>
        <v>-16</v>
      </c>
      <c r="AJ60" s="100">
        <f t="shared" si="18"/>
        <v>-10</v>
      </c>
      <c r="AK60" s="100">
        <f t="shared" si="18"/>
        <v>-4</v>
      </c>
      <c r="AL60" s="100">
        <f t="shared" si="18"/>
        <v>0</v>
      </c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120"/>
      <c r="AZ60" s="39"/>
    </row>
    <row r="61" spans="1:52" x14ac:dyDescent="0.25">
      <c r="A61" s="42">
        <v>42705</v>
      </c>
      <c r="B61" s="35" t="s">
        <v>37</v>
      </c>
      <c r="C61" s="34">
        <v>4204</v>
      </c>
      <c r="D61" s="169" t="s">
        <v>6</v>
      </c>
      <c r="E61" s="176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99">
        <f>SUM(AA4:AA60)+Z58</f>
        <v>158</v>
      </c>
      <c r="AB61" s="34">
        <v>24</v>
      </c>
      <c r="AC61" s="34">
        <v>2</v>
      </c>
      <c r="AD61" s="34">
        <v>3</v>
      </c>
      <c r="AE61" s="34">
        <v>4</v>
      </c>
      <c r="AF61" s="34">
        <v>3</v>
      </c>
      <c r="AG61" s="34">
        <v>3</v>
      </c>
      <c r="AH61" s="34">
        <v>2</v>
      </c>
      <c r="AI61" s="34">
        <v>2</v>
      </c>
      <c r="AJ61" s="34">
        <v>1</v>
      </c>
      <c r="AK61" s="34">
        <v>0</v>
      </c>
      <c r="AL61" s="34">
        <v>1</v>
      </c>
      <c r="AM61" s="34">
        <v>0</v>
      </c>
      <c r="AN61" s="97">
        <v>-45</v>
      </c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120"/>
      <c r="AZ61" s="39"/>
    </row>
    <row r="62" spans="1:52" x14ac:dyDescent="0.25">
      <c r="A62" s="41">
        <v>42705</v>
      </c>
      <c r="B62" s="35" t="s">
        <v>37</v>
      </c>
      <c r="C62" s="34">
        <v>4204</v>
      </c>
      <c r="D62" s="169" t="s">
        <v>7</v>
      </c>
      <c r="E62" s="176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>
        <v>0</v>
      </c>
      <c r="AC62" s="34">
        <v>8</v>
      </c>
      <c r="AD62" s="34">
        <v>4</v>
      </c>
      <c r="AE62" s="34">
        <v>4</v>
      </c>
      <c r="AF62" s="34">
        <v>5</v>
      </c>
      <c r="AG62" s="34">
        <v>5</v>
      </c>
      <c r="AH62" s="34">
        <v>7</v>
      </c>
      <c r="AI62" s="34">
        <v>6</v>
      </c>
      <c r="AJ62" s="34">
        <v>2</v>
      </c>
      <c r="AK62" s="34">
        <v>1</v>
      </c>
      <c r="AL62" s="34">
        <v>2</v>
      </c>
      <c r="AM62" s="34">
        <v>1</v>
      </c>
      <c r="AN62" s="97">
        <f>SUM(AB62:AM62)</f>
        <v>45</v>
      </c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120"/>
      <c r="AZ62" s="39"/>
    </row>
    <row r="63" spans="1:52" x14ac:dyDescent="0.25">
      <c r="A63" s="43"/>
      <c r="B63" s="35"/>
      <c r="C63" s="34"/>
      <c r="D63" s="169"/>
      <c r="E63" s="176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00">
        <f t="shared" ref="AB63:AM63" si="19">(AB62*-2)</f>
        <v>0</v>
      </c>
      <c r="AC63" s="100">
        <f t="shared" si="19"/>
        <v>-16</v>
      </c>
      <c r="AD63" s="100">
        <f t="shared" si="19"/>
        <v>-8</v>
      </c>
      <c r="AE63" s="100">
        <f t="shared" si="19"/>
        <v>-8</v>
      </c>
      <c r="AF63" s="100">
        <f t="shared" si="19"/>
        <v>-10</v>
      </c>
      <c r="AG63" s="100">
        <f t="shared" si="19"/>
        <v>-10</v>
      </c>
      <c r="AH63" s="100">
        <f t="shared" si="19"/>
        <v>-14</v>
      </c>
      <c r="AI63" s="100">
        <f t="shared" si="19"/>
        <v>-12</v>
      </c>
      <c r="AJ63" s="100">
        <f t="shared" si="19"/>
        <v>-4</v>
      </c>
      <c r="AK63" s="100">
        <f t="shared" si="19"/>
        <v>-2</v>
      </c>
      <c r="AL63" s="100">
        <f t="shared" si="19"/>
        <v>-4</v>
      </c>
      <c r="AM63" s="100">
        <f t="shared" si="19"/>
        <v>-2</v>
      </c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120"/>
      <c r="AZ63" s="39"/>
    </row>
    <row r="64" spans="1:52" x14ac:dyDescent="0.25">
      <c r="A64" s="42">
        <v>42736</v>
      </c>
      <c r="B64" s="35" t="s">
        <v>38</v>
      </c>
      <c r="C64" s="34">
        <v>3200</v>
      </c>
      <c r="D64" s="169" t="s">
        <v>6</v>
      </c>
      <c r="E64" s="176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99">
        <f>SUM(AB4:AB63)+AA61</f>
        <v>154</v>
      </c>
      <c r="AC64" s="34">
        <v>48</v>
      </c>
      <c r="AD64" s="34">
        <v>7</v>
      </c>
      <c r="AE64" s="34">
        <v>14</v>
      </c>
      <c r="AF64" s="34">
        <v>10</v>
      </c>
      <c r="AG64" s="34">
        <v>5</v>
      </c>
      <c r="AH64" s="34">
        <v>2</v>
      </c>
      <c r="AI64" s="34">
        <v>1</v>
      </c>
      <c r="AJ64" s="34">
        <v>2</v>
      </c>
      <c r="AK64" s="34">
        <v>1</v>
      </c>
      <c r="AL64" s="34">
        <v>0</v>
      </c>
      <c r="AM64" s="34">
        <v>0</v>
      </c>
      <c r="AN64" s="34">
        <v>0</v>
      </c>
      <c r="AO64" s="97">
        <v>-90</v>
      </c>
      <c r="AP64" s="34"/>
      <c r="AQ64" s="34"/>
      <c r="AR64" s="34"/>
      <c r="AS64" s="34"/>
      <c r="AT64" s="34"/>
      <c r="AU64" s="34"/>
      <c r="AV64" s="34"/>
      <c r="AW64" s="34"/>
      <c r="AX64" s="34"/>
      <c r="AY64" s="120"/>
      <c r="AZ64" s="39"/>
    </row>
    <row r="65" spans="1:52" x14ac:dyDescent="0.25">
      <c r="A65" s="41">
        <v>42736</v>
      </c>
      <c r="B65" s="35" t="s">
        <v>38</v>
      </c>
      <c r="C65" s="34">
        <v>3200</v>
      </c>
      <c r="D65" s="169" t="s">
        <v>7</v>
      </c>
      <c r="E65" s="176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>
        <v>0</v>
      </c>
      <c r="AD65" s="34">
        <v>5</v>
      </c>
      <c r="AE65" s="34">
        <v>7</v>
      </c>
      <c r="AF65" s="34">
        <v>6</v>
      </c>
      <c r="AG65" s="34">
        <v>6</v>
      </c>
      <c r="AH65" s="34">
        <v>7</v>
      </c>
      <c r="AI65" s="34">
        <v>5</v>
      </c>
      <c r="AJ65" s="34">
        <v>8</v>
      </c>
      <c r="AK65" s="34">
        <v>12</v>
      </c>
      <c r="AL65" s="34">
        <v>5</v>
      </c>
      <c r="AM65" s="34">
        <v>8</v>
      </c>
      <c r="AN65" s="34">
        <v>5</v>
      </c>
      <c r="AO65" s="97">
        <f>SUM(AC65:AN65)</f>
        <v>74</v>
      </c>
      <c r="AP65" s="34"/>
      <c r="AQ65" s="34"/>
      <c r="AR65" s="34"/>
      <c r="AS65" s="34"/>
      <c r="AT65" s="34"/>
      <c r="AU65" s="34"/>
      <c r="AV65" s="34"/>
      <c r="AW65" s="34"/>
      <c r="AX65" s="34"/>
      <c r="AY65" s="120"/>
      <c r="AZ65" s="39"/>
    </row>
    <row r="66" spans="1:52" x14ac:dyDescent="0.25">
      <c r="A66" s="43"/>
      <c r="B66" s="35"/>
      <c r="C66" s="34"/>
      <c r="D66" s="169"/>
      <c r="E66" s="176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100">
        <f t="shared" ref="AC66:AN66" si="20">(AC65*-2)</f>
        <v>0</v>
      </c>
      <c r="AD66" s="100">
        <f t="shared" si="20"/>
        <v>-10</v>
      </c>
      <c r="AE66" s="100">
        <f t="shared" si="20"/>
        <v>-14</v>
      </c>
      <c r="AF66" s="100">
        <f t="shared" si="20"/>
        <v>-12</v>
      </c>
      <c r="AG66" s="100">
        <f t="shared" si="20"/>
        <v>-12</v>
      </c>
      <c r="AH66" s="100">
        <f t="shared" si="20"/>
        <v>-14</v>
      </c>
      <c r="AI66" s="100">
        <f t="shared" si="20"/>
        <v>-10</v>
      </c>
      <c r="AJ66" s="100">
        <f t="shared" si="20"/>
        <v>-16</v>
      </c>
      <c r="AK66" s="100">
        <f t="shared" si="20"/>
        <v>-24</v>
      </c>
      <c r="AL66" s="100">
        <f t="shared" si="20"/>
        <v>-10</v>
      </c>
      <c r="AM66" s="100">
        <f t="shared" si="20"/>
        <v>-16</v>
      </c>
      <c r="AN66" s="100">
        <f t="shared" si="20"/>
        <v>-10</v>
      </c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120"/>
      <c r="AZ66" s="39"/>
    </row>
    <row r="67" spans="1:52" x14ac:dyDescent="0.25">
      <c r="A67" s="42">
        <v>42794</v>
      </c>
      <c r="B67" s="35" t="s">
        <v>39</v>
      </c>
      <c r="C67" s="34">
        <v>5020</v>
      </c>
      <c r="D67" s="169" t="s">
        <v>6</v>
      </c>
      <c r="E67" s="176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99">
        <f>SUM(AC4:AC66)+AB64</f>
        <v>173</v>
      </c>
      <c r="AD67" s="34">
        <v>40</v>
      </c>
      <c r="AE67" s="34">
        <v>10</v>
      </c>
      <c r="AF67" s="34">
        <v>16</v>
      </c>
      <c r="AG67" s="34">
        <v>8</v>
      </c>
      <c r="AH67" s="34">
        <v>5</v>
      </c>
      <c r="AI67" s="34">
        <v>1</v>
      </c>
      <c r="AJ67" s="34">
        <v>6</v>
      </c>
      <c r="AK67" s="34">
        <v>3</v>
      </c>
      <c r="AL67" s="34">
        <v>1</v>
      </c>
      <c r="AM67" s="34">
        <v>0</v>
      </c>
      <c r="AN67" s="34">
        <v>1</v>
      </c>
      <c r="AO67" s="34">
        <v>0</v>
      </c>
      <c r="AP67" s="97">
        <v>-91</v>
      </c>
      <c r="AQ67" s="34"/>
      <c r="AR67" s="34"/>
      <c r="AS67" s="34"/>
      <c r="AT67" s="34"/>
      <c r="AU67" s="34"/>
      <c r="AV67" s="34"/>
      <c r="AW67" s="34"/>
      <c r="AX67" s="34"/>
      <c r="AY67" s="120"/>
      <c r="AZ67" s="39"/>
    </row>
    <row r="68" spans="1:52" x14ac:dyDescent="0.25">
      <c r="A68" s="41">
        <v>42794</v>
      </c>
      <c r="B68" s="35" t="s">
        <v>39</v>
      </c>
      <c r="C68" s="34">
        <v>5020</v>
      </c>
      <c r="D68" s="169" t="s">
        <v>7</v>
      </c>
      <c r="E68" s="176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>
        <v>0</v>
      </c>
      <c r="AE68" s="34">
        <v>4</v>
      </c>
      <c r="AF68" s="34">
        <v>11</v>
      </c>
      <c r="AG68" s="34">
        <v>5</v>
      </c>
      <c r="AH68" s="34">
        <v>4</v>
      </c>
      <c r="AI68" s="34">
        <v>6</v>
      </c>
      <c r="AJ68" s="34">
        <v>4</v>
      </c>
      <c r="AK68" s="34">
        <v>6</v>
      </c>
      <c r="AL68" s="34">
        <v>6</v>
      </c>
      <c r="AM68" s="34">
        <v>3</v>
      </c>
      <c r="AN68" s="34">
        <v>5</v>
      </c>
      <c r="AO68" s="34">
        <v>9</v>
      </c>
      <c r="AP68" s="97">
        <f>SUM(AD68:AO68)</f>
        <v>63</v>
      </c>
      <c r="AQ68" s="34"/>
      <c r="AR68" s="34"/>
      <c r="AS68" s="34"/>
      <c r="AT68" s="34"/>
      <c r="AU68" s="34"/>
      <c r="AV68" s="34"/>
      <c r="AW68" s="34"/>
      <c r="AX68" s="34"/>
      <c r="AY68" s="120"/>
      <c r="AZ68" s="39"/>
    </row>
    <row r="69" spans="1:52" x14ac:dyDescent="0.25">
      <c r="A69" s="43"/>
      <c r="B69" s="35"/>
      <c r="C69" s="34"/>
      <c r="D69" s="169"/>
      <c r="E69" s="176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100">
        <f t="shared" ref="AD69:AO69" si="21">(AD68*-2)</f>
        <v>0</v>
      </c>
      <c r="AE69" s="100">
        <f t="shared" si="21"/>
        <v>-8</v>
      </c>
      <c r="AF69" s="100">
        <f t="shared" si="21"/>
        <v>-22</v>
      </c>
      <c r="AG69" s="100">
        <f t="shared" si="21"/>
        <v>-10</v>
      </c>
      <c r="AH69" s="100">
        <f t="shared" si="21"/>
        <v>-8</v>
      </c>
      <c r="AI69" s="100">
        <f t="shared" si="21"/>
        <v>-12</v>
      </c>
      <c r="AJ69" s="100">
        <f t="shared" si="21"/>
        <v>-8</v>
      </c>
      <c r="AK69" s="100">
        <f t="shared" si="21"/>
        <v>-12</v>
      </c>
      <c r="AL69" s="100">
        <f t="shared" si="21"/>
        <v>-12</v>
      </c>
      <c r="AM69" s="100">
        <f t="shared" si="21"/>
        <v>-6</v>
      </c>
      <c r="AN69" s="100">
        <f t="shared" si="21"/>
        <v>-10</v>
      </c>
      <c r="AO69" s="100">
        <f t="shared" si="21"/>
        <v>-18</v>
      </c>
      <c r="AP69" s="34"/>
      <c r="AQ69" s="34"/>
      <c r="AR69" s="34"/>
      <c r="AS69" s="34"/>
      <c r="AT69" s="34"/>
      <c r="AU69" s="34"/>
      <c r="AV69" s="34"/>
      <c r="AW69" s="34"/>
      <c r="AX69" s="34"/>
      <c r="AY69" s="120"/>
      <c r="AZ69" s="39"/>
    </row>
    <row r="70" spans="1:52" x14ac:dyDescent="0.25">
      <c r="A70" s="42">
        <v>42795</v>
      </c>
      <c r="B70" s="35" t="s">
        <v>40</v>
      </c>
      <c r="C70" s="34">
        <v>5500</v>
      </c>
      <c r="D70" s="169" t="s">
        <v>6</v>
      </c>
      <c r="E70" s="176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99">
        <f>SUM(AD4:AD69)+AC67</f>
        <v>199</v>
      </c>
      <c r="AE70" s="34">
        <v>30</v>
      </c>
      <c r="AF70" s="34">
        <v>5</v>
      </c>
      <c r="AG70" s="34">
        <v>13</v>
      </c>
      <c r="AH70" s="34">
        <v>14</v>
      </c>
      <c r="AI70" s="34">
        <v>8</v>
      </c>
      <c r="AJ70" s="34">
        <v>6</v>
      </c>
      <c r="AK70" s="34">
        <v>2</v>
      </c>
      <c r="AL70" s="34">
        <v>1</v>
      </c>
      <c r="AM70" s="34">
        <v>1</v>
      </c>
      <c r="AN70" s="34">
        <v>0</v>
      </c>
      <c r="AO70" s="34">
        <v>1</v>
      </c>
      <c r="AP70" s="34">
        <v>0</v>
      </c>
      <c r="AQ70" s="97">
        <v>-81</v>
      </c>
      <c r="AR70" s="34"/>
      <c r="AS70" s="34"/>
      <c r="AT70" s="34"/>
      <c r="AU70" s="34"/>
      <c r="AV70" s="34"/>
      <c r="AW70" s="34"/>
      <c r="AX70" s="34"/>
      <c r="AY70" s="120"/>
      <c r="AZ70" s="39"/>
    </row>
    <row r="71" spans="1:52" x14ac:dyDescent="0.25">
      <c r="A71" s="41">
        <v>42795</v>
      </c>
      <c r="B71" s="35" t="s">
        <v>40</v>
      </c>
      <c r="C71" s="34">
        <v>5500</v>
      </c>
      <c r="D71" s="169" t="s">
        <v>7</v>
      </c>
      <c r="E71" s="176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>
        <v>0</v>
      </c>
      <c r="AF71" s="34">
        <v>6</v>
      </c>
      <c r="AG71" s="34">
        <v>8</v>
      </c>
      <c r="AH71" s="34">
        <v>7</v>
      </c>
      <c r="AI71" s="34">
        <v>7</v>
      </c>
      <c r="AJ71" s="34">
        <v>6</v>
      </c>
      <c r="AK71" s="34">
        <v>3</v>
      </c>
      <c r="AL71" s="34">
        <v>10</v>
      </c>
      <c r="AM71" s="34">
        <v>12</v>
      </c>
      <c r="AN71" s="34">
        <v>5</v>
      </c>
      <c r="AO71" s="34">
        <v>6</v>
      </c>
      <c r="AP71" s="34">
        <v>4</v>
      </c>
      <c r="AQ71" s="97">
        <f>SUM(AE71:AP71)</f>
        <v>74</v>
      </c>
      <c r="AR71" s="34"/>
      <c r="AS71" s="34"/>
      <c r="AT71" s="34"/>
      <c r="AU71" s="34"/>
      <c r="AV71" s="34"/>
      <c r="AW71" s="34"/>
      <c r="AX71" s="34"/>
      <c r="AY71" s="120"/>
      <c r="AZ71" s="39"/>
    </row>
    <row r="72" spans="1:52" x14ac:dyDescent="0.25">
      <c r="A72" s="43"/>
      <c r="B72" s="35"/>
      <c r="C72" s="34"/>
      <c r="D72" s="169"/>
      <c r="E72" s="176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100">
        <f t="shared" ref="AE72:AP72" si="22">(AE71*-2)</f>
        <v>0</v>
      </c>
      <c r="AF72" s="100">
        <f t="shared" si="22"/>
        <v>-12</v>
      </c>
      <c r="AG72" s="100">
        <f t="shared" si="22"/>
        <v>-16</v>
      </c>
      <c r="AH72" s="100">
        <f t="shared" si="22"/>
        <v>-14</v>
      </c>
      <c r="AI72" s="100">
        <f t="shared" si="22"/>
        <v>-14</v>
      </c>
      <c r="AJ72" s="100">
        <f t="shared" si="22"/>
        <v>-12</v>
      </c>
      <c r="AK72" s="100">
        <f t="shared" si="22"/>
        <v>-6</v>
      </c>
      <c r="AL72" s="100">
        <f t="shared" si="22"/>
        <v>-20</v>
      </c>
      <c r="AM72" s="100">
        <f t="shared" si="22"/>
        <v>-24</v>
      </c>
      <c r="AN72" s="100">
        <f t="shared" si="22"/>
        <v>-10</v>
      </c>
      <c r="AO72" s="100">
        <f t="shared" si="22"/>
        <v>-12</v>
      </c>
      <c r="AP72" s="100">
        <f t="shared" si="22"/>
        <v>-8</v>
      </c>
      <c r="AQ72" s="34"/>
      <c r="AR72" s="34"/>
      <c r="AS72" s="34"/>
      <c r="AT72" s="34"/>
      <c r="AU72" s="34"/>
      <c r="AV72" s="34"/>
      <c r="AW72" s="34"/>
      <c r="AX72" s="34"/>
      <c r="AY72" s="120"/>
      <c r="AZ72" s="39"/>
    </row>
    <row r="73" spans="1:52" x14ac:dyDescent="0.25">
      <c r="A73" s="42">
        <v>42856</v>
      </c>
      <c r="B73" s="35" t="s">
        <v>41</v>
      </c>
      <c r="C73" s="34">
        <v>4500</v>
      </c>
      <c r="D73" s="169" t="s">
        <v>6</v>
      </c>
      <c r="E73" s="176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99">
        <f>SUM(AE4:AE72)+AD70</f>
        <v>217</v>
      </c>
      <c r="AF73" s="99">
        <f>SUM(AF4:AF72)+AE73</f>
        <v>200</v>
      </c>
      <c r="AG73" s="34">
        <v>33</v>
      </c>
      <c r="AH73" s="34">
        <v>4</v>
      </c>
      <c r="AI73" s="34">
        <v>12</v>
      </c>
      <c r="AJ73" s="34">
        <v>9</v>
      </c>
      <c r="AK73" s="34">
        <v>3</v>
      </c>
      <c r="AL73" s="34">
        <v>2</v>
      </c>
      <c r="AM73" s="34">
        <v>1</v>
      </c>
      <c r="AN73" s="34">
        <v>3</v>
      </c>
      <c r="AO73" s="34">
        <v>0</v>
      </c>
      <c r="AP73" s="34">
        <v>0</v>
      </c>
      <c r="AQ73" s="34">
        <v>1</v>
      </c>
      <c r="AR73" s="34">
        <v>2</v>
      </c>
      <c r="AS73" s="97">
        <v>-70</v>
      </c>
      <c r="AT73" s="34"/>
      <c r="AU73" s="34"/>
      <c r="AV73" s="34"/>
      <c r="AW73" s="34"/>
      <c r="AX73" s="34"/>
      <c r="AY73" s="120"/>
      <c r="AZ73" s="39"/>
    </row>
    <row r="74" spans="1:52" x14ac:dyDescent="0.25">
      <c r="A74" s="41">
        <v>42856</v>
      </c>
      <c r="B74" s="35" t="s">
        <v>41</v>
      </c>
      <c r="C74" s="34">
        <v>4500</v>
      </c>
      <c r="D74" s="169" t="s">
        <v>7</v>
      </c>
      <c r="E74" s="176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>
        <v>0</v>
      </c>
      <c r="AH74" s="34">
        <v>8</v>
      </c>
      <c r="AI74" s="34">
        <v>8</v>
      </c>
      <c r="AJ74" s="34">
        <v>6</v>
      </c>
      <c r="AK74" s="34">
        <v>5</v>
      </c>
      <c r="AL74" s="34">
        <v>7</v>
      </c>
      <c r="AM74" s="34">
        <v>7</v>
      </c>
      <c r="AN74" s="34">
        <v>2</v>
      </c>
      <c r="AO74" s="34">
        <v>7</v>
      </c>
      <c r="AP74" s="34">
        <v>6</v>
      </c>
      <c r="AQ74" s="34">
        <v>7</v>
      </c>
      <c r="AR74" s="34">
        <v>1</v>
      </c>
      <c r="AS74" s="97">
        <f>SUM(AG74:AR74)</f>
        <v>64</v>
      </c>
      <c r="AT74" s="34"/>
      <c r="AU74" s="34"/>
      <c r="AV74" s="34"/>
      <c r="AW74" s="34"/>
      <c r="AX74" s="34"/>
      <c r="AY74" s="120"/>
      <c r="AZ74" s="39"/>
    </row>
    <row r="75" spans="1:52" x14ac:dyDescent="0.25">
      <c r="A75" s="43"/>
      <c r="B75" s="35"/>
      <c r="C75" s="34"/>
      <c r="D75" s="169"/>
      <c r="E75" s="176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100">
        <f t="shared" ref="AG75:AR75" si="23">(AG74*-2)</f>
        <v>0</v>
      </c>
      <c r="AH75" s="100">
        <f t="shared" si="23"/>
        <v>-16</v>
      </c>
      <c r="AI75" s="100">
        <f t="shared" si="23"/>
        <v>-16</v>
      </c>
      <c r="AJ75" s="100">
        <f t="shared" si="23"/>
        <v>-12</v>
      </c>
      <c r="AK75" s="100">
        <f t="shared" si="23"/>
        <v>-10</v>
      </c>
      <c r="AL75" s="100">
        <f t="shared" si="23"/>
        <v>-14</v>
      </c>
      <c r="AM75" s="100">
        <f t="shared" si="23"/>
        <v>-14</v>
      </c>
      <c r="AN75" s="100">
        <f t="shared" si="23"/>
        <v>-4</v>
      </c>
      <c r="AO75" s="100">
        <f t="shared" si="23"/>
        <v>-14</v>
      </c>
      <c r="AP75" s="100">
        <f t="shared" si="23"/>
        <v>-12</v>
      </c>
      <c r="AQ75" s="100">
        <f t="shared" si="23"/>
        <v>-14</v>
      </c>
      <c r="AR75" s="100">
        <f t="shared" si="23"/>
        <v>-2</v>
      </c>
      <c r="AS75" s="34"/>
      <c r="AT75" s="34"/>
      <c r="AU75" s="34"/>
      <c r="AV75" s="34"/>
      <c r="AW75" s="34"/>
      <c r="AX75" s="34"/>
      <c r="AY75" s="120"/>
      <c r="AZ75" s="39"/>
    </row>
    <row r="76" spans="1:52" x14ac:dyDescent="0.25">
      <c r="A76" s="42">
        <v>42887</v>
      </c>
      <c r="B76" s="35" t="s">
        <v>42</v>
      </c>
      <c r="C76" s="34">
        <v>5600</v>
      </c>
      <c r="D76" s="169" t="s">
        <v>6</v>
      </c>
      <c r="E76" s="176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99">
        <f>SUM(AG4:AG75)+AF73</f>
        <v>222</v>
      </c>
      <c r="AH76" s="34">
        <v>45</v>
      </c>
      <c r="AI76" s="34">
        <v>7</v>
      </c>
      <c r="AJ76" s="34">
        <v>14</v>
      </c>
      <c r="AK76" s="34">
        <v>10</v>
      </c>
      <c r="AL76" s="34">
        <v>5</v>
      </c>
      <c r="AM76" s="34">
        <v>2</v>
      </c>
      <c r="AN76" s="34">
        <v>1</v>
      </c>
      <c r="AO76" s="34">
        <v>2</v>
      </c>
      <c r="AP76" s="34">
        <v>1</v>
      </c>
      <c r="AQ76" s="34">
        <v>0</v>
      </c>
      <c r="AR76" s="34">
        <v>0</v>
      </c>
      <c r="AS76" s="34">
        <v>0</v>
      </c>
      <c r="AT76" s="97">
        <v>-87</v>
      </c>
      <c r="AU76" s="34"/>
      <c r="AV76" s="34"/>
      <c r="AW76" s="34"/>
      <c r="AX76" s="34"/>
      <c r="AY76" s="120"/>
      <c r="AZ76" s="39"/>
    </row>
    <row r="77" spans="1:52" x14ac:dyDescent="0.25">
      <c r="A77" s="41">
        <v>42887</v>
      </c>
      <c r="B77" s="35" t="s">
        <v>42</v>
      </c>
      <c r="C77" s="34">
        <v>5600</v>
      </c>
      <c r="D77" s="169" t="s">
        <v>7</v>
      </c>
      <c r="E77" s="176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>
        <v>0</v>
      </c>
      <c r="AI77" s="34">
        <v>5</v>
      </c>
      <c r="AJ77" s="34">
        <v>7</v>
      </c>
      <c r="AK77" s="34">
        <v>6</v>
      </c>
      <c r="AL77" s="34">
        <v>6</v>
      </c>
      <c r="AM77" s="34">
        <v>7</v>
      </c>
      <c r="AN77" s="34">
        <v>5</v>
      </c>
      <c r="AO77" s="34">
        <v>8</v>
      </c>
      <c r="AP77" s="34">
        <v>12</v>
      </c>
      <c r="AQ77" s="34">
        <v>5</v>
      </c>
      <c r="AR77" s="34">
        <v>6</v>
      </c>
      <c r="AS77" s="34">
        <v>5</v>
      </c>
      <c r="AT77" s="97">
        <f>SUM(AH77:AS77)</f>
        <v>72</v>
      </c>
      <c r="AU77" s="34"/>
      <c r="AV77" s="34"/>
      <c r="AW77" s="34"/>
      <c r="AX77" s="34"/>
      <c r="AY77" s="120"/>
      <c r="AZ77" s="39"/>
    </row>
    <row r="78" spans="1:52" x14ac:dyDescent="0.25">
      <c r="A78" s="43"/>
      <c r="B78" s="35"/>
      <c r="C78" s="34"/>
      <c r="D78" s="169"/>
      <c r="E78" s="176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100">
        <f t="shared" ref="AH78:AS78" si="24">(AH77*-2)</f>
        <v>0</v>
      </c>
      <c r="AI78" s="100">
        <f t="shared" si="24"/>
        <v>-10</v>
      </c>
      <c r="AJ78" s="100">
        <f t="shared" si="24"/>
        <v>-14</v>
      </c>
      <c r="AK78" s="100">
        <f t="shared" si="24"/>
        <v>-12</v>
      </c>
      <c r="AL78" s="100">
        <f t="shared" si="24"/>
        <v>-12</v>
      </c>
      <c r="AM78" s="100">
        <f t="shared" si="24"/>
        <v>-14</v>
      </c>
      <c r="AN78" s="100">
        <f t="shared" si="24"/>
        <v>-10</v>
      </c>
      <c r="AO78" s="100">
        <f t="shared" si="24"/>
        <v>-16</v>
      </c>
      <c r="AP78" s="100">
        <f t="shared" si="24"/>
        <v>-24</v>
      </c>
      <c r="AQ78" s="100">
        <f t="shared" si="24"/>
        <v>-10</v>
      </c>
      <c r="AR78" s="100">
        <f t="shared" si="24"/>
        <v>-12</v>
      </c>
      <c r="AS78" s="100">
        <f t="shared" si="24"/>
        <v>-10</v>
      </c>
      <c r="AT78" s="34"/>
      <c r="AU78" s="34"/>
      <c r="AV78" s="34"/>
      <c r="AW78" s="34"/>
      <c r="AX78" s="34"/>
      <c r="AY78" s="120"/>
      <c r="AZ78" s="39"/>
    </row>
    <row r="79" spans="1:52" x14ac:dyDescent="0.25">
      <c r="A79" s="42">
        <v>42946</v>
      </c>
      <c r="B79" s="35" t="s">
        <v>43</v>
      </c>
      <c r="C79" s="34">
        <v>5600</v>
      </c>
      <c r="D79" s="169" t="s">
        <v>6</v>
      </c>
      <c r="E79" s="176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99">
        <f>SUM(AH4:AH78)+AG76</f>
        <v>249</v>
      </c>
      <c r="AI79" s="34">
        <v>46</v>
      </c>
      <c r="AJ79" s="34">
        <v>10</v>
      </c>
      <c r="AK79" s="34">
        <v>16</v>
      </c>
      <c r="AL79" s="34">
        <v>8</v>
      </c>
      <c r="AM79" s="34">
        <v>5</v>
      </c>
      <c r="AN79" s="34">
        <v>1</v>
      </c>
      <c r="AO79" s="34">
        <v>6</v>
      </c>
      <c r="AP79" s="34">
        <v>3</v>
      </c>
      <c r="AQ79" s="34">
        <v>1</v>
      </c>
      <c r="AR79" s="34">
        <v>0</v>
      </c>
      <c r="AS79" s="34">
        <v>1</v>
      </c>
      <c r="AT79" s="34">
        <v>0</v>
      </c>
      <c r="AU79" s="97">
        <v>-97</v>
      </c>
      <c r="AV79" s="34"/>
      <c r="AW79" s="34"/>
      <c r="AX79" s="34"/>
      <c r="AY79" s="120"/>
      <c r="AZ79" s="39"/>
    </row>
    <row r="80" spans="1:52" x14ac:dyDescent="0.25">
      <c r="A80" s="41">
        <v>42946</v>
      </c>
      <c r="B80" s="35" t="s">
        <v>43</v>
      </c>
      <c r="C80" s="34">
        <v>5600</v>
      </c>
      <c r="D80" s="169" t="s">
        <v>7</v>
      </c>
      <c r="E80" s="176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>
        <v>0</v>
      </c>
      <c r="AJ80" s="34">
        <v>4</v>
      </c>
      <c r="AK80" s="34">
        <v>11</v>
      </c>
      <c r="AL80" s="34">
        <v>5</v>
      </c>
      <c r="AM80" s="34">
        <v>8</v>
      </c>
      <c r="AN80" s="34">
        <v>6</v>
      </c>
      <c r="AO80" s="34">
        <v>4</v>
      </c>
      <c r="AP80" s="34">
        <v>6</v>
      </c>
      <c r="AQ80" s="34">
        <v>8</v>
      </c>
      <c r="AR80" s="34">
        <v>3</v>
      </c>
      <c r="AS80" s="34">
        <v>5</v>
      </c>
      <c r="AT80" s="34">
        <v>9</v>
      </c>
      <c r="AU80" s="97">
        <f>SUM(AI80:AT80)</f>
        <v>69</v>
      </c>
      <c r="AV80" s="34"/>
      <c r="AW80" s="34"/>
      <c r="AX80" s="34"/>
      <c r="AY80" s="120"/>
      <c r="AZ80" s="39"/>
    </row>
    <row r="81" spans="1:52" x14ac:dyDescent="0.25">
      <c r="A81" s="43"/>
      <c r="B81" s="35"/>
      <c r="C81" s="34"/>
      <c r="D81" s="169"/>
      <c r="E81" s="176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100">
        <f t="shared" ref="AI81:AT81" si="25">(AI80*-2)</f>
        <v>0</v>
      </c>
      <c r="AJ81" s="100">
        <f t="shared" si="25"/>
        <v>-8</v>
      </c>
      <c r="AK81" s="100">
        <f t="shared" si="25"/>
        <v>-22</v>
      </c>
      <c r="AL81" s="100">
        <f t="shared" si="25"/>
        <v>-10</v>
      </c>
      <c r="AM81" s="100">
        <f t="shared" si="25"/>
        <v>-16</v>
      </c>
      <c r="AN81" s="100">
        <f t="shared" si="25"/>
        <v>-12</v>
      </c>
      <c r="AO81" s="100">
        <f t="shared" si="25"/>
        <v>-8</v>
      </c>
      <c r="AP81" s="100">
        <f t="shared" si="25"/>
        <v>-12</v>
      </c>
      <c r="AQ81" s="100">
        <f t="shared" si="25"/>
        <v>-16</v>
      </c>
      <c r="AR81" s="100">
        <f t="shared" si="25"/>
        <v>-6</v>
      </c>
      <c r="AS81" s="100">
        <f t="shared" si="25"/>
        <v>-10</v>
      </c>
      <c r="AT81" s="100">
        <f t="shared" si="25"/>
        <v>-18</v>
      </c>
      <c r="AU81" s="34"/>
      <c r="AV81" s="34"/>
      <c r="AW81" s="34"/>
      <c r="AX81" s="34"/>
      <c r="AY81" s="120"/>
      <c r="AZ81" s="39"/>
    </row>
    <row r="82" spans="1:52" x14ac:dyDescent="0.25">
      <c r="A82" s="42">
        <v>42948</v>
      </c>
      <c r="B82" s="35" t="s">
        <v>44</v>
      </c>
      <c r="C82" s="34">
        <v>6100</v>
      </c>
      <c r="D82" s="169" t="s">
        <v>6</v>
      </c>
      <c r="E82" s="176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99">
        <f>SUM(AI4:AI81)+AH79</f>
        <v>281</v>
      </c>
      <c r="AJ82" s="34">
        <v>60</v>
      </c>
      <c r="AK82" s="34">
        <v>15</v>
      </c>
      <c r="AL82" s="34">
        <v>13</v>
      </c>
      <c r="AM82" s="34">
        <v>14</v>
      </c>
      <c r="AN82" s="34">
        <v>8</v>
      </c>
      <c r="AO82" s="34">
        <v>6</v>
      </c>
      <c r="AP82" s="34">
        <v>2</v>
      </c>
      <c r="AQ82" s="34">
        <v>1</v>
      </c>
      <c r="AR82" s="34">
        <v>1</v>
      </c>
      <c r="AS82" s="34">
        <v>0</v>
      </c>
      <c r="AT82" s="34">
        <v>1</v>
      </c>
      <c r="AU82" s="34">
        <v>2</v>
      </c>
      <c r="AV82" s="97">
        <v>-123</v>
      </c>
      <c r="AW82" s="34"/>
      <c r="AX82" s="34"/>
      <c r="AY82" s="120"/>
      <c r="AZ82" s="39"/>
    </row>
    <row r="83" spans="1:52" x14ac:dyDescent="0.25">
      <c r="A83" s="41">
        <v>42948</v>
      </c>
      <c r="B83" s="35" t="s">
        <v>44</v>
      </c>
      <c r="C83" s="34">
        <v>6100</v>
      </c>
      <c r="D83" s="169" t="s">
        <v>7</v>
      </c>
      <c r="E83" s="176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>
        <v>0</v>
      </c>
      <c r="AK83" s="34">
        <v>6</v>
      </c>
      <c r="AL83" s="34">
        <v>8</v>
      </c>
      <c r="AM83" s="34">
        <v>7</v>
      </c>
      <c r="AN83" s="34">
        <v>7</v>
      </c>
      <c r="AO83" s="34">
        <v>6</v>
      </c>
      <c r="AP83" s="34">
        <v>5</v>
      </c>
      <c r="AQ83" s="34">
        <v>10</v>
      </c>
      <c r="AR83" s="34">
        <v>12</v>
      </c>
      <c r="AS83" s="34">
        <v>15</v>
      </c>
      <c r="AT83" s="34">
        <v>16</v>
      </c>
      <c r="AU83" s="34">
        <v>7</v>
      </c>
      <c r="AV83" s="97">
        <f>SUM(AJ83:AU83)</f>
        <v>99</v>
      </c>
      <c r="AW83" s="34"/>
      <c r="AX83" s="34"/>
      <c r="AY83" s="120"/>
      <c r="AZ83" s="39"/>
    </row>
    <row r="84" spans="1:52" x14ac:dyDescent="0.25">
      <c r="A84" s="43"/>
      <c r="B84" s="35"/>
      <c r="C84" s="34"/>
      <c r="D84" s="169"/>
      <c r="E84" s="176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100">
        <f t="shared" ref="AJ84:AU84" si="26">(AJ83*-2)</f>
        <v>0</v>
      </c>
      <c r="AK84" s="100">
        <f t="shared" si="26"/>
        <v>-12</v>
      </c>
      <c r="AL84" s="100">
        <f t="shared" si="26"/>
        <v>-16</v>
      </c>
      <c r="AM84" s="100">
        <f t="shared" si="26"/>
        <v>-14</v>
      </c>
      <c r="AN84" s="100">
        <f t="shared" si="26"/>
        <v>-14</v>
      </c>
      <c r="AO84" s="100">
        <f t="shared" si="26"/>
        <v>-12</v>
      </c>
      <c r="AP84" s="100">
        <f t="shared" si="26"/>
        <v>-10</v>
      </c>
      <c r="AQ84" s="100">
        <f t="shared" si="26"/>
        <v>-20</v>
      </c>
      <c r="AR84" s="100">
        <f t="shared" si="26"/>
        <v>-24</v>
      </c>
      <c r="AS84" s="100">
        <f t="shared" si="26"/>
        <v>-30</v>
      </c>
      <c r="AT84" s="100">
        <f t="shared" si="26"/>
        <v>-32</v>
      </c>
      <c r="AU84" s="100">
        <f t="shared" si="26"/>
        <v>-14</v>
      </c>
      <c r="AV84" s="34"/>
      <c r="AW84" s="34"/>
      <c r="AX84" s="34"/>
      <c r="AY84" s="120"/>
      <c r="AZ84" s="39"/>
    </row>
    <row r="85" spans="1:52" x14ac:dyDescent="0.25">
      <c r="A85" s="42">
        <v>43009</v>
      </c>
      <c r="B85" s="35" t="s">
        <v>45</v>
      </c>
      <c r="C85" s="34">
        <v>6750</v>
      </c>
      <c r="D85" s="169" t="s">
        <v>6</v>
      </c>
      <c r="E85" s="176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99">
        <f>SUM(AJ4:AJ84)+AI82</f>
        <v>266</v>
      </c>
      <c r="AK85" s="99">
        <f>SUM(AK4:AK84)+AJ85</f>
        <v>264</v>
      </c>
      <c r="AL85" s="34">
        <v>55</v>
      </c>
      <c r="AM85" s="34">
        <v>14</v>
      </c>
      <c r="AN85" s="34">
        <v>12</v>
      </c>
      <c r="AO85" s="34">
        <v>9</v>
      </c>
      <c r="AP85" s="34">
        <v>3</v>
      </c>
      <c r="AQ85" s="34">
        <v>2</v>
      </c>
      <c r="AR85" s="34">
        <v>1</v>
      </c>
      <c r="AS85" s="34">
        <v>3</v>
      </c>
      <c r="AT85" s="34">
        <v>0</v>
      </c>
      <c r="AU85" s="34">
        <v>0</v>
      </c>
      <c r="AV85" s="34">
        <v>1</v>
      </c>
      <c r="AW85" s="34">
        <v>2</v>
      </c>
      <c r="AX85" s="97">
        <v>-102</v>
      </c>
      <c r="AY85" s="120"/>
      <c r="AZ85" s="39"/>
    </row>
    <row r="86" spans="1:52" x14ac:dyDescent="0.25">
      <c r="A86" s="41">
        <v>43009</v>
      </c>
      <c r="B86" s="35" t="s">
        <v>45</v>
      </c>
      <c r="C86" s="34">
        <v>6750</v>
      </c>
      <c r="D86" s="169" t="s">
        <v>7</v>
      </c>
      <c r="E86" s="176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>
        <v>0</v>
      </c>
      <c r="AM86" s="34">
        <v>8</v>
      </c>
      <c r="AN86" s="34">
        <v>8</v>
      </c>
      <c r="AO86" s="34">
        <v>16</v>
      </c>
      <c r="AP86" s="34">
        <v>9</v>
      </c>
      <c r="AQ86" s="34">
        <v>7</v>
      </c>
      <c r="AR86" s="34">
        <v>7</v>
      </c>
      <c r="AS86" s="34">
        <v>2</v>
      </c>
      <c r="AT86" s="34">
        <v>17</v>
      </c>
      <c r="AU86" s="34">
        <v>6</v>
      </c>
      <c r="AV86" s="34">
        <v>7</v>
      </c>
      <c r="AW86" s="34">
        <v>1</v>
      </c>
      <c r="AX86" s="97">
        <f>SUM(AL86:AW86)</f>
        <v>88</v>
      </c>
      <c r="AY86" s="120"/>
      <c r="AZ86" s="39"/>
    </row>
    <row r="87" spans="1:52" x14ac:dyDescent="0.25">
      <c r="A87" s="43"/>
      <c r="B87" s="35"/>
      <c r="C87" s="34"/>
      <c r="D87" s="169"/>
      <c r="E87" s="176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100">
        <f t="shared" ref="AL87:AW87" si="27">(AL86*-2)</f>
        <v>0</v>
      </c>
      <c r="AM87" s="100">
        <f t="shared" si="27"/>
        <v>-16</v>
      </c>
      <c r="AN87" s="100">
        <f t="shared" si="27"/>
        <v>-16</v>
      </c>
      <c r="AO87" s="100">
        <f t="shared" si="27"/>
        <v>-32</v>
      </c>
      <c r="AP87" s="100">
        <f t="shared" si="27"/>
        <v>-18</v>
      </c>
      <c r="AQ87" s="100">
        <f t="shared" si="27"/>
        <v>-14</v>
      </c>
      <c r="AR87" s="100">
        <f t="shared" si="27"/>
        <v>-14</v>
      </c>
      <c r="AS87" s="100">
        <f t="shared" si="27"/>
        <v>-4</v>
      </c>
      <c r="AT87" s="100">
        <f t="shared" si="27"/>
        <v>-34</v>
      </c>
      <c r="AU87" s="100">
        <f t="shared" si="27"/>
        <v>-12</v>
      </c>
      <c r="AV87" s="100">
        <f t="shared" si="27"/>
        <v>-14</v>
      </c>
      <c r="AW87" s="100">
        <f t="shared" si="27"/>
        <v>-2</v>
      </c>
      <c r="AX87" s="34"/>
      <c r="AY87" s="120"/>
      <c r="AZ87" s="39"/>
    </row>
    <row r="88" spans="1:52" x14ac:dyDescent="0.25">
      <c r="A88" s="42">
        <v>43040</v>
      </c>
      <c r="B88" s="35" t="s">
        <v>46</v>
      </c>
      <c r="C88" s="34">
        <v>7504</v>
      </c>
      <c r="D88" s="169" t="s">
        <v>6</v>
      </c>
      <c r="E88" s="176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99">
        <f>SUM(AL4:AL87)+AK85</f>
        <v>301</v>
      </c>
      <c r="AM88" s="34">
        <v>50</v>
      </c>
      <c r="AN88" s="34">
        <v>10</v>
      </c>
      <c r="AO88" s="34">
        <v>16</v>
      </c>
      <c r="AP88" s="34">
        <v>8</v>
      </c>
      <c r="AQ88" s="34">
        <v>5</v>
      </c>
      <c r="AR88" s="34">
        <v>1</v>
      </c>
      <c r="AS88" s="34">
        <v>6</v>
      </c>
      <c r="AT88" s="34">
        <v>3</v>
      </c>
      <c r="AU88" s="34">
        <v>1</v>
      </c>
      <c r="AV88" s="34">
        <v>0</v>
      </c>
      <c r="AW88" s="34">
        <v>1</v>
      </c>
      <c r="AX88" s="34">
        <v>0</v>
      </c>
      <c r="AY88" s="121">
        <v>-101</v>
      </c>
      <c r="AZ88" s="39"/>
    </row>
    <row r="89" spans="1:52" x14ac:dyDescent="0.25">
      <c r="A89" s="41">
        <v>43040</v>
      </c>
      <c r="B89" s="35" t="s">
        <v>46</v>
      </c>
      <c r="C89" s="34">
        <v>7504</v>
      </c>
      <c r="D89" s="169" t="s">
        <v>7</v>
      </c>
      <c r="E89" s="176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>
        <v>0</v>
      </c>
      <c r="AN89" s="34">
        <v>4</v>
      </c>
      <c r="AO89" s="34">
        <v>11</v>
      </c>
      <c r="AP89" s="34">
        <v>5</v>
      </c>
      <c r="AQ89" s="34">
        <v>8</v>
      </c>
      <c r="AR89" s="34">
        <v>6</v>
      </c>
      <c r="AS89" s="34">
        <v>4</v>
      </c>
      <c r="AT89" s="34">
        <v>6</v>
      </c>
      <c r="AU89" s="34">
        <v>8</v>
      </c>
      <c r="AV89" s="34">
        <v>3</v>
      </c>
      <c r="AW89" s="34">
        <v>5</v>
      </c>
      <c r="AX89" s="34">
        <v>9</v>
      </c>
      <c r="AY89" s="121">
        <f>SUM(AM89:AX89)</f>
        <v>69</v>
      </c>
      <c r="AZ89" s="39"/>
    </row>
    <row r="90" spans="1:52" x14ac:dyDescent="0.25">
      <c r="A90" s="43"/>
      <c r="B90" s="35"/>
      <c r="C90" s="34"/>
      <c r="D90" s="169"/>
      <c r="E90" s="176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100">
        <f t="shared" ref="AM90:AX90" si="28">(AM89*-2)</f>
        <v>0</v>
      </c>
      <c r="AN90" s="100">
        <f t="shared" si="28"/>
        <v>-8</v>
      </c>
      <c r="AO90" s="100">
        <f t="shared" si="28"/>
        <v>-22</v>
      </c>
      <c r="AP90" s="100">
        <f t="shared" si="28"/>
        <v>-10</v>
      </c>
      <c r="AQ90" s="100">
        <f t="shared" si="28"/>
        <v>-16</v>
      </c>
      <c r="AR90" s="100">
        <f t="shared" si="28"/>
        <v>-12</v>
      </c>
      <c r="AS90" s="100">
        <f t="shared" si="28"/>
        <v>-8</v>
      </c>
      <c r="AT90" s="100">
        <f t="shared" si="28"/>
        <v>-12</v>
      </c>
      <c r="AU90" s="100">
        <f t="shared" si="28"/>
        <v>-16</v>
      </c>
      <c r="AV90" s="100">
        <f t="shared" si="28"/>
        <v>-6</v>
      </c>
      <c r="AW90" s="100">
        <f t="shared" si="28"/>
        <v>-10</v>
      </c>
      <c r="AX90" s="100">
        <f t="shared" si="28"/>
        <v>-18</v>
      </c>
      <c r="AY90" s="120"/>
      <c r="AZ90" s="39"/>
    </row>
    <row r="91" spans="1:52" x14ac:dyDescent="0.25">
      <c r="A91" s="42">
        <v>43070</v>
      </c>
      <c r="B91" s="35" t="s">
        <v>47</v>
      </c>
      <c r="C91" s="34">
        <v>4932</v>
      </c>
      <c r="D91" s="169" t="s">
        <v>6</v>
      </c>
      <c r="E91" s="176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99">
        <f>SUM(AM4:AM90)+AL88</f>
        <v>327</v>
      </c>
      <c r="AN91" s="34">
        <v>63</v>
      </c>
      <c r="AO91" s="34">
        <v>15</v>
      </c>
      <c r="AP91" s="34">
        <v>13</v>
      </c>
      <c r="AQ91" s="34">
        <v>14</v>
      </c>
      <c r="AR91" s="34">
        <v>8</v>
      </c>
      <c r="AS91" s="34">
        <v>6</v>
      </c>
      <c r="AT91" s="34">
        <v>2</v>
      </c>
      <c r="AU91" s="34">
        <v>1</v>
      </c>
      <c r="AV91" s="34">
        <v>1</v>
      </c>
      <c r="AW91" s="34">
        <v>0</v>
      </c>
      <c r="AX91" s="34">
        <v>1</v>
      </c>
      <c r="AY91" s="120">
        <v>2</v>
      </c>
      <c r="AZ91" s="39"/>
    </row>
    <row r="92" spans="1:52" x14ac:dyDescent="0.25">
      <c r="A92" s="44">
        <v>43070</v>
      </c>
      <c r="B92" s="116" t="s">
        <v>47</v>
      </c>
      <c r="C92" s="117">
        <v>4932</v>
      </c>
      <c r="D92" s="182" t="s">
        <v>7</v>
      </c>
      <c r="E92" s="176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>
        <v>0</v>
      </c>
      <c r="AO92" s="34">
        <v>6</v>
      </c>
      <c r="AP92" s="34">
        <v>8</v>
      </c>
      <c r="AQ92" s="34">
        <v>7</v>
      </c>
      <c r="AR92" s="34">
        <v>7</v>
      </c>
      <c r="AS92" s="34">
        <v>6</v>
      </c>
      <c r="AT92" s="34">
        <v>5</v>
      </c>
      <c r="AU92" s="34">
        <v>10</v>
      </c>
      <c r="AV92" s="34">
        <v>12</v>
      </c>
      <c r="AW92" s="34">
        <v>15</v>
      </c>
      <c r="AX92" s="34">
        <v>16</v>
      </c>
      <c r="AY92" s="120">
        <v>7</v>
      </c>
      <c r="AZ92" s="39"/>
    </row>
    <row r="93" spans="1:52" ht="13.8" thickBot="1" x14ac:dyDescent="0.3">
      <c r="A93" s="181"/>
      <c r="B93" s="101"/>
      <c r="C93" s="101"/>
      <c r="D93" s="183"/>
      <c r="E93" s="179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0">
        <f t="shared" ref="AN93:AY93" si="29">(AN92*-2)</f>
        <v>0</v>
      </c>
      <c r="AO93" s="100">
        <f t="shared" si="29"/>
        <v>-12</v>
      </c>
      <c r="AP93" s="100">
        <f t="shared" si="29"/>
        <v>-16</v>
      </c>
      <c r="AQ93" s="100">
        <f t="shared" si="29"/>
        <v>-14</v>
      </c>
      <c r="AR93" s="100">
        <f t="shared" si="29"/>
        <v>-14</v>
      </c>
      <c r="AS93" s="100">
        <f t="shared" si="29"/>
        <v>-12</v>
      </c>
      <c r="AT93" s="100">
        <f t="shared" si="29"/>
        <v>-10</v>
      </c>
      <c r="AU93" s="100">
        <f t="shared" si="29"/>
        <v>-20</v>
      </c>
      <c r="AV93" s="100">
        <f t="shared" si="29"/>
        <v>-24</v>
      </c>
      <c r="AW93" s="100">
        <f t="shared" si="29"/>
        <v>-30</v>
      </c>
      <c r="AX93" s="100">
        <f t="shared" si="29"/>
        <v>-32</v>
      </c>
      <c r="AY93" s="123">
        <f t="shared" si="29"/>
        <v>-14</v>
      </c>
    </row>
    <row r="94" spans="1:52" ht="13.8" thickBot="1" x14ac:dyDescent="0.3">
      <c r="A94" s="124"/>
      <c r="B94" s="125"/>
      <c r="C94" s="125"/>
      <c r="D94" s="183"/>
      <c r="E94" s="180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6">
        <f>SUM(AN4:AN93)+AM91</f>
        <v>379</v>
      </c>
      <c r="AO94" s="126">
        <f t="shared" ref="AO94:AY94" si="30">SUM(AO4:AO93)+AN94</f>
        <v>345</v>
      </c>
      <c r="AP94" s="126">
        <f t="shared" si="30"/>
        <v>292</v>
      </c>
      <c r="AQ94" s="126">
        <f t="shared" si="30"/>
        <v>257</v>
      </c>
      <c r="AR94" s="126">
        <f t="shared" si="30"/>
        <v>228</v>
      </c>
      <c r="AS94" s="126">
        <f t="shared" si="30"/>
        <v>201</v>
      </c>
      <c r="AT94" s="126">
        <f t="shared" si="30"/>
        <v>139</v>
      </c>
      <c r="AU94" s="126">
        <f t="shared" si="30"/>
        <v>84</v>
      </c>
      <c r="AV94" s="126">
        <f t="shared" si="30"/>
        <v>40</v>
      </c>
      <c r="AW94" s="126">
        <f t="shared" si="30"/>
        <v>22</v>
      </c>
      <c r="AX94" s="126">
        <f t="shared" si="30"/>
        <v>-16</v>
      </c>
      <c r="AY94" s="127">
        <f t="shared" si="30"/>
        <v>-53</v>
      </c>
    </row>
    <row r="95" spans="1:52" ht="13.8" thickBot="1" x14ac:dyDescent="0.3">
      <c r="A95" s="38"/>
    </row>
    <row r="96" spans="1:52" ht="48" customHeight="1" x14ac:dyDescent="0.25">
      <c r="A96" s="38"/>
      <c r="D96" s="224" t="s">
        <v>147</v>
      </c>
      <c r="E96" s="225">
        <f>E7</f>
        <v>45</v>
      </c>
      <c r="F96" s="225">
        <v>81</v>
      </c>
      <c r="G96" s="225">
        <v>122</v>
      </c>
      <c r="H96" s="225">
        <v>118</v>
      </c>
      <c r="I96" s="225">
        <v>141</v>
      </c>
      <c r="J96" s="225">
        <v>190</v>
      </c>
      <c r="K96" s="225">
        <v>235</v>
      </c>
      <c r="L96" s="225">
        <v>259</v>
      </c>
      <c r="M96" s="225">
        <v>233</v>
      </c>
      <c r="N96" s="225">
        <v>231</v>
      </c>
      <c r="O96" s="225">
        <v>232</v>
      </c>
      <c r="P96" s="225">
        <v>245</v>
      </c>
      <c r="Q96" s="225">
        <v>242</v>
      </c>
      <c r="R96" s="225">
        <v>236</v>
      </c>
      <c r="S96" s="225">
        <v>242</v>
      </c>
      <c r="T96" s="225">
        <v>200</v>
      </c>
      <c r="U96" s="225">
        <v>193</v>
      </c>
      <c r="V96" s="225">
        <v>197</v>
      </c>
      <c r="W96" s="225">
        <v>195</v>
      </c>
      <c r="X96" s="225">
        <v>207</v>
      </c>
      <c r="Y96" s="225">
        <v>171</v>
      </c>
      <c r="Z96" s="225">
        <v>161</v>
      </c>
      <c r="AA96" s="225">
        <v>158</v>
      </c>
      <c r="AB96" s="225">
        <v>154</v>
      </c>
      <c r="AC96" s="225">
        <v>173</v>
      </c>
      <c r="AD96" s="225">
        <v>199</v>
      </c>
      <c r="AE96" s="225">
        <v>217</v>
      </c>
      <c r="AF96" s="225">
        <v>200</v>
      </c>
      <c r="AG96" s="225">
        <v>222</v>
      </c>
      <c r="AH96" s="225">
        <v>249</v>
      </c>
      <c r="AI96" s="225">
        <v>281</v>
      </c>
      <c r="AJ96" s="225">
        <v>346</v>
      </c>
      <c r="AK96" s="225">
        <v>380</v>
      </c>
      <c r="AL96" s="225">
        <v>417</v>
      </c>
      <c r="AM96" s="225">
        <v>443</v>
      </c>
      <c r="AN96" s="225">
        <v>495</v>
      </c>
      <c r="AO96" s="225">
        <v>461</v>
      </c>
      <c r="AP96" s="225">
        <v>408</v>
      </c>
      <c r="AQ96" s="225">
        <v>373</v>
      </c>
      <c r="AR96" s="225">
        <v>344</v>
      </c>
      <c r="AS96" s="225">
        <v>317</v>
      </c>
      <c r="AT96" s="225">
        <v>255</v>
      </c>
      <c r="AU96" s="225">
        <v>200</v>
      </c>
      <c r="AV96" s="225">
        <v>156</v>
      </c>
      <c r="AW96" s="225">
        <v>138</v>
      </c>
      <c r="AX96" s="225">
        <v>100</v>
      </c>
      <c r="AY96" s="226">
        <v>63</v>
      </c>
    </row>
    <row r="97" spans="1:51" ht="34.200000000000003" customHeight="1" x14ac:dyDescent="0.25">
      <c r="A97" s="38"/>
      <c r="D97" s="233" t="s">
        <v>129</v>
      </c>
      <c r="E97" s="227">
        <v>2400</v>
      </c>
      <c r="F97" s="227">
        <v>3780</v>
      </c>
      <c r="G97" s="227">
        <v>4593</v>
      </c>
      <c r="H97" s="227">
        <v>4593</v>
      </c>
      <c r="I97" s="228">
        <v>3690</v>
      </c>
      <c r="J97" s="228">
        <v>4400</v>
      </c>
      <c r="K97" s="227">
        <v>4450</v>
      </c>
      <c r="L97" s="227">
        <v>4925</v>
      </c>
      <c r="M97" s="227">
        <v>4925</v>
      </c>
      <c r="N97" s="227">
        <v>5645</v>
      </c>
      <c r="O97" s="227">
        <v>6323</v>
      </c>
      <c r="P97" s="228">
        <v>3809</v>
      </c>
      <c r="Q97" s="227">
        <v>2900</v>
      </c>
      <c r="R97" s="228">
        <v>3800</v>
      </c>
      <c r="S97" s="228">
        <v>5215</v>
      </c>
      <c r="T97" s="228">
        <v>5215</v>
      </c>
      <c r="U97" s="228">
        <v>3900</v>
      </c>
      <c r="V97" s="228">
        <v>5100</v>
      </c>
      <c r="W97" s="228">
        <v>5330</v>
      </c>
      <c r="X97" s="228">
        <v>5455</v>
      </c>
      <c r="Y97" s="228">
        <v>5455</v>
      </c>
      <c r="Z97" s="228">
        <v>6200</v>
      </c>
      <c r="AA97" s="228">
        <v>7100</v>
      </c>
      <c r="AB97" s="228">
        <v>4204</v>
      </c>
      <c r="AC97" s="228">
        <v>3200</v>
      </c>
      <c r="AD97" s="227">
        <v>5020</v>
      </c>
      <c r="AE97" s="227">
        <v>5500</v>
      </c>
      <c r="AF97" s="227">
        <v>5500</v>
      </c>
      <c r="AG97" s="227">
        <v>4500</v>
      </c>
      <c r="AH97" s="227">
        <v>5600</v>
      </c>
      <c r="AI97" s="227">
        <v>5600</v>
      </c>
      <c r="AJ97" s="227">
        <v>6100</v>
      </c>
      <c r="AK97" s="227">
        <v>6100</v>
      </c>
      <c r="AL97" s="227">
        <v>6750</v>
      </c>
      <c r="AM97" s="227">
        <v>7504</v>
      </c>
      <c r="AN97" s="227">
        <v>4932</v>
      </c>
      <c r="AO97" s="227">
        <v>0</v>
      </c>
      <c r="AP97" s="227">
        <v>0</v>
      </c>
      <c r="AQ97" s="227">
        <v>0</v>
      </c>
      <c r="AR97" s="227">
        <v>0</v>
      </c>
      <c r="AS97" s="227">
        <v>0</v>
      </c>
      <c r="AT97" s="227">
        <v>0</v>
      </c>
      <c r="AU97" s="227">
        <v>0</v>
      </c>
      <c r="AV97" s="227">
        <v>0</v>
      </c>
      <c r="AW97" s="227">
        <v>0</v>
      </c>
      <c r="AX97" s="227">
        <v>0</v>
      </c>
      <c r="AY97" s="229">
        <v>0</v>
      </c>
    </row>
    <row r="98" spans="1:51" ht="45.45" customHeight="1" x14ac:dyDescent="0.25">
      <c r="D98" s="234" t="s">
        <v>128</v>
      </c>
      <c r="E98" s="235">
        <v>2400</v>
      </c>
      <c r="F98" s="236">
        <f>SUM(E97:F97)</f>
        <v>6180</v>
      </c>
      <c r="G98" s="236">
        <f>SUM(F98,G97)</f>
        <v>10773</v>
      </c>
      <c r="H98" s="236">
        <v>10773</v>
      </c>
      <c r="I98" s="236">
        <f>SUM(H98,I97)</f>
        <v>14463</v>
      </c>
      <c r="J98" s="236">
        <f>SUM(I98,J97)</f>
        <v>18863</v>
      </c>
      <c r="K98" s="236">
        <f>SUM(J98,K97)</f>
        <v>23313</v>
      </c>
      <c r="L98" s="236">
        <f>SUM(K98,L97)</f>
        <v>28238</v>
      </c>
      <c r="M98" s="236">
        <v>28238</v>
      </c>
      <c r="N98" s="236">
        <f>SUM(M98,N97)</f>
        <v>33883</v>
      </c>
      <c r="O98" s="236">
        <f>SUM(N98,O97)</f>
        <v>40206</v>
      </c>
      <c r="P98" s="236">
        <f>SUM(O98,P97)</f>
        <v>44015</v>
      </c>
      <c r="Q98" s="236">
        <f>SUM(P98,Q97)- E97</f>
        <v>44515</v>
      </c>
      <c r="R98" s="236">
        <f>SUM(Q98,R97)- F97</f>
        <v>44535</v>
      </c>
      <c r="S98" s="236">
        <f>SUM(R98,S97)- G97</f>
        <v>45157</v>
      </c>
      <c r="T98" s="236">
        <v>45157</v>
      </c>
      <c r="U98" s="236">
        <f>SUM(T98,U97)- I97</f>
        <v>45367</v>
      </c>
      <c r="V98" s="236">
        <f>SUM(U98,V97)- J97</f>
        <v>46067</v>
      </c>
      <c r="W98" s="236">
        <f>SUM(V98,W97)- K97</f>
        <v>46947</v>
      </c>
      <c r="X98" s="236">
        <f>SUM(W98,X97)- L97</f>
        <v>47477</v>
      </c>
      <c r="Y98" s="236">
        <v>47477</v>
      </c>
      <c r="Z98" s="236">
        <f t="shared" ref="Z98:AE98" si="31">SUM(Y98,Z97)- N97</f>
        <v>48032</v>
      </c>
      <c r="AA98" s="236">
        <f t="shared" si="31"/>
        <v>48809</v>
      </c>
      <c r="AB98" s="236">
        <f t="shared" si="31"/>
        <v>49204</v>
      </c>
      <c r="AC98" s="236">
        <f t="shared" si="31"/>
        <v>49504</v>
      </c>
      <c r="AD98" s="236">
        <f t="shared" si="31"/>
        <v>50724</v>
      </c>
      <c r="AE98" s="236">
        <f t="shared" si="31"/>
        <v>51009</v>
      </c>
      <c r="AF98" s="236">
        <v>51009</v>
      </c>
      <c r="AG98" s="236">
        <f>SUM(AF98,AG97)- U97</f>
        <v>51609</v>
      </c>
      <c r="AH98" s="236">
        <f>SUM(AG98,AH97)- V97</f>
        <v>52109</v>
      </c>
      <c r="AI98" s="236">
        <f>SUM(AH98,AI97)- W97</f>
        <v>52379</v>
      </c>
      <c r="AJ98" s="236">
        <f>SUM(AI98,AJ97)- X97</f>
        <v>53024</v>
      </c>
      <c r="AK98" s="236">
        <v>53024</v>
      </c>
      <c r="AL98" s="236">
        <f t="shared" ref="AL98:AQ98" si="32">SUM(AK98,AL97)- Z97</f>
        <v>53574</v>
      </c>
      <c r="AM98" s="236">
        <f t="shared" si="32"/>
        <v>53978</v>
      </c>
      <c r="AN98" s="236">
        <f t="shared" si="32"/>
        <v>54706</v>
      </c>
      <c r="AO98" s="236">
        <f t="shared" si="32"/>
        <v>51506</v>
      </c>
      <c r="AP98" s="236">
        <f t="shared" si="32"/>
        <v>46486</v>
      </c>
      <c r="AQ98" s="236">
        <f t="shared" si="32"/>
        <v>40986</v>
      </c>
      <c r="AR98" s="236">
        <v>40986</v>
      </c>
      <c r="AS98" s="236">
        <f>SUM(AR98,AS97)- AG97</f>
        <v>36486</v>
      </c>
      <c r="AT98" s="236">
        <f>SUM(AS98,AT97)- AH97</f>
        <v>30886</v>
      </c>
      <c r="AU98" s="236">
        <f>SUM(AT98,AU97)- AI97</f>
        <v>25286</v>
      </c>
      <c r="AV98" s="236">
        <v>25286</v>
      </c>
      <c r="AW98" s="236">
        <f>SUM(AV98,AW97)- AK97</f>
        <v>19186</v>
      </c>
      <c r="AX98" s="236">
        <f>SUM(AW98,AX97)- AL97</f>
        <v>12436</v>
      </c>
      <c r="AY98" s="237">
        <f>SUM(AX98,AY97)- AM97</f>
        <v>4932</v>
      </c>
    </row>
    <row r="99" spans="1:51" ht="45.45" customHeight="1" thickBot="1" x14ac:dyDescent="0.3">
      <c r="D99" s="230" t="s">
        <v>127</v>
      </c>
      <c r="E99" s="231">
        <f t="shared" ref="E99:AY99" si="33">(E96/E98)*1000</f>
        <v>18.75</v>
      </c>
      <c r="F99" s="231">
        <f t="shared" si="33"/>
        <v>13.106796116504855</v>
      </c>
      <c r="G99" s="231">
        <f t="shared" si="33"/>
        <v>11.324607815835886</v>
      </c>
      <c r="H99" s="231">
        <f t="shared" si="33"/>
        <v>10.953309198923233</v>
      </c>
      <c r="I99" s="231">
        <f t="shared" si="33"/>
        <v>9.7490147272350143</v>
      </c>
      <c r="J99" s="231">
        <f t="shared" si="33"/>
        <v>10.072628956157558</v>
      </c>
      <c r="K99" s="231">
        <f t="shared" si="33"/>
        <v>10.080212756830951</v>
      </c>
      <c r="L99" s="231">
        <f t="shared" si="33"/>
        <v>9.1720376797223597</v>
      </c>
      <c r="M99" s="231">
        <f t="shared" si="33"/>
        <v>8.2512925844606553</v>
      </c>
      <c r="N99" s="231">
        <f t="shared" si="33"/>
        <v>6.8175781365286428</v>
      </c>
      <c r="O99" s="231">
        <f t="shared" si="33"/>
        <v>5.7702830423319904</v>
      </c>
      <c r="P99" s="231">
        <f t="shared" si="33"/>
        <v>5.5662842212881971</v>
      </c>
      <c r="Q99" s="231">
        <f t="shared" si="33"/>
        <v>5.4363697630012355</v>
      </c>
      <c r="R99" s="231">
        <f t="shared" si="33"/>
        <v>5.2992028741439317</v>
      </c>
      <c r="S99" s="231">
        <f t="shared" si="33"/>
        <v>5.3590805412228448</v>
      </c>
      <c r="T99" s="231">
        <f t="shared" si="33"/>
        <v>4.4289921828287966</v>
      </c>
      <c r="U99" s="231">
        <f t="shared" si="33"/>
        <v>4.254193576828972</v>
      </c>
      <c r="V99" s="231">
        <f t="shared" si="33"/>
        <v>4.276380055137083</v>
      </c>
      <c r="W99" s="231">
        <f t="shared" si="33"/>
        <v>4.1536200396191454</v>
      </c>
      <c r="X99" s="231">
        <f t="shared" si="33"/>
        <v>4.3600058975925187</v>
      </c>
      <c r="Y99" s="231">
        <f t="shared" si="33"/>
        <v>3.601744002359037</v>
      </c>
      <c r="Z99" s="231">
        <f t="shared" si="33"/>
        <v>3.3519320453031312</v>
      </c>
      <c r="AA99" s="231">
        <f t="shared" si="33"/>
        <v>3.2371079104263556</v>
      </c>
      <c r="AB99" s="231">
        <f t="shared" si="33"/>
        <v>3.1298268433460694</v>
      </c>
      <c r="AC99" s="231">
        <f t="shared" si="33"/>
        <v>3.4946670976082741</v>
      </c>
      <c r="AD99" s="231">
        <f t="shared" si="33"/>
        <v>3.9231921772730858</v>
      </c>
      <c r="AE99" s="231">
        <f t="shared" si="33"/>
        <v>4.2541512282146288</v>
      </c>
      <c r="AF99" s="231">
        <f t="shared" si="33"/>
        <v>3.9208767080319165</v>
      </c>
      <c r="AG99" s="231">
        <f t="shared" si="33"/>
        <v>4.3015753066325644</v>
      </c>
      <c r="AH99" s="231">
        <f t="shared" si="33"/>
        <v>4.7784451822142051</v>
      </c>
      <c r="AI99" s="231">
        <f t="shared" si="33"/>
        <v>5.36474541323813</v>
      </c>
      <c r="AJ99" s="231">
        <f t="shared" si="33"/>
        <v>6.5253470126735067</v>
      </c>
      <c r="AK99" s="231">
        <f t="shared" si="33"/>
        <v>7.1665660832830422</v>
      </c>
      <c r="AL99" s="231">
        <f t="shared" si="33"/>
        <v>7.7836263859334753</v>
      </c>
      <c r="AM99" s="231">
        <f t="shared" si="33"/>
        <v>8.2070473155730106</v>
      </c>
      <c r="AN99" s="231">
        <f t="shared" si="33"/>
        <v>9.048367637919057</v>
      </c>
      <c r="AO99" s="231">
        <f t="shared" si="33"/>
        <v>8.9504135440531201</v>
      </c>
      <c r="AP99" s="231">
        <f t="shared" si="33"/>
        <v>8.7768360366561975</v>
      </c>
      <c r="AQ99" s="231">
        <f t="shared" si="33"/>
        <v>9.1006685209583758</v>
      </c>
      <c r="AR99" s="231">
        <f t="shared" si="33"/>
        <v>8.3931098423852042</v>
      </c>
      <c r="AS99" s="231">
        <f t="shared" si="33"/>
        <v>8.6882639916680375</v>
      </c>
      <c r="AT99" s="231">
        <f t="shared" si="33"/>
        <v>8.25616784303568</v>
      </c>
      <c r="AU99" s="231">
        <f t="shared" si="33"/>
        <v>7.909515146721505</v>
      </c>
      <c r="AV99" s="231">
        <f t="shared" si="33"/>
        <v>6.1694218144427753</v>
      </c>
      <c r="AW99" s="231">
        <f t="shared" si="33"/>
        <v>7.1927447096841446</v>
      </c>
      <c r="AX99" s="231">
        <f t="shared" si="33"/>
        <v>8.0411707944676749</v>
      </c>
      <c r="AY99" s="232">
        <f t="shared" si="33"/>
        <v>12.773722627737227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C5B8-675C-7249-8AF7-F96CE53831D2}">
  <dimension ref="A2:AZ104"/>
  <sheetViews>
    <sheetView topLeftCell="D1" zoomScale="70" zoomScaleNormal="70" workbookViewId="0">
      <selection activeCell="Z100" sqref="Z100"/>
    </sheetView>
  </sheetViews>
  <sheetFormatPr defaultColWidth="8.77734375" defaultRowHeight="13.2" x14ac:dyDescent="0.25"/>
  <cols>
    <col min="1" max="1" width="14.109375" style="21" customWidth="1"/>
    <col min="3" max="3" width="9.109375" customWidth="1"/>
    <col min="4" max="4" width="33.109375" customWidth="1"/>
  </cols>
  <sheetData>
    <row r="2" spans="1:52" ht="13.8" thickBot="1" x14ac:dyDescent="0.3"/>
    <row r="3" spans="1:52" ht="13.8" thickBot="1" x14ac:dyDescent="0.3">
      <c r="A3" s="28" t="s">
        <v>1</v>
      </c>
      <c r="B3" s="191" t="s">
        <v>2</v>
      </c>
      <c r="C3" s="191" t="s">
        <v>3</v>
      </c>
      <c r="D3" s="152" t="s">
        <v>4</v>
      </c>
      <c r="E3" s="184">
        <v>42005</v>
      </c>
      <c r="F3" s="170">
        <v>42036</v>
      </c>
      <c r="G3" s="170">
        <v>42064</v>
      </c>
      <c r="H3" s="170">
        <v>42095</v>
      </c>
      <c r="I3" s="170">
        <v>42125</v>
      </c>
      <c r="J3" s="170">
        <v>42156</v>
      </c>
      <c r="K3" s="170">
        <v>42186</v>
      </c>
      <c r="L3" s="170">
        <v>42217</v>
      </c>
      <c r="M3" s="170">
        <v>42248</v>
      </c>
      <c r="N3" s="170">
        <v>42278</v>
      </c>
      <c r="O3" s="170">
        <v>42309</v>
      </c>
      <c r="P3" s="170">
        <v>42339</v>
      </c>
      <c r="Q3" s="170">
        <v>42370</v>
      </c>
      <c r="R3" s="170">
        <v>42401</v>
      </c>
      <c r="S3" s="170">
        <v>42430</v>
      </c>
      <c r="T3" s="170">
        <v>42461</v>
      </c>
      <c r="U3" s="170">
        <v>42491</v>
      </c>
      <c r="V3" s="170">
        <v>42522</v>
      </c>
      <c r="W3" s="170">
        <v>42552</v>
      </c>
      <c r="X3" s="170">
        <v>42583</v>
      </c>
      <c r="Y3" s="170">
        <v>42614</v>
      </c>
      <c r="Z3" s="170">
        <v>42644</v>
      </c>
      <c r="AA3" s="170">
        <v>42675</v>
      </c>
      <c r="AB3" s="170">
        <v>42705</v>
      </c>
      <c r="AC3" s="170">
        <v>42736</v>
      </c>
      <c r="AD3" s="170">
        <v>42767</v>
      </c>
      <c r="AE3" s="170">
        <v>42795</v>
      </c>
      <c r="AF3" s="170">
        <v>42826</v>
      </c>
      <c r="AG3" s="170">
        <v>42856</v>
      </c>
      <c r="AH3" s="170">
        <v>42887</v>
      </c>
      <c r="AI3" s="170">
        <v>42917</v>
      </c>
      <c r="AJ3" s="170">
        <v>42948</v>
      </c>
      <c r="AK3" s="170">
        <v>42979</v>
      </c>
      <c r="AL3" s="170">
        <v>43009</v>
      </c>
      <c r="AM3" s="170">
        <v>43040</v>
      </c>
      <c r="AN3" s="170">
        <v>43070</v>
      </c>
      <c r="AO3" s="170">
        <v>43101</v>
      </c>
      <c r="AP3" s="170">
        <v>43132</v>
      </c>
      <c r="AQ3" s="170">
        <v>43160</v>
      </c>
      <c r="AR3" s="170">
        <v>43191</v>
      </c>
      <c r="AS3" s="170">
        <v>43221</v>
      </c>
      <c r="AT3" s="170">
        <v>43252</v>
      </c>
      <c r="AU3" s="170">
        <v>43282</v>
      </c>
      <c r="AV3" s="170">
        <v>43313</v>
      </c>
      <c r="AW3" s="170">
        <v>43344</v>
      </c>
      <c r="AX3" s="170">
        <v>43374</v>
      </c>
      <c r="AY3" s="170">
        <v>43405</v>
      </c>
      <c r="AZ3" s="27">
        <v>43435</v>
      </c>
    </row>
    <row r="4" spans="1:52" x14ac:dyDescent="0.25">
      <c r="A4" s="26">
        <v>42005</v>
      </c>
      <c r="B4" s="189" t="s">
        <v>5</v>
      </c>
      <c r="C4" s="190">
        <v>2400</v>
      </c>
      <c r="D4" s="192" t="s">
        <v>6</v>
      </c>
      <c r="E4" s="199">
        <v>45</v>
      </c>
      <c r="F4" s="200">
        <v>3</v>
      </c>
      <c r="G4" s="200">
        <v>5</v>
      </c>
      <c r="H4" s="200">
        <v>3</v>
      </c>
      <c r="I4" s="200">
        <v>2</v>
      </c>
      <c r="J4" s="200">
        <v>6</v>
      </c>
      <c r="K4" s="200">
        <v>3</v>
      </c>
      <c r="L4" s="200">
        <v>2</v>
      </c>
      <c r="M4" s="200">
        <v>1</v>
      </c>
      <c r="N4" s="200">
        <v>0</v>
      </c>
      <c r="O4" s="200">
        <v>1</v>
      </c>
      <c r="P4" s="200">
        <v>0</v>
      </c>
      <c r="Q4" s="201">
        <v>-71</v>
      </c>
      <c r="R4" s="202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3"/>
      <c r="AZ4" s="1"/>
    </row>
    <row r="5" spans="1:52" x14ac:dyDescent="0.25">
      <c r="A5" s="23">
        <v>42005</v>
      </c>
      <c r="B5" s="22" t="s">
        <v>5</v>
      </c>
      <c r="C5" s="19">
        <v>2400</v>
      </c>
      <c r="D5" s="193" t="s">
        <v>7</v>
      </c>
      <c r="E5" s="204">
        <v>0</v>
      </c>
      <c r="F5" s="19">
        <v>5</v>
      </c>
      <c r="G5" s="19">
        <v>7</v>
      </c>
      <c r="H5" s="19">
        <v>6</v>
      </c>
      <c r="I5" s="19">
        <v>6</v>
      </c>
      <c r="J5" s="19">
        <v>3</v>
      </c>
      <c r="K5" s="19">
        <v>5</v>
      </c>
      <c r="L5" s="19">
        <v>8</v>
      </c>
      <c r="M5" s="19">
        <v>12</v>
      </c>
      <c r="N5" s="19">
        <v>5</v>
      </c>
      <c r="O5" s="19">
        <v>6</v>
      </c>
      <c r="P5" s="19">
        <v>4</v>
      </c>
      <c r="Q5" s="194">
        <f>SUM(E5:P5)</f>
        <v>67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05"/>
      <c r="AZ5" s="1"/>
    </row>
    <row r="6" spans="1:52" x14ac:dyDescent="0.25">
      <c r="A6" s="25"/>
      <c r="B6" s="22"/>
      <c r="C6" s="19"/>
      <c r="D6" s="193"/>
      <c r="E6" s="206">
        <f t="shared" ref="E6:P6" si="0">(E5*-2)</f>
        <v>0</v>
      </c>
      <c r="F6" s="196">
        <f t="shared" si="0"/>
        <v>-10</v>
      </c>
      <c r="G6" s="196">
        <f t="shared" si="0"/>
        <v>-14</v>
      </c>
      <c r="H6" s="196">
        <f t="shared" si="0"/>
        <v>-12</v>
      </c>
      <c r="I6" s="196">
        <f t="shared" si="0"/>
        <v>-12</v>
      </c>
      <c r="J6" s="196">
        <f t="shared" si="0"/>
        <v>-6</v>
      </c>
      <c r="K6" s="196">
        <f t="shared" si="0"/>
        <v>-10</v>
      </c>
      <c r="L6" s="196">
        <f t="shared" si="0"/>
        <v>-16</v>
      </c>
      <c r="M6" s="196">
        <f t="shared" si="0"/>
        <v>-24</v>
      </c>
      <c r="N6" s="196">
        <f t="shared" si="0"/>
        <v>-10</v>
      </c>
      <c r="O6" s="196">
        <f t="shared" si="0"/>
        <v>-12</v>
      </c>
      <c r="P6" s="196">
        <f t="shared" si="0"/>
        <v>-8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05"/>
      <c r="AZ6" s="1"/>
    </row>
    <row r="7" spans="1:52" x14ac:dyDescent="0.25">
      <c r="A7" s="24">
        <v>42036</v>
      </c>
      <c r="B7" s="22" t="s">
        <v>8</v>
      </c>
      <c r="C7" s="19">
        <v>3780</v>
      </c>
      <c r="D7" s="193" t="s">
        <v>6</v>
      </c>
      <c r="E7" s="207">
        <f>SUM(E4:E6)</f>
        <v>45</v>
      </c>
      <c r="F7" s="19">
        <v>38</v>
      </c>
      <c r="G7" s="19">
        <v>6</v>
      </c>
      <c r="H7" s="19">
        <v>8</v>
      </c>
      <c r="I7" s="19">
        <v>2</v>
      </c>
      <c r="J7" s="19">
        <v>3</v>
      </c>
      <c r="K7" s="19">
        <v>4</v>
      </c>
      <c r="L7" s="19">
        <v>1</v>
      </c>
      <c r="M7" s="19">
        <v>5</v>
      </c>
      <c r="N7" s="19">
        <v>0</v>
      </c>
      <c r="O7" s="19">
        <v>0</v>
      </c>
      <c r="P7" s="19">
        <v>1</v>
      </c>
      <c r="Q7" s="19">
        <v>0</v>
      </c>
      <c r="R7" s="194">
        <v>-68</v>
      </c>
      <c r="S7" s="195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05"/>
      <c r="AZ7" s="1"/>
    </row>
    <row r="8" spans="1:52" x14ac:dyDescent="0.25">
      <c r="A8" s="23">
        <v>42036</v>
      </c>
      <c r="B8" s="22" t="s">
        <v>8</v>
      </c>
      <c r="C8" s="19">
        <v>3780</v>
      </c>
      <c r="D8" s="193" t="s">
        <v>7</v>
      </c>
      <c r="E8" s="204"/>
      <c r="F8" s="19">
        <v>0</v>
      </c>
      <c r="G8" s="19">
        <v>4</v>
      </c>
      <c r="H8" s="19">
        <v>8</v>
      </c>
      <c r="I8" s="19">
        <v>3</v>
      </c>
      <c r="J8" s="19">
        <v>5</v>
      </c>
      <c r="K8" s="19">
        <v>5</v>
      </c>
      <c r="L8" s="19">
        <v>7</v>
      </c>
      <c r="M8" s="19">
        <v>8</v>
      </c>
      <c r="N8" s="19">
        <v>10</v>
      </c>
      <c r="O8" s="19">
        <v>6</v>
      </c>
      <c r="P8" s="19">
        <v>7</v>
      </c>
      <c r="Q8" s="19">
        <v>3</v>
      </c>
      <c r="R8" s="194">
        <f>SUM(F8:Q8)</f>
        <v>66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05"/>
      <c r="AZ8" s="1"/>
    </row>
    <row r="9" spans="1:52" x14ac:dyDescent="0.25">
      <c r="A9" s="25"/>
      <c r="B9" s="22"/>
      <c r="C9" s="19"/>
      <c r="D9" s="193"/>
      <c r="E9" s="204"/>
      <c r="F9" s="196">
        <f t="shared" ref="F9:Q9" si="1">(F8*-2)</f>
        <v>0</v>
      </c>
      <c r="G9" s="196">
        <f t="shared" si="1"/>
        <v>-8</v>
      </c>
      <c r="H9" s="196">
        <f t="shared" si="1"/>
        <v>-16</v>
      </c>
      <c r="I9" s="196">
        <f t="shared" si="1"/>
        <v>-6</v>
      </c>
      <c r="J9" s="196">
        <f t="shared" si="1"/>
        <v>-10</v>
      </c>
      <c r="K9" s="196">
        <f t="shared" si="1"/>
        <v>-10</v>
      </c>
      <c r="L9" s="196">
        <f t="shared" si="1"/>
        <v>-14</v>
      </c>
      <c r="M9" s="196">
        <f t="shared" si="1"/>
        <v>-16</v>
      </c>
      <c r="N9" s="196">
        <f t="shared" si="1"/>
        <v>-20</v>
      </c>
      <c r="O9" s="196">
        <f t="shared" si="1"/>
        <v>-12</v>
      </c>
      <c r="P9" s="196">
        <f t="shared" si="1"/>
        <v>-14</v>
      </c>
      <c r="Q9" s="196">
        <f t="shared" si="1"/>
        <v>-6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05"/>
      <c r="AZ9" s="1"/>
    </row>
    <row r="10" spans="1:52" x14ac:dyDescent="0.25">
      <c r="A10" s="24">
        <v>42064</v>
      </c>
      <c r="B10" s="22" t="s">
        <v>7</v>
      </c>
      <c r="C10" s="19">
        <v>4593</v>
      </c>
      <c r="D10" s="193" t="s">
        <v>6</v>
      </c>
      <c r="E10" s="204"/>
      <c r="F10" s="197">
        <f>SUM(F4:F9)+E7</f>
        <v>81</v>
      </c>
      <c r="G10" s="19">
        <v>41</v>
      </c>
      <c r="H10" s="19">
        <v>5</v>
      </c>
      <c r="I10" s="19">
        <v>3</v>
      </c>
      <c r="J10" s="19">
        <v>4</v>
      </c>
      <c r="K10" s="19">
        <v>3</v>
      </c>
      <c r="L10" s="19">
        <v>2</v>
      </c>
      <c r="M10" s="19">
        <v>2</v>
      </c>
      <c r="N10" s="19">
        <v>1</v>
      </c>
      <c r="O10" s="19">
        <v>1</v>
      </c>
      <c r="P10" s="19">
        <v>0</v>
      </c>
      <c r="Q10" s="19">
        <v>1</v>
      </c>
      <c r="R10" s="19">
        <v>0</v>
      </c>
      <c r="S10" s="194">
        <v>-63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05"/>
      <c r="AZ10" s="1"/>
    </row>
    <row r="11" spans="1:52" x14ac:dyDescent="0.25">
      <c r="A11" s="23">
        <v>42064</v>
      </c>
      <c r="B11" s="22" t="s">
        <v>7</v>
      </c>
      <c r="C11" s="19">
        <v>4593</v>
      </c>
      <c r="D11" s="193" t="s">
        <v>7</v>
      </c>
      <c r="E11" s="204"/>
      <c r="F11" s="19"/>
      <c r="G11" s="19">
        <v>0</v>
      </c>
      <c r="H11" s="19">
        <v>6</v>
      </c>
      <c r="I11" s="19">
        <v>8</v>
      </c>
      <c r="J11" s="19">
        <v>7</v>
      </c>
      <c r="K11" s="19">
        <v>4</v>
      </c>
      <c r="L11" s="19">
        <v>5</v>
      </c>
      <c r="M11" s="19">
        <v>3</v>
      </c>
      <c r="N11" s="19">
        <v>10</v>
      </c>
      <c r="O11" s="19">
        <v>12</v>
      </c>
      <c r="P11" s="19">
        <v>5</v>
      </c>
      <c r="Q11" s="19">
        <v>2</v>
      </c>
      <c r="R11" s="19">
        <v>0</v>
      </c>
      <c r="S11" s="194">
        <f>SUM(G11:R11)</f>
        <v>62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05"/>
      <c r="AZ11" s="1"/>
    </row>
    <row r="12" spans="1:52" x14ac:dyDescent="0.25">
      <c r="A12" s="25"/>
      <c r="B12" s="22"/>
      <c r="C12" s="19"/>
      <c r="D12" s="193"/>
      <c r="E12" s="204"/>
      <c r="F12" s="19"/>
      <c r="G12" s="196">
        <f t="shared" ref="G12:R12" si="2">(G11*-2)</f>
        <v>0</v>
      </c>
      <c r="H12" s="196">
        <f t="shared" si="2"/>
        <v>-12</v>
      </c>
      <c r="I12" s="196">
        <f t="shared" si="2"/>
        <v>-16</v>
      </c>
      <c r="J12" s="196">
        <f t="shared" si="2"/>
        <v>-14</v>
      </c>
      <c r="K12" s="196">
        <f t="shared" si="2"/>
        <v>-8</v>
      </c>
      <c r="L12" s="196">
        <f t="shared" si="2"/>
        <v>-10</v>
      </c>
      <c r="M12" s="196">
        <f t="shared" si="2"/>
        <v>-6</v>
      </c>
      <c r="N12" s="196">
        <f t="shared" si="2"/>
        <v>-20</v>
      </c>
      <c r="O12" s="196">
        <f t="shared" si="2"/>
        <v>-24</v>
      </c>
      <c r="P12" s="196">
        <f t="shared" si="2"/>
        <v>-10</v>
      </c>
      <c r="Q12" s="196">
        <f t="shared" si="2"/>
        <v>-4</v>
      </c>
      <c r="R12" s="196">
        <f t="shared" si="2"/>
        <v>0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05"/>
      <c r="AZ12" s="1"/>
    </row>
    <row r="13" spans="1:52" x14ac:dyDescent="0.25">
      <c r="A13" s="24">
        <v>42125</v>
      </c>
      <c r="B13" s="22" t="s">
        <v>9</v>
      </c>
      <c r="C13" s="19">
        <v>3690</v>
      </c>
      <c r="D13" s="193" t="s">
        <v>6</v>
      </c>
      <c r="E13" s="204"/>
      <c r="F13" s="19"/>
      <c r="G13" s="197">
        <f>SUM(G4:G12)+F10</f>
        <v>122</v>
      </c>
      <c r="H13" s="197">
        <f>SUM(H4:H12)+G13</f>
        <v>118</v>
      </c>
      <c r="I13" s="19">
        <v>33</v>
      </c>
      <c r="J13" s="19">
        <v>4</v>
      </c>
      <c r="K13" s="19">
        <v>2</v>
      </c>
      <c r="L13" s="19">
        <v>5</v>
      </c>
      <c r="M13" s="19">
        <v>2</v>
      </c>
      <c r="N13" s="19">
        <v>2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0</v>
      </c>
      <c r="U13" s="194">
        <v>-53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05"/>
      <c r="AZ13" s="1"/>
    </row>
    <row r="14" spans="1:52" x14ac:dyDescent="0.25">
      <c r="A14" s="23">
        <v>42125</v>
      </c>
      <c r="B14" s="22" t="s">
        <v>9</v>
      </c>
      <c r="C14" s="19">
        <v>3690</v>
      </c>
      <c r="D14" s="193" t="s">
        <v>7</v>
      </c>
      <c r="E14" s="204"/>
      <c r="F14" s="19"/>
      <c r="G14" s="19"/>
      <c r="H14" s="19"/>
      <c r="I14" s="19">
        <v>0</v>
      </c>
      <c r="J14" s="19">
        <v>8</v>
      </c>
      <c r="K14" s="19">
        <v>4</v>
      </c>
      <c r="L14" s="19">
        <v>4</v>
      </c>
      <c r="M14" s="19">
        <v>5</v>
      </c>
      <c r="N14" s="19">
        <v>3</v>
      </c>
      <c r="O14" s="19">
        <v>7</v>
      </c>
      <c r="P14" s="19">
        <v>8</v>
      </c>
      <c r="Q14" s="19">
        <v>7</v>
      </c>
      <c r="R14" s="19">
        <v>4</v>
      </c>
      <c r="S14" s="19">
        <v>2</v>
      </c>
      <c r="T14" s="19">
        <v>1</v>
      </c>
      <c r="U14" s="194">
        <f>SUM(I14:T14)</f>
        <v>53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05"/>
      <c r="AZ14" s="1"/>
    </row>
    <row r="15" spans="1:52" x14ac:dyDescent="0.25">
      <c r="A15" s="25"/>
      <c r="B15" s="22"/>
      <c r="C15" s="19"/>
      <c r="D15" s="193"/>
      <c r="E15" s="204"/>
      <c r="F15" s="19"/>
      <c r="G15" s="19"/>
      <c r="H15" s="19"/>
      <c r="I15" s="196">
        <f t="shared" ref="I15:T15" si="3">(I14*-2)</f>
        <v>0</v>
      </c>
      <c r="J15" s="196">
        <f t="shared" si="3"/>
        <v>-16</v>
      </c>
      <c r="K15" s="196">
        <f t="shared" si="3"/>
        <v>-8</v>
      </c>
      <c r="L15" s="196">
        <f t="shared" si="3"/>
        <v>-8</v>
      </c>
      <c r="M15" s="196">
        <f t="shared" si="3"/>
        <v>-10</v>
      </c>
      <c r="N15" s="196">
        <f t="shared" si="3"/>
        <v>-6</v>
      </c>
      <c r="O15" s="196">
        <f t="shared" si="3"/>
        <v>-14</v>
      </c>
      <c r="P15" s="196">
        <f t="shared" si="3"/>
        <v>-16</v>
      </c>
      <c r="Q15" s="196">
        <f t="shared" si="3"/>
        <v>-14</v>
      </c>
      <c r="R15" s="196">
        <f t="shared" si="3"/>
        <v>-8</v>
      </c>
      <c r="S15" s="196">
        <f t="shared" si="3"/>
        <v>-4</v>
      </c>
      <c r="T15" s="196">
        <f t="shared" si="3"/>
        <v>-2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05"/>
      <c r="AZ15" s="1"/>
    </row>
    <row r="16" spans="1:52" x14ac:dyDescent="0.25">
      <c r="A16" s="24">
        <v>42156</v>
      </c>
      <c r="B16" s="22" t="s">
        <v>10</v>
      </c>
      <c r="C16" s="19">
        <v>4400</v>
      </c>
      <c r="D16" s="193" t="s">
        <v>6</v>
      </c>
      <c r="E16" s="204"/>
      <c r="F16" s="19"/>
      <c r="G16" s="19"/>
      <c r="H16" s="19"/>
      <c r="I16" s="197">
        <f>SUM(I4:I15)+H13</f>
        <v>141</v>
      </c>
      <c r="J16" s="19">
        <v>55</v>
      </c>
      <c r="K16" s="19">
        <v>3</v>
      </c>
      <c r="L16" s="19">
        <v>5</v>
      </c>
      <c r="M16" s="19">
        <v>3</v>
      </c>
      <c r="N16" s="19">
        <v>2</v>
      </c>
      <c r="O16" s="19">
        <v>6</v>
      </c>
      <c r="P16" s="19">
        <v>3</v>
      </c>
      <c r="Q16" s="19">
        <v>2</v>
      </c>
      <c r="R16" s="19">
        <v>1</v>
      </c>
      <c r="S16" s="19">
        <v>0</v>
      </c>
      <c r="T16" s="19">
        <v>1</v>
      </c>
      <c r="U16" s="19">
        <v>0</v>
      </c>
      <c r="V16" s="194">
        <v>-81</v>
      </c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05"/>
      <c r="AZ16" s="1"/>
    </row>
    <row r="17" spans="1:52" x14ac:dyDescent="0.25">
      <c r="A17" s="23">
        <v>42156</v>
      </c>
      <c r="B17" s="22" t="s">
        <v>10</v>
      </c>
      <c r="C17" s="19">
        <v>4400</v>
      </c>
      <c r="D17" s="193" t="s">
        <v>7</v>
      </c>
      <c r="E17" s="204"/>
      <c r="F17" s="19"/>
      <c r="G17" s="19"/>
      <c r="H17" s="19"/>
      <c r="I17" s="19"/>
      <c r="J17" s="19">
        <v>0</v>
      </c>
      <c r="K17" s="19">
        <v>8</v>
      </c>
      <c r="L17" s="19">
        <v>7</v>
      </c>
      <c r="M17" s="19">
        <v>9</v>
      </c>
      <c r="N17" s="19">
        <v>6</v>
      </c>
      <c r="O17" s="19">
        <v>5</v>
      </c>
      <c r="P17" s="19">
        <v>5</v>
      </c>
      <c r="Q17" s="19">
        <v>8</v>
      </c>
      <c r="R17" s="19">
        <v>12</v>
      </c>
      <c r="S17" s="19">
        <v>5</v>
      </c>
      <c r="T17" s="19">
        <v>6</v>
      </c>
      <c r="U17" s="19">
        <v>4</v>
      </c>
      <c r="V17" s="194">
        <f>SUM(J17:U17)</f>
        <v>75</v>
      </c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05"/>
      <c r="AZ17" s="1"/>
    </row>
    <row r="18" spans="1:52" x14ac:dyDescent="0.25">
      <c r="A18" s="25"/>
      <c r="B18" s="22"/>
      <c r="C18" s="19"/>
      <c r="D18" s="193"/>
      <c r="E18" s="204"/>
      <c r="F18" s="19"/>
      <c r="G18" s="19"/>
      <c r="H18" s="19"/>
      <c r="I18" s="19"/>
      <c r="J18" s="196">
        <f t="shared" ref="J18:U18" si="4">(J17*-2)</f>
        <v>0</v>
      </c>
      <c r="K18" s="196">
        <f t="shared" si="4"/>
        <v>-16</v>
      </c>
      <c r="L18" s="196">
        <f t="shared" si="4"/>
        <v>-14</v>
      </c>
      <c r="M18" s="196">
        <f t="shared" si="4"/>
        <v>-18</v>
      </c>
      <c r="N18" s="196">
        <f t="shared" si="4"/>
        <v>-12</v>
      </c>
      <c r="O18" s="196">
        <f t="shared" si="4"/>
        <v>-10</v>
      </c>
      <c r="P18" s="196">
        <f t="shared" si="4"/>
        <v>-10</v>
      </c>
      <c r="Q18" s="196">
        <f t="shared" si="4"/>
        <v>-16</v>
      </c>
      <c r="R18" s="196">
        <f t="shared" si="4"/>
        <v>-24</v>
      </c>
      <c r="S18" s="196">
        <f t="shared" si="4"/>
        <v>-10</v>
      </c>
      <c r="T18" s="196">
        <f t="shared" si="4"/>
        <v>-12</v>
      </c>
      <c r="U18" s="196">
        <f t="shared" si="4"/>
        <v>-8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05"/>
      <c r="AZ18" s="1"/>
    </row>
    <row r="19" spans="1:52" x14ac:dyDescent="0.25">
      <c r="A19" s="24">
        <v>42186</v>
      </c>
      <c r="B19" s="22" t="s">
        <v>11</v>
      </c>
      <c r="C19" s="19">
        <v>4450</v>
      </c>
      <c r="D19" s="193" t="s">
        <v>6</v>
      </c>
      <c r="E19" s="204"/>
      <c r="F19" s="19"/>
      <c r="G19" s="19"/>
      <c r="H19" s="19"/>
      <c r="I19" s="19"/>
      <c r="J19" s="197">
        <f>SUM(J4:J18)+I16</f>
        <v>190</v>
      </c>
      <c r="K19" s="19">
        <v>56</v>
      </c>
      <c r="L19" s="19">
        <v>6</v>
      </c>
      <c r="M19" s="19">
        <v>8</v>
      </c>
      <c r="N19" s="19">
        <v>2</v>
      </c>
      <c r="O19" s="19">
        <v>3</v>
      </c>
      <c r="P19" s="19">
        <v>4</v>
      </c>
      <c r="Q19" s="19">
        <v>1</v>
      </c>
      <c r="R19" s="19">
        <v>5</v>
      </c>
      <c r="S19" s="19">
        <v>0</v>
      </c>
      <c r="T19" s="19">
        <v>0</v>
      </c>
      <c r="U19" s="19">
        <v>1</v>
      </c>
      <c r="V19" s="19">
        <v>0</v>
      </c>
      <c r="W19" s="194">
        <v>-86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05"/>
      <c r="AZ19" s="1"/>
    </row>
    <row r="20" spans="1:52" x14ac:dyDescent="0.25">
      <c r="A20" s="23">
        <v>42186</v>
      </c>
      <c r="B20" s="22" t="s">
        <v>11</v>
      </c>
      <c r="C20" s="19">
        <v>4450</v>
      </c>
      <c r="D20" s="193" t="s">
        <v>7</v>
      </c>
      <c r="E20" s="204"/>
      <c r="F20" s="19"/>
      <c r="G20" s="19"/>
      <c r="H20" s="19"/>
      <c r="I20" s="19"/>
      <c r="J20" s="19"/>
      <c r="K20" s="19">
        <v>0</v>
      </c>
      <c r="L20" s="19">
        <v>10</v>
      </c>
      <c r="M20" s="19">
        <v>8</v>
      </c>
      <c r="N20" s="19">
        <v>13</v>
      </c>
      <c r="O20" s="19">
        <v>5</v>
      </c>
      <c r="P20" s="19">
        <v>5</v>
      </c>
      <c r="Q20" s="19">
        <v>9</v>
      </c>
      <c r="R20" s="19">
        <v>8</v>
      </c>
      <c r="S20" s="19">
        <v>10</v>
      </c>
      <c r="T20" s="19">
        <v>6</v>
      </c>
      <c r="U20" s="19">
        <v>7</v>
      </c>
      <c r="V20" s="19">
        <v>3</v>
      </c>
      <c r="W20" s="194">
        <f>SUM(K20:V20)</f>
        <v>84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05"/>
      <c r="AZ20" s="1"/>
    </row>
    <row r="21" spans="1:52" x14ac:dyDescent="0.25">
      <c r="A21" s="25"/>
      <c r="B21" s="22"/>
      <c r="C21" s="19"/>
      <c r="D21" s="193"/>
      <c r="E21" s="204"/>
      <c r="F21" s="19"/>
      <c r="G21" s="19"/>
      <c r="H21" s="19"/>
      <c r="I21" s="19"/>
      <c r="J21" s="19"/>
      <c r="K21" s="196">
        <f t="shared" ref="K21:V21" si="5">(K20*-2)</f>
        <v>0</v>
      </c>
      <c r="L21" s="196">
        <f t="shared" si="5"/>
        <v>-20</v>
      </c>
      <c r="M21" s="196">
        <f t="shared" si="5"/>
        <v>-16</v>
      </c>
      <c r="N21" s="196">
        <f t="shared" si="5"/>
        <v>-26</v>
      </c>
      <c r="O21" s="196">
        <f t="shared" si="5"/>
        <v>-10</v>
      </c>
      <c r="P21" s="196">
        <f t="shared" si="5"/>
        <v>-10</v>
      </c>
      <c r="Q21" s="196">
        <f t="shared" si="5"/>
        <v>-18</v>
      </c>
      <c r="R21" s="196">
        <f t="shared" si="5"/>
        <v>-16</v>
      </c>
      <c r="S21" s="196">
        <f t="shared" si="5"/>
        <v>-20</v>
      </c>
      <c r="T21" s="196">
        <f t="shared" si="5"/>
        <v>-12</v>
      </c>
      <c r="U21" s="196">
        <f t="shared" si="5"/>
        <v>-14</v>
      </c>
      <c r="V21" s="196">
        <f t="shared" si="5"/>
        <v>-6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05"/>
      <c r="AZ21" s="1"/>
    </row>
    <row r="22" spans="1:52" x14ac:dyDescent="0.25">
      <c r="A22" s="24">
        <v>42217</v>
      </c>
      <c r="B22" s="22" t="s">
        <v>12</v>
      </c>
      <c r="C22" s="19">
        <v>4925</v>
      </c>
      <c r="D22" s="193" t="s">
        <v>6</v>
      </c>
      <c r="E22" s="204"/>
      <c r="F22" s="19"/>
      <c r="G22" s="19"/>
      <c r="H22" s="19"/>
      <c r="I22" s="19"/>
      <c r="J22" s="19"/>
      <c r="K22" s="197">
        <f>SUM(K4:K21)+J19</f>
        <v>235</v>
      </c>
      <c r="L22" s="19">
        <v>44</v>
      </c>
      <c r="M22" s="19">
        <v>4</v>
      </c>
      <c r="N22" s="19">
        <v>3</v>
      </c>
      <c r="O22" s="19">
        <v>5</v>
      </c>
      <c r="P22" s="19">
        <v>2</v>
      </c>
      <c r="Q22" s="19">
        <v>3</v>
      </c>
      <c r="R22" s="19">
        <v>2</v>
      </c>
      <c r="S22" s="19">
        <v>1</v>
      </c>
      <c r="T22" s="19">
        <v>1</v>
      </c>
      <c r="U22" s="19">
        <v>0</v>
      </c>
      <c r="V22" s="19">
        <v>1</v>
      </c>
      <c r="W22" s="19">
        <v>0</v>
      </c>
      <c r="X22" s="194">
        <v>-66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05"/>
      <c r="AZ22" s="1"/>
    </row>
    <row r="23" spans="1:52" x14ac:dyDescent="0.25">
      <c r="A23" s="23">
        <v>42217</v>
      </c>
      <c r="B23" s="22" t="s">
        <v>12</v>
      </c>
      <c r="C23" s="19">
        <v>4925</v>
      </c>
      <c r="D23" s="193" t="s">
        <v>7</v>
      </c>
      <c r="E23" s="204"/>
      <c r="F23" s="19"/>
      <c r="G23" s="19"/>
      <c r="H23" s="19"/>
      <c r="I23" s="19"/>
      <c r="J23" s="19"/>
      <c r="K23" s="19"/>
      <c r="L23" s="19">
        <v>0</v>
      </c>
      <c r="M23" s="19">
        <v>6</v>
      </c>
      <c r="N23" s="19">
        <v>8</v>
      </c>
      <c r="O23" s="19">
        <v>7</v>
      </c>
      <c r="P23" s="19">
        <v>4</v>
      </c>
      <c r="Q23" s="19">
        <v>7</v>
      </c>
      <c r="R23" s="19">
        <v>5</v>
      </c>
      <c r="S23" s="19">
        <v>10</v>
      </c>
      <c r="T23" s="19">
        <v>11</v>
      </c>
      <c r="U23" s="19">
        <v>5</v>
      </c>
      <c r="V23" s="19">
        <v>2</v>
      </c>
      <c r="W23" s="19">
        <v>0</v>
      </c>
      <c r="X23" s="194">
        <f>SUM(L23:W23)</f>
        <v>65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05"/>
      <c r="AZ23" s="1"/>
    </row>
    <row r="24" spans="1:52" x14ac:dyDescent="0.25">
      <c r="A24" s="25"/>
      <c r="B24" s="22"/>
      <c r="C24" s="19"/>
      <c r="D24" s="193"/>
      <c r="E24" s="204"/>
      <c r="F24" s="19"/>
      <c r="G24" s="19"/>
      <c r="H24" s="19"/>
      <c r="I24" s="19"/>
      <c r="J24" s="19"/>
      <c r="K24" s="19"/>
      <c r="L24" s="196">
        <f t="shared" ref="L24:W24" si="6">(L23*-2)</f>
        <v>0</v>
      </c>
      <c r="M24" s="196">
        <f t="shared" si="6"/>
        <v>-12</v>
      </c>
      <c r="N24" s="196">
        <f t="shared" si="6"/>
        <v>-16</v>
      </c>
      <c r="O24" s="196">
        <f t="shared" si="6"/>
        <v>-14</v>
      </c>
      <c r="P24" s="196">
        <f t="shared" si="6"/>
        <v>-8</v>
      </c>
      <c r="Q24" s="196">
        <f t="shared" si="6"/>
        <v>-14</v>
      </c>
      <c r="R24" s="196">
        <f t="shared" si="6"/>
        <v>-10</v>
      </c>
      <c r="S24" s="196">
        <f t="shared" si="6"/>
        <v>-20</v>
      </c>
      <c r="T24" s="196">
        <f t="shared" si="6"/>
        <v>-22</v>
      </c>
      <c r="U24" s="196">
        <f t="shared" si="6"/>
        <v>-10</v>
      </c>
      <c r="V24" s="196">
        <f t="shared" si="6"/>
        <v>-4</v>
      </c>
      <c r="W24" s="196">
        <f t="shared" si="6"/>
        <v>0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05"/>
      <c r="AZ24" s="1"/>
    </row>
    <row r="25" spans="1:52" x14ac:dyDescent="0.25">
      <c r="A25" s="24">
        <v>42278</v>
      </c>
      <c r="B25" s="22" t="s">
        <v>13</v>
      </c>
      <c r="C25" s="19">
        <v>5645</v>
      </c>
      <c r="D25" s="193" t="s">
        <v>6</v>
      </c>
      <c r="E25" s="204"/>
      <c r="F25" s="19"/>
      <c r="G25" s="19"/>
      <c r="H25" s="19"/>
      <c r="I25" s="19"/>
      <c r="J25" s="19"/>
      <c r="K25" s="19"/>
      <c r="L25" s="197">
        <f>SUM(L4:L24)+K22</f>
        <v>259</v>
      </c>
      <c r="M25" s="197">
        <f>SUM(M4:M24)+L25</f>
        <v>233</v>
      </c>
      <c r="N25" s="19">
        <v>43</v>
      </c>
      <c r="O25" s="19">
        <v>2</v>
      </c>
      <c r="P25" s="19">
        <v>4</v>
      </c>
      <c r="Q25" s="19">
        <v>3</v>
      </c>
      <c r="R25" s="19">
        <v>4</v>
      </c>
      <c r="S25" s="19">
        <v>2</v>
      </c>
      <c r="T25" s="19">
        <v>1</v>
      </c>
      <c r="U25" s="19">
        <v>3</v>
      </c>
      <c r="V25" s="19">
        <v>0</v>
      </c>
      <c r="W25" s="19">
        <v>0</v>
      </c>
      <c r="X25" s="19">
        <v>1</v>
      </c>
      <c r="Y25" s="19">
        <v>0</v>
      </c>
      <c r="Z25" s="194">
        <v>-63</v>
      </c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05"/>
      <c r="AZ25" s="1"/>
    </row>
    <row r="26" spans="1:52" x14ac:dyDescent="0.25">
      <c r="A26" s="23">
        <v>42278</v>
      </c>
      <c r="B26" s="22" t="s">
        <v>13</v>
      </c>
      <c r="C26" s="19">
        <v>5645</v>
      </c>
      <c r="D26" s="193" t="s">
        <v>7</v>
      </c>
      <c r="E26" s="204"/>
      <c r="F26" s="19"/>
      <c r="G26" s="19"/>
      <c r="H26" s="19"/>
      <c r="I26" s="19"/>
      <c r="J26" s="19"/>
      <c r="K26" s="19"/>
      <c r="L26" s="19"/>
      <c r="M26" s="19"/>
      <c r="N26" s="19">
        <v>0</v>
      </c>
      <c r="O26" s="19">
        <v>8</v>
      </c>
      <c r="P26" s="19">
        <v>6</v>
      </c>
      <c r="Q26" s="19">
        <v>4</v>
      </c>
      <c r="R26" s="19">
        <v>5</v>
      </c>
      <c r="S26" s="19">
        <v>5</v>
      </c>
      <c r="T26" s="19">
        <v>7</v>
      </c>
      <c r="U26" s="19">
        <v>8</v>
      </c>
      <c r="V26" s="19">
        <v>7</v>
      </c>
      <c r="W26" s="19">
        <v>6</v>
      </c>
      <c r="X26" s="19">
        <v>3</v>
      </c>
      <c r="Y26" s="19">
        <v>2</v>
      </c>
      <c r="Z26" s="194">
        <f>SUM(N26:Y26)</f>
        <v>61</v>
      </c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05"/>
      <c r="AZ26" s="1"/>
    </row>
    <row r="27" spans="1:52" x14ac:dyDescent="0.25">
      <c r="A27" s="25"/>
      <c r="B27" s="22"/>
      <c r="C27" s="19"/>
      <c r="D27" s="193"/>
      <c r="E27" s="204"/>
      <c r="F27" s="19"/>
      <c r="G27" s="19"/>
      <c r="H27" s="19"/>
      <c r="I27" s="19"/>
      <c r="J27" s="19"/>
      <c r="K27" s="19"/>
      <c r="L27" s="19"/>
      <c r="M27" s="19"/>
      <c r="N27" s="196">
        <f t="shared" ref="N27:Y27" si="7">(N26*-2)</f>
        <v>0</v>
      </c>
      <c r="O27" s="196">
        <f t="shared" si="7"/>
        <v>-16</v>
      </c>
      <c r="P27" s="196">
        <f t="shared" si="7"/>
        <v>-12</v>
      </c>
      <c r="Q27" s="196">
        <f t="shared" si="7"/>
        <v>-8</v>
      </c>
      <c r="R27" s="196">
        <f t="shared" si="7"/>
        <v>-10</v>
      </c>
      <c r="S27" s="196">
        <f t="shared" si="7"/>
        <v>-10</v>
      </c>
      <c r="T27" s="196">
        <f t="shared" si="7"/>
        <v>-14</v>
      </c>
      <c r="U27" s="196">
        <f t="shared" si="7"/>
        <v>-16</v>
      </c>
      <c r="V27" s="196">
        <f t="shared" si="7"/>
        <v>-14</v>
      </c>
      <c r="W27" s="196">
        <f t="shared" si="7"/>
        <v>-12</v>
      </c>
      <c r="X27" s="196">
        <f t="shared" si="7"/>
        <v>-6</v>
      </c>
      <c r="Y27" s="196">
        <f t="shared" si="7"/>
        <v>-4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05"/>
      <c r="AZ27" s="1"/>
    </row>
    <row r="28" spans="1:52" x14ac:dyDescent="0.25">
      <c r="A28" s="24">
        <v>42309</v>
      </c>
      <c r="B28" s="22" t="s">
        <v>15</v>
      </c>
      <c r="C28" s="19">
        <v>6323</v>
      </c>
      <c r="D28" s="193" t="s">
        <v>6</v>
      </c>
      <c r="E28" s="204"/>
      <c r="F28" s="19"/>
      <c r="G28" s="19"/>
      <c r="H28" s="19"/>
      <c r="I28" s="19"/>
      <c r="J28" s="19"/>
      <c r="K28" s="19"/>
      <c r="L28" s="19"/>
      <c r="M28" s="19"/>
      <c r="N28" s="197">
        <f>SUM(N4:N27)+M25</f>
        <v>231</v>
      </c>
      <c r="O28" s="19">
        <v>38</v>
      </c>
      <c r="P28" s="19">
        <v>4</v>
      </c>
      <c r="Q28" s="19">
        <v>3</v>
      </c>
      <c r="R28" s="19">
        <v>5</v>
      </c>
      <c r="S28" s="19">
        <v>2</v>
      </c>
      <c r="T28" s="19">
        <v>3</v>
      </c>
      <c r="U28" s="19">
        <v>2</v>
      </c>
      <c r="V28" s="19">
        <v>1</v>
      </c>
      <c r="W28" s="19">
        <v>1</v>
      </c>
      <c r="X28" s="19">
        <v>0</v>
      </c>
      <c r="Y28" s="19">
        <v>1</v>
      </c>
      <c r="Z28" s="19">
        <v>0</v>
      </c>
      <c r="AA28" s="194">
        <v>-60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05"/>
      <c r="AZ28" s="1"/>
    </row>
    <row r="29" spans="1:52" x14ac:dyDescent="0.25">
      <c r="A29" s="23">
        <v>42309</v>
      </c>
      <c r="B29" s="22" t="s">
        <v>15</v>
      </c>
      <c r="C29" s="19">
        <v>6323</v>
      </c>
      <c r="D29" s="193" t="s">
        <v>7</v>
      </c>
      <c r="E29" s="204"/>
      <c r="F29" s="19"/>
      <c r="G29" s="19"/>
      <c r="H29" s="19"/>
      <c r="I29" s="19"/>
      <c r="J29" s="19"/>
      <c r="K29" s="19"/>
      <c r="L29" s="19"/>
      <c r="M29" s="19"/>
      <c r="N29" s="19"/>
      <c r="O29" s="19">
        <v>0</v>
      </c>
      <c r="P29" s="19">
        <v>6</v>
      </c>
      <c r="Q29" s="19">
        <v>6</v>
      </c>
      <c r="R29" s="19">
        <v>7</v>
      </c>
      <c r="S29" s="19">
        <v>4</v>
      </c>
      <c r="T29" s="19">
        <v>7</v>
      </c>
      <c r="U29" s="19">
        <v>5</v>
      </c>
      <c r="V29" s="19">
        <v>6</v>
      </c>
      <c r="W29" s="19">
        <v>11</v>
      </c>
      <c r="X29" s="19">
        <v>5</v>
      </c>
      <c r="Y29" s="19">
        <v>2</v>
      </c>
      <c r="Z29" s="19">
        <v>0</v>
      </c>
      <c r="AA29" s="194">
        <f>SUM(O29:Z29)</f>
        <v>59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05"/>
      <c r="AZ29" s="1"/>
    </row>
    <row r="30" spans="1:52" x14ac:dyDescent="0.25">
      <c r="A30" s="25"/>
      <c r="B30" s="22"/>
      <c r="C30" s="19"/>
      <c r="D30" s="193"/>
      <c r="E30" s="204"/>
      <c r="F30" s="19"/>
      <c r="G30" s="19"/>
      <c r="H30" s="19"/>
      <c r="I30" s="19"/>
      <c r="J30" s="19"/>
      <c r="K30" s="19"/>
      <c r="L30" s="19"/>
      <c r="M30" s="19"/>
      <c r="N30" s="19"/>
      <c r="O30" s="196">
        <f t="shared" ref="O30:Z30" si="8">(O29*-2)</f>
        <v>0</v>
      </c>
      <c r="P30" s="196">
        <f t="shared" si="8"/>
        <v>-12</v>
      </c>
      <c r="Q30" s="196">
        <f t="shared" si="8"/>
        <v>-12</v>
      </c>
      <c r="R30" s="196">
        <f t="shared" si="8"/>
        <v>-14</v>
      </c>
      <c r="S30" s="196">
        <f t="shared" si="8"/>
        <v>-8</v>
      </c>
      <c r="T30" s="196">
        <f t="shared" si="8"/>
        <v>-14</v>
      </c>
      <c r="U30" s="196">
        <f t="shared" si="8"/>
        <v>-10</v>
      </c>
      <c r="V30" s="196">
        <f t="shared" si="8"/>
        <v>-12</v>
      </c>
      <c r="W30" s="196">
        <f t="shared" si="8"/>
        <v>-22</v>
      </c>
      <c r="X30" s="196">
        <f t="shared" si="8"/>
        <v>-10</v>
      </c>
      <c r="Y30" s="196">
        <f t="shared" si="8"/>
        <v>-4</v>
      </c>
      <c r="Z30" s="196">
        <f t="shared" si="8"/>
        <v>0</v>
      </c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05"/>
      <c r="AZ30" s="1"/>
    </row>
    <row r="31" spans="1:52" x14ac:dyDescent="0.25">
      <c r="A31" s="24">
        <v>42339</v>
      </c>
      <c r="B31" s="22" t="s">
        <v>16</v>
      </c>
      <c r="C31" s="19">
        <v>3809</v>
      </c>
      <c r="D31" s="193" t="s">
        <v>6</v>
      </c>
      <c r="E31" s="204"/>
      <c r="F31" s="19"/>
      <c r="G31" s="19"/>
      <c r="H31" s="19"/>
      <c r="I31" s="19"/>
      <c r="J31" s="19"/>
      <c r="K31" s="19"/>
      <c r="L31" s="19"/>
      <c r="M31" s="19"/>
      <c r="N31" s="19"/>
      <c r="O31" s="197">
        <f>SUM(O4:O30)+N28</f>
        <v>232</v>
      </c>
      <c r="P31" s="19">
        <v>42</v>
      </c>
      <c r="Q31" s="19">
        <v>2</v>
      </c>
      <c r="R31" s="19">
        <v>4</v>
      </c>
      <c r="S31" s="19">
        <v>3</v>
      </c>
      <c r="T31" s="19">
        <v>4</v>
      </c>
      <c r="U31" s="19">
        <v>2</v>
      </c>
      <c r="V31" s="19">
        <v>1</v>
      </c>
      <c r="W31" s="19">
        <v>3</v>
      </c>
      <c r="X31" s="19">
        <v>0</v>
      </c>
      <c r="Y31" s="19">
        <v>0</v>
      </c>
      <c r="Z31" s="19">
        <v>1</v>
      </c>
      <c r="AA31" s="19">
        <v>0</v>
      </c>
      <c r="AB31" s="194">
        <v>-62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05"/>
      <c r="AZ31" s="1"/>
    </row>
    <row r="32" spans="1:52" x14ac:dyDescent="0.25">
      <c r="A32" s="23">
        <v>42339</v>
      </c>
      <c r="B32" s="22" t="s">
        <v>16</v>
      </c>
      <c r="C32" s="19">
        <v>3809</v>
      </c>
      <c r="D32" s="193" t="s">
        <v>7</v>
      </c>
      <c r="E32" s="20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>
        <v>0</v>
      </c>
      <c r="Q32" s="19">
        <v>8</v>
      </c>
      <c r="R32" s="19">
        <v>6</v>
      </c>
      <c r="S32" s="19">
        <v>4</v>
      </c>
      <c r="T32" s="19">
        <v>5</v>
      </c>
      <c r="U32" s="19">
        <v>5</v>
      </c>
      <c r="V32" s="19">
        <v>7</v>
      </c>
      <c r="W32" s="19">
        <v>8</v>
      </c>
      <c r="X32" s="19">
        <v>6</v>
      </c>
      <c r="Y32" s="19">
        <v>6</v>
      </c>
      <c r="Z32" s="19">
        <v>3</v>
      </c>
      <c r="AA32" s="19">
        <v>2</v>
      </c>
      <c r="AB32" s="194">
        <f>SUM(P32:AA32)</f>
        <v>60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05"/>
      <c r="AZ32" s="1"/>
    </row>
    <row r="33" spans="1:52" x14ac:dyDescent="0.25">
      <c r="A33" s="25"/>
      <c r="B33" s="22"/>
      <c r="C33" s="19"/>
      <c r="D33" s="193"/>
      <c r="E33" s="20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6">
        <f t="shared" ref="P33:AA33" si="9">(P32*-2)</f>
        <v>0</v>
      </c>
      <c r="Q33" s="196">
        <f t="shared" si="9"/>
        <v>-16</v>
      </c>
      <c r="R33" s="196">
        <f t="shared" si="9"/>
        <v>-12</v>
      </c>
      <c r="S33" s="196">
        <f t="shared" si="9"/>
        <v>-8</v>
      </c>
      <c r="T33" s="196">
        <f t="shared" si="9"/>
        <v>-10</v>
      </c>
      <c r="U33" s="196">
        <f t="shared" si="9"/>
        <v>-10</v>
      </c>
      <c r="V33" s="196">
        <f t="shared" si="9"/>
        <v>-14</v>
      </c>
      <c r="W33" s="196">
        <f t="shared" si="9"/>
        <v>-16</v>
      </c>
      <c r="X33" s="196">
        <f t="shared" si="9"/>
        <v>-12</v>
      </c>
      <c r="Y33" s="196">
        <f t="shared" si="9"/>
        <v>-12</v>
      </c>
      <c r="Z33" s="196">
        <f t="shared" si="9"/>
        <v>-6</v>
      </c>
      <c r="AA33" s="196">
        <f t="shared" si="9"/>
        <v>-4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05"/>
      <c r="AZ33" s="1"/>
    </row>
    <row r="34" spans="1:52" x14ac:dyDescent="0.25">
      <c r="A34" s="24">
        <v>42370</v>
      </c>
      <c r="B34" s="22" t="s">
        <v>29</v>
      </c>
      <c r="C34" s="19">
        <v>2900</v>
      </c>
      <c r="D34" s="193" t="s">
        <v>6</v>
      </c>
      <c r="E34" s="20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7">
        <f>SUM(P4:P33)+O31</f>
        <v>245</v>
      </c>
      <c r="Q34" s="19">
        <v>40</v>
      </c>
      <c r="R34" s="19">
        <v>2</v>
      </c>
      <c r="S34" s="19">
        <v>6</v>
      </c>
      <c r="T34" s="19">
        <v>2</v>
      </c>
      <c r="U34" s="19">
        <v>1</v>
      </c>
      <c r="V34" s="19">
        <v>2</v>
      </c>
      <c r="W34" s="19">
        <v>3</v>
      </c>
      <c r="X34" s="19">
        <v>2</v>
      </c>
      <c r="Y34" s="19">
        <v>1</v>
      </c>
      <c r="Z34" s="19">
        <v>0</v>
      </c>
      <c r="AA34" s="19">
        <v>1</v>
      </c>
      <c r="AB34" s="19">
        <v>0</v>
      </c>
      <c r="AC34" s="194">
        <v>-60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05"/>
      <c r="AZ34" s="1"/>
    </row>
    <row r="35" spans="1:52" x14ac:dyDescent="0.25">
      <c r="A35" s="23">
        <v>42370</v>
      </c>
      <c r="B35" s="22" t="s">
        <v>29</v>
      </c>
      <c r="C35" s="19">
        <v>2900</v>
      </c>
      <c r="D35" s="193" t="s">
        <v>7</v>
      </c>
      <c r="E35" s="20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>
        <v>0</v>
      </c>
      <c r="R35" s="19">
        <v>5</v>
      </c>
      <c r="S35" s="19">
        <v>4</v>
      </c>
      <c r="T35" s="19">
        <v>6</v>
      </c>
      <c r="U35" s="19">
        <v>7</v>
      </c>
      <c r="V35" s="19">
        <v>3</v>
      </c>
      <c r="W35" s="19">
        <v>2</v>
      </c>
      <c r="X35" s="19">
        <v>9</v>
      </c>
      <c r="Y35" s="19">
        <v>8</v>
      </c>
      <c r="Z35" s="19">
        <v>5</v>
      </c>
      <c r="AA35" s="19">
        <v>6</v>
      </c>
      <c r="AB35" s="19">
        <v>4</v>
      </c>
      <c r="AC35" s="194">
        <f>SUM(Q35:AB35)</f>
        <v>59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05"/>
      <c r="AZ35" s="1"/>
    </row>
    <row r="36" spans="1:52" x14ac:dyDescent="0.25">
      <c r="A36" s="25"/>
      <c r="B36" s="22"/>
      <c r="C36" s="19"/>
      <c r="D36" s="193"/>
      <c r="E36" s="20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6">
        <f t="shared" ref="Q36:AB36" si="10">(Q35*-2)</f>
        <v>0</v>
      </c>
      <c r="R36" s="196">
        <f t="shared" si="10"/>
        <v>-10</v>
      </c>
      <c r="S36" s="196">
        <f t="shared" si="10"/>
        <v>-8</v>
      </c>
      <c r="T36" s="196">
        <f t="shared" si="10"/>
        <v>-12</v>
      </c>
      <c r="U36" s="196">
        <f t="shared" si="10"/>
        <v>-14</v>
      </c>
      <c r="V36" s="196">
        <f t="shared" si="10"/>
        <v>-6</v>
      </c>
      <c r="W36" s="196">
        <f t="shared" si="10"/>
        <v>-4</v>
      </c>
      <c r="X36" s="196">
        <f t="shared" si="10"/>
        <v>-18</v>
      </c>
      <c r="Y36" s="196">
        <f t="shared" si="10"/>
        <v>-16</v>
      </c>
      <c r="Z36" s="196">
        <f t="shared" si="10"/>
        <v>-10</v>
      </c>
      <c r="AA36" s="196">
        <f t="shared" si="10"/>
        <v>-12</v>
      </c>
      <c r="AB36" s="196">
        <f t="shared" si="10"/>
        <v>-8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05"/>
      <c r="AZ36" s="1"/>
    </row>
    <row r="37" spans="1:52" x14ac:dyDescent="0.25">
      <c r="A37" s="24">
        <v>42415</v>
      </c>
      <c r="B37" s="22" t="s">
        <v>30</v>
      </c>
      <c r="C37" s="19">
        <v>3800</v>
      </c>
      <c r="D37" s="193" t="s">
        <v>6</v>
      </c>
      <c r="E37" s="2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7">
        <f>SUM(Q4:Q36)+P34</f>
        <v>242</v>
      </c>
      <c r="R37" s="19">
        <v>25</v>
      </c>
      <c r="S37" s="19">
        <v>4</v>
      </c>
      <c r="T37" s="19">
        <v>6</v>
      </c>
      <c r="U37" s="19">
        <v>3</v>
      </c>
      <c r="V37" s="19">
        <v>1</v>
      </c>
      <c r="W37" s="19">
        <v>2</v>
      </c>
      <c r="X37" s="19">
        <v>2</v>
      </c>
      <c r="Y37" s="19">
        <v>3</v>
      </c>
      <c r="Z37" s="19">
        <v>1</v>
      </c>
      <c r="AA37" s="19">
        <v>0</v>
      </c>
      <c r="AB37" s="19">
        <v>1</v>
      </c>
      <c r="AC37" s="19">
        <v>0</v>
      </c>
      <c r="AD37" s="194">
        <v>-48</v>
      </c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05"/>
      <c r="AZ37" s="1"/>
    </row>
    <row r="38" spans="1:52" x14ac:dyDescent="0.25">
      <c r="A38" s="23">
        <v>42415</v>
      </c>
      <c r="B38" s="22" t="s">
        <v>30</v>
      </c>
      <c r="C38" s="19">
        <v>3800</v>
      </c>
      <c r="D38" s="193" t="s">
        <v>7</v>
      </c>
      <c r="E38" s="2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>
        <v>0</v>
      </c>
      <c r="S38" s="19">
        <v>4</v>
      </c>
      <c r="T38" s="19">
        <v>8</v>
      </c>
      <c r="U38" s="19">
        <v>3</v>
      </c>
      <c r="V38" s="19">
        <v>5</v>
      </c>
      <c r="W38" s="19">
        <v>5</v>
      </c>
      <c r="X38" s="19">
        <v>7</v>
      </c>
      <c r="Y38" s="19">
        <v>8</v>
      </c>
      <c r="Z38" s="19">
        <v>6</v>
      </c>
      <c r="AA38" s="19">
        <v>1</v>
      </c>
      <c r="AB38" s="19">
        <v>0</v>
      </c>
      <c r="AC38" s="19">
        <v>1</v>
      </c>
      <c r="AD38" s="194">
        <f>SUM(R38:AC38)</f>
        <v>48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05"/>
      <c r="AZ38" s="1"/>
    </row>
    <row r="39" spans="1:52" x14ac:dyDescent="0.25">
      <c r="A39" s="25"/>
      <c r="B39" s="22"/>
      <c r="C39" s="19"/>
      <c r="D39" s="193"/>
      <c r="E39" s="20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6">
        <f t="shared" ref="R39:AC39" si="11">(R38*-2)</f>
        <v>0</v>
      </c>
      <c r="S39" s="196">
        <f t="shared" si="11"/>
        <v>-8</v>
      </c>
      <c r="T39" s="196">
        <f t="shared" si="11"/>
        <v>-16</v>
      </c>
      <c r="U39" s="196">
        <f t="shared" si="11"/>
        <v>-6</v>
      </c>
      <c r="V39" s="196">
        <f t="shared" si="11"/>
        <v>-10</v>
      </c>
      <c r="W39" s="196">
        <f t="shared" si="11"/>
        <v>-10</v>
      </c>
      <c r="X39" s="196">
        <f t="shared" si="11"/>
        <v>-14</v>
      </c>
      <c r="Y39" s="196">
        <f t="shared" si="11"/>
        <v>-16</v>
      </c>
      <c r="Z39" s="196">
        <f t="shared" si="11"/>
        <v>-12</v>
      </c>
      <c r="AA39" s="196">
        <f t="shared" si="11"/>
        <v>-2</v>
      </c>
      <c r="AB39" s="196">
        <f t="shared" si="11"/>
        <v>0</v>
      </c>
      <c r="AC39" s="196">
        <f t="shared" si="11"/>
        <v>-2</v>
      </c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05"/>
      <c r="AZ39" s="1"/>
    </row>
    <row r="40" spans="1:52" x14ac:dyDescent="0.25">
      <c r="A40" s="24">
        <v>42430</v>
      </c>
      <c r="B40" s="22" t="s">
        <v>31</v>
      </c>
      <c r="C40" s="19">
        <v>5215</v>
      </c>
      <c r="D40" s="193" t="s">
        <v>6</v>
      </c>
      <c r="E40" s="20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7">
        <f>SUM(R4:R39)+Q37</f>
        <v>236</v>
      </c>
      <c r="S40" s="19">
        <v>36</v>
      </c>
      <c r="T40" s="19">
        <v>3</v>
      </c>
      <c r="U40" s="19">
        <v>4</v>
      </c>
      <c r="V40" s="19">
        <v>5</v>
      </c>
      <c r="W40" s="19">
        <v>1</v>
      </c>
      <c r="X40" s="19">
        <v>4</v>
      </c>
      <c r="Y40" s="19">
        <v>1</v>
      </c>
      <c r="Z40" s="19">
        <v>2</v>
      </c>
      <c r="AA40" s="19">
        <v>1</v>
      </c>
      <c r="AB40" s="19">
        <v>0</v>
      </c>
      <c r="AC40" s="19">
        <v>1</v>
      </c>
      <c r="AD40" s="19">
        <v>0</v>
      </c>
      <c r="AE40" s="194">
        <v>-58</v>
      </c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05"/>
      <c r="AZ40" s="1"/>
    </row>
    <row r="41" spans="1:52" x14ac:dyDescent="0.25">
      <c r="A41" s="23">
        <v>42430</v>
      </c>
      <c r="B41" s="22" t="s">
        <v>31</v>
      </c>
      <c r="C41" s="19">
        <v>5215</v>
      </c>
      <c r="D41" s="193" t="s">
        <v>7</v>
      </c>
      <c r="E41" s="20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v>0</v>
      </c>
      <c r="T41" s="19">
        <v>6</v>
      </c>
      <c r="U41" s="19">
        <v>7</v>
      </c>
      <c r="V41" s="19">
        <v>5</v>
      </c>
      <c r="W41" s="19">
        <v>4</v>
      </c>
      <c r="X41" s="19">
        <v>6</v>
      </c>
      <c r="Y41" s="19">
        <v>3</v>
      </c>
      <c r="Z41" s="19">
        <v>10</v>
      </c>
      <c r="AA41" s="19">
        <v>10</v>
      </c>
      <c r="AB41" s="19">
        <v>5</v>
      </c>
      <c r="AC41" s="19">
        <v>2</v>
      </c>
      <c r="AD41" s="19">
        <v>0</v>
      </c>
      <c r="AE41" s="194">
        <f>SUM(S41:AD41)</f>
        <v>58</v>
      </c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05"/>
      <c r="AZ41" s="1"/>
    </row>
    <row r="42" spans="1:52" x14ac:dyDescent="0.25">
      <c r="A42" s="25"/>
      <c r="B42" s="22"/>
      <c r="C42" s="19"/>
      <c r="D42" s="193"/>
      <c r="E42" s="20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6">
        <f t="shared" ref="S42:AD42" si="12">(S41*-2)</f>
        <v>0</v>
      </c>
      <c r="T42" s="196">
        <f t="shared" si="12"/>
        <v>-12</v>
      </c>
      <c r="U42" s="196">
        <f t="shared" si="12"/>
        <v>-14</v>
      </c>
      <c r="V42" s="196">
        <f t="shared" si="12"/>
        <v>-10</v>
      </c>
      <c r="W42" s="196">
        <f t="shared" si="12"/>
        <v>-8</v>
      </c>
      <c r="X42" s="196">
        <f t="shared" si="12"/>
        <v>-12</v>
      </c>
      <c r="Y42" s="196">
        <f t="shared" si="12"/>
        <v>-6</v>
      </c>
      <c r="Z42" s="196">
        <f t="shared" si="12"/>
        <v>-20</v>
      </c>
      <c r="AA42" s="196">
        <f t="shared" si="12"/>
        <v>-20</v>
      </c>
      <c r="AB42" s="196">
        <f t="shared" si="12"/>
        <v>-10</v>
      </c>
      <c r="AC42" s="196">
        <f t="shared" si="12"/>
        <v>-4</v>
      </c>
      <c r="AD42" s="196">
        <f t="shared" si="12"/>
        <v>0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05"/>
      <c r="AZ42" s="1"/>
    </row>
    <row r="43" spans="1:52" x14ac:dyDescent="0.25">
      <c r="A43" s="24">
        <v>42491</v>
      </c>
      <c r="B43" s="22" t="s">
        <v>6</v>
      </c>
      <c r="C43" s="19">
        <v>3900</v>
      </c>
      <c r="D43" s="193" t="s">
        <v>6</v>
      </c>
      <c r="E43" s="204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7">
        <f>SUM(S4:S42)+R40</f>
        <v>242</v>
      </c>
      <c r="T43" s="197">
        <f>SUM(T4:T42)+S43</f>
        <v>200</v>
      </c>
      <c r="U43" s="19">
        <v>28</v>
      </c>
      <c r="V43" s="19">
        <v>2</v>
      </c>
      <c r="W43" s="19">
        <v>3</v>
      </c>
      <c r="X43" s="19">
        <v>4</v>
      </c>
      <c r="Y43" s="19">
        <v>3</v>
      </c>
      <c r="Z43" s="19">
        <v>3</v>
      </c>
      <c r="AA43" s="19">
        <v>2</v>
      </c>
      <c r="AB43" s="19">
        <v>2</v>
      </c>
      <c r="AC43" s="19">
        <v>1</v>
      </c>
      <c r="AD43" s="19">
        <v>0</v>
      </c>
      <c r="AE43" s="19">
        <v>1</v>
      </c>
      <c r="AF43" s="19">
        <v>0</v>
      </c>
      <c r="AG43" s="194">
        <v>-49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05"/>
      <c r="AZ43" s="1"/>
    </row>
    <row r="44" spans="1:52" x14ac:dyDescent="0.25">
      <c r="A44" s="23">
        <v>42491</v>
      </c>
      <c r="B44" s="22" t="s">
        <v>6</v>
      </c>
      <c r="C44" s="19">
        <v>3900</v>
      </c>
      <c r="D44" s="193" t="s">
        <v>7</v>
      </c>
      <c r="E44" s="20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>
        <v>0</v>
      </c>
      <c r="V44" s="19">
        <v>8</v>
      </c>
      <c r="W44" s="19">
        <v>4</v>
      </c>
      <c r="X44" s="19">
        <v>4</v>
      </c>
      <c r="Y44" s="19">
        <v>5</v>
      </c>
      <c r="Z44" s="19">
        <v>5</v>
      </c>
      <c r="AA44" s="19">
        <v>7</v>
      </c>
      <c r="AB44" s="19">
        <v>8</v>
      </c>
      <c r="AC44" s="19">
        <v>4</v>
      </c>
      <c r="AD44" s="19">
        <v>1</v>
      </c>
      <c r="AE44" s="19">
        <v>2</v>
      </c>
      <c r="AF44" s="19">
        <v>1</v>
      </c>
      <c r="AG44" s="194">
        <f>SUM(U44:AF44)</f>
        <v>49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05"/>
      <c r="AZ44" s="1"/>
    </row>
    <row r="45" spans="1:52" x14ac:dyDescent="0.25">
      <c r="A45" s="25"/>
      <c r="B45" s="22"/>
      <c r="C45" s="19"/>
      <c r="D45" s="193"/>
      <c r="E45" s="20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6">
        <f t="shared" ref="U45:AF45" si="13">(U44*-2)</f>
        <v>0</v>
      </c>
      <c r="V45" s="196">
        <f t="shared" si="13"/>
        <v>-16</v>
      </c>
      <c r="W45" s="196">
        <f t="shared" si="13"/>
        <v>-8</v>
      </c>
      <c r="X45" s="196">
        <f t="shared" si="13"/>
        <v>-8</v>
      </c>
      <c r="Y45" s="196">
        <f t="shared" si="13"/>
        <v>-10</v>
      </c>
      <c r="Z45" s="196">
        <f t="shared" si="13"/>
        <v>-10</v>
      </c>
      <c r="AA45" s="196">
        <f t="shared" si="13"/>
        <v>-14</v>
      </c>
      <c r="AB45" s="196">
        <f t="shared" si="13"/>
        <v>-16</v>
      </c>
      <c r="AC45" s="196">
        <f t="shared" si="13"/>
        <v>-8</v>
      </c>
      <c r="AD45" s="196">
        <f t="shared" si="13"/>
        <v>-2</v>
      </c>
      <c r="AE45" s="196">
        <f t="shared" si="13"/>
        <v>-4</v>
      </c>
      <c r="AF45" s="196">
        <f t="shared" si="13"/>
        <v>-2</v>
      </c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05"/>
      <c r="AZ45" s="1"/>
    </row>
    <row r="46" spans="1:52" x14ac:dyDescent="0.25">
      <c r="A46" s="24">
        <v>42536</v>
      </c>
      <c r="B46" s="22" t="s">
        <v>32</v>
      </c>
      <c r="C46" s="19">
        <v>5100</v>
      </c>
      <c r="D46" s="193" t="s">
        <v>6</v>
      </c>
      <c r="E46" s="20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7">
        <f>SUM(U4:U45)+T43</f>
        <v>193</v>
      </c>
      <c r="V46" s="19">
        <v>43</v>
      </c>
      <c r="W46" s="19">
        <v>2</v>
      </c>
      <c r="X46" s="19">
        <v>6</v>
      </c>
      <c r="Y46" s="19">
        <v>2</v>
      </c>
      <c r="Z46" s="19">
        <v>1</v>
      </c>
      <c r="AA46" s="19">
        <v>2</v>
      </c>
      <c r="AB46" s="19">
        <v>3</v>
      </c>
      <c r="AC46" s="19">
        <v>2</v>
      </c>
      <c r="AD46" s="19">
        <v>1</v>
      </c>
      <c r="AE46" s="19">
        <v>0</v>
      </c>
      <c r="AF46" s="19">
        <v>1</v>
      </c>
      <c r="AG46" s="19">
        <v>0</v>
      </c>
      <c r="AH46" s="194">
        <v>-63</v>
      </c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05"/>
      <c r="AZ46" s="1"/>
    </row>
    <row r="47" spans="1:52" x14ac:dyDescent="0.25">
      <c r="A47" s="23">
        <v>42536</v>
      </c>
      <c r="B47" s="22" t="s">
        <v>32</v>
      </c>
      <c r="C47" s="19">
        <v>5100</v>
      </c>
      <c r="D47" s="193" t="s">
        <v>7</v>
      </c>
      <c r="E47" s="204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>
        <v>0</v>
      </c>
      <c r="W47" s="19">
        <v>5</v>
      </c>
      <c r="X47" s="19">
        <v>4</v>
      </c>
      <c r="Y47" s="19">
        <v>6</v>
      </c>
      <c r="Z47" s="19">
        <v>7</v>
      </c>
      <c r="AA47" s="19">
        <v>3</v>
      </c>
      <c r="AB47" s="19">
        <v>5</v>
      </c>
      <c r="AC47" s="19">
        <v>9</v>
      </c>
      <c r="AD47" s="19">
        <v>8</v>
      </c>
      <c r="AE47" s="19">
        <v>5</v>
      </c>
      <c r="AF47" s="19">
        <v>6</v>
      </c>
      <c r="AG47" s="19">
        <v>4</v>
      </c>
      <c r="AH47" s="194">
        <f>SUM(V47:AG47)</f>
        <v>62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05"/>
      <c r="AZ47" s="1"/>
    </row>
    <row r="48" spans="1:52" x14ac:dyDescent="0.25">
      <c r="A48" s="25"/>
      <c r="B48" s="22"/>
      <c r="C48" s="19"/>
      <c r="D48" s="193"/>
      <c r="E48" s="20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6">
        <f t="shared" ref="V48:AG48" si="14">(V47*-2)</f>
        <v>0</v>
      </c>
      <c r="W48" s="196">
        <f t="shared" si="14"/>
        <v>-10</v>
      </c>
      <c r="X48" s="196">
        <f t="shared" si="14"/>
        <v>-8</v>
      </c>
      <c r="Y48" s="196">
        <f t="shared" si="14"/>
        <v>-12</v>
      </c>
      <c r="Z48" s="196">
        <f t="shared" si="14"/>
        <v>-14</v>
      </c>
      <c r="AA48" s="196">
        <f t="shared" si="14"/>
        <v>-6</v>
      </c>
      <c r="AB48" s="196">
        <f t="shared" si="14"/>
        <v>-10</v>
      </c>
      <c r="AC48" s="196">
        <f t="shared" si="14"/>
        <v>-18</v>
      </c>
      <c r="AD48" s="196">
        <f t="shared" si="14"/>
        <v>-16</v>
      </c>
      <c r="AE48" s="196">
        <f t="shared" si="14"/>
        <v>-10</v>
      </c>
      <c r="AF48" s="196">
        <f t="shared" si="14"/>
        <v>-12</v>
      </c>
      <c r="AG48" s="196">
        <f t="shared" si="14"/>
        <v>-8</v>
      </c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05"/>
      <c r="AZ48" s="1"/>
    </row>
    <row r="49" spans="1:52" x14ac:dyDescent="0.25">
      <c r="A49" s="24">
        <v>42552</v>
      </c>
      <c r="B49" s="22" t="s">
        <v>33</v>
      </c>
      <c r="C49" s="19">
        <v>5330</v>
      </c>
      <c r="D49" s="193" t="s">
        <v>6</v>
      </c>
      <c r="E49" s="20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7">
        <f>SUM(V4:V48)+U46</f>
        <v>197</v>
      </c>
      <c r="W49" s="19">
        <v>30</v>
      </c>
      <c r="X49" s="19">
        <v>6</v>
      </c>
      <c r="Y49" s="19">
        <v>4</v>
      </c>
      <c r="Z49" s="19">
        <v>1</v>
      </c>
      <c r="AA49" s="19">
        <v>3</v>
      </c>
      <c r="AB49" s="19">
        <v>2</v>
      </c>
      <c r="AC49" s="19">
        <v>2</v>
      </c>
      <c r="AD49" s="19">
        <v>3</v>
      </c>
      <c r="AE49" s="19">
        <v>1</v>
      </c>
      <c r="AF49" s="19">
        <v>0</v>
      </c>
      <c r="AG49" s="19">
        <v>1</v>
      </c>
      <c r="AH49" s="19">
        <v>0</v>
      </c>
      <c r="AI49" s="194">
        <v>-53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05"/>
      <c r="AZ49" s="1"/>
    </row>
    <row r="50" spans="1:52" x14ac:dyDescent="0.25">
      <c r="A50" s="23">
        <v>42552</v>
      </c>
      <c r="B50" s="22" t="s">
        <v>33</v>
      </c>
      <c r="C50" s="19">
        <v>5330</v>
      </c>
      <c r="D50" s="193" t="s">
        <v>7</v>
      </c>
      <c r="E50" s="20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>
        <v>0</v>
      </c>
      <c r="X50" s="19">
        <v>4</v>
      </c>
      <c r="Y50" s="19">
        <v>8</v>
      </c>
      <c r="Z50" s="19">
        <v>6</v>
      </c>
      <c r="AA50" s="19">
        <v>8</v>
      </c>
      <c r="AB50" s="19">
        <v>5</v>
      </c>
      <c r="AC50" s="19">
        <v>7</v>
      </c>
      <c r="AD50" s="19">
        <v>6</v>
      </c>
      <c r="AE50" s="19">
        <v>7</v>
      </c>
      <c r="AF50" s="19">
        <v>1</v>
      </c>
      <c r="AG50" s="19">
        <v>0</v>
      </c>
      <c r="AH50" s="19">
        <v>1</v>
      </c>
      <c r="AI50" s="194">
        <f>SUM(W50:AH50)</f>
        <v>53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05"/>
      <c r="AZ50" s="1"/>
    </row>
    <row r="51" spans="1:52" x14ac:dyDescent="0.25">
      <c r="A51" s="25"/>
      <c r="B51" s="22"/>
      <c r="C51" s="19"/>
      <c r="D51" s="193"/>
      <c r="E51" s="20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6">
        <f t="shared" ref="W51:AH51" si="15">(W50*-2)</f>
        <v>0</v>
      </c>
      <c r="X51" s="196">
        <f t="shared" si="15"/>
        <v>-8</v>
      </c>
      <c r="Y51" s="196">
        <f t="shared" si="15"/>
        <v>-16</v>
      </c>
      <c r="Z51" s="196">
        <f t="shared" si="15"/>
        <v>-12</v>
      </c>
      <c r="AA51" s="196">
        <f t="shared" si="15"/>
        <v>-16</v>
      </c>
      <c r="AB51" s="196">
        <f t="shared" si="15"/>
        <v>-10</v>
      </c>
      <c r="AC51" s="196">
        <f t="shared" si="15"/>
        <v>-14</v>
      </c>
      <c r="AD51" s="196">
        <f t="shared" si="15"/>
        <v>-12</v>
      </c>
      <c r="AE51" s="196">
        <f t="shared" si="15"/>
        <v>-14</v>
      </c>
      <c r="AF51" s="196">
        <f t="shared" si="15"/>
        <v>-2</v>
      </c>
      <c r="AG51" s="196">
        <f t="shared" si="15"/>
        <v>0</v>
      </c>
      <c r="AH51" s="196">
        <f t="shared" si="15"/>
        <v>-2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05"/>
      <c r="AZ51" s="1"/>
    </row>
    <row r="52" spans="1:52" x14ac:dyDescent="0.25">
      <c r="A52" s="24">
        <v>42583</v>
      </c>
      <c r="B52" s="22" t="s">
        <v>34</v>
      </c>
      <c r="C52" s="19">
        <v>5455</v>
      </c>
      <c r="D52" s="193" t="s">
        <v>6</v>
      </c>
      <c r="E52" s="20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7">
        <f>SUM(W7:W51)+V49</f>
        <v>195</v>
      </c>
      <c r="X52" s="19">
        <v>36</v>
      </c>
      <c r="Y52" s="19">
        <v>3</v>
      </c>
      <c r="Z52" s="19">
        <v>4</v>
      </c>
      <c r="AA52" s="19">
        <v>5</v>
      </c>
      <c r="AB52" s="19">
        <v>1</v>
      </c>
      <c r="AC52" s="19">
        <v>4</v>
      </c>
      <c r="AD52" s="19">
        <v>1</v>
      </c>
      <c r="AE52" s="19">
        <v>2</v>
      </c>
      <c r="AF52" s="19">
        <v>1</v>
      </c>
      <c r="AG52" s="19">
        <v>0</v>
      </c>
      <c r="AH52" s="19">
        <v>1</v>
      </c>
      <c r="AI52" s="19">
        <v>0</v>
      </c>
      <c r="AJ52" s="19">
        <v>0</v>
      </c>
      <c r="AK52" s="194">
        <v>-22</v>
      </c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05"/>
      <c r="AZ52" s="1"/>
    </row>
    <row r="53" spans="1:52" x14ac:dyDescent="0.25">
      <c r="A53" s="23">
        <v>42583</v>
      </c>
      <c r="B53" s="22" t="s">
        <v>34</v>
      </c>
      <c r="C53" s="19">
        <v>5455</v>
      </c>
      <c r="D53" s="193" t="s">
        <v>7</v>
      </c>
      <c r="E53" s="20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v>0</v>
      </c>
      <c r="Y53" s="19">
        <v>6</v>
      </c>
      <c r="Z53" s="19">
        <v>7</v>
      </c>
      <c r="AA53" s="19">
        <v>5</v>
      </c>
      <c r="AB53" s="19">
        <v>4</v>
      </c>
      <c r="AC53" s="19">
        <v>6</v>
      </c>
      <c r="AD53" s="19">
        <v>3</v>
      </c>
      <c r="AE53" s="19">
        <v>10</v>
      </c>
      <c r="AF53" s="19">
        <v>10</v>
      </c>
      <c r="AG53" s="19">
        <v>5</v>
      </c>
      <c r="AH53" s="19">
        <v>2</v>
      </c>
      <c r="AI53" s="19">
        <v>0</v>
      </c>
      <c r="AJ53" s="19">
        <v>0</v>
      </c>
      <c r="AK53" s="194">
        <f>SUM(Y53:AJ53)</f>
        <v>58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05"/>
      <c r="AZ53" s="1"/>
    </row>
    <row r="54" spans="1:52" x14ac:dyDescent="0.25">
      <c r="A54" s="25"/>
      <c r="B54" s="22"/>
      <c r="C54" s="19"/>
      <c r="D54" s="193"/>
      <c r="E54" s="20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6">
        <f t="shared" ref="X54:AJ54" si="16">(X53*-2)</f>
        <v>0</v>
      </c>
      <c r="Y54" s="196">
        <f t="shared" si="16"/>
        <v>-12</v>
      </c>
      <c r="Z54" s="196">
        <f t="shared" si="16"/>
        <v>-14</v>
      </c>
      <c r="AA54" s="196">
        <f t="shared" si="16"/>
        <v>-10</v>
      </c>
      <c r="AB54" s="196">
        <f t="shared" si="16"/>
        <v>-8</v>
      </c>
      <c r="AC54" s="196">
        <f t="shared" si="16"/>
        <v>-12</v>
      </c>
      <c r="AD54" s="196">
        <f t="shared" si="16"/>
        <v>-6</v>
      </c>
      <c r="AE54" s="196">
        <f t="shared" si="16"/>
        <v>-20</v>
      </c>
      <c r="AF54" s="196">
        <f t="shared" si="16"/>
        <v>-20</v>
      </c>
      <c r="AG54" s="196">
        <f t="shared" si="16"/>
        <v>-10</v>
      </c>
      <c r="AH54" s="196">
        <f t="shared" si="16"/>
        <v>-4</v>
      </c>
      <c r="AI54" s="196">
        <f t="shared" si="16"/>
        <v>0</v>
      </c>
      <c r="AJ54" s="196">
        <f t="shared" si="16"/>
        <v>0</v>
      </c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05"/>
      <c r="AZ54" s="1"/>
    </row>
    <row r="55" spans="1:52" x14ac:dyDescent="0.25">
      <c r="A55" s="24">
        <v>42644</v>
      </c>
      <c r="B55" s="22" t="s">
        <v>35</v>
      </c>
      <c r="C55" s="19">
        <v>6200</v>
      </c>
      <c r="D55" s="193" t="s">
        <v>6</v>
      </c>
      <c r="E55" s="204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7">
        <f>SUM(X4:X54)+W52</f>
        <v>207</v>
      </c>
      <c r="Y55" s="197">
        <f>SUM(Y4:Y54)+X55</f>
        <v>171</v>
      </c>
      <c r="Z55" s="19">
        <v>28</v>
      </c>
      <c r="AA55" s="19">
        <v>2</v>
      </c>
      <c r="AB55" s="19">
        <v>3</v>
      </c>
      <c r="AC55" s="19">
        <v>4</v>
      </c>
      <c r="AD55" s="19">
        <v>3</v>
      </c>
      <c r="AE55" s="19">
        <v>3</v>
      </c>
      <c r="AF55" s="19">
        <v>2</v>
      </c>
      <c r="AG55" s="19">
        <v>2</v>
      </c>
      <c r="AH55" s="19">
        <v>1</v>
      </c>
      <c r="AI55" s="19">
        <v>0</v>
      </c>
      <c r="AJ55" s="19">
        <v>1</v>
      </c>
      <c r="AK55" s="19">
        <v>0</v>
      </c>
      <c r="AL55" s="194">
        <v>-49</v>
      </c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05"/>
      <c r="AZ55" s="1"/>
    </row>
    <row r="56" spans="1:52" x14ac:dyDescent="0.25">
      <c r="A56" s="23">
        <v>42644</v>
      </c>
      <c r="B56" s="22" t="s">
        <v>35</v>
      </c>
      <c r="C56" s="19">
        <v>6200</v>
      </c>
      <c r="D56" s="193" t="s">
        <v>7</v>
      </c>
      <c r="E56" s="204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>
        <v>0</v>
      </c>
      <c r="AA56" s="19">
        <v>8</v>
      </c>
      <c r="AB56" s="19">
        <v>4</v>
      </c>
      <c r="AC56" s="19">
        <v>4</v>
      </c>
      <c r="AD56" s="19">
        <v>5</v>
      </c>
      <c r="AE56" s="19">
        <v>5</v>
      </c>
      <c r="AF56" s="19">
        <v>7</v>
      </c>
      <c r="AG56" s="19">
        <v>8</v>
      </c>
      <c r="AH56" s="19">
        <v>4</v>
      </c>
      <c r="AI56" s="19">
        <v>1</v>
      </c>
      <c r="AJ56" s="19">
        <v>2</v>
      </c>
      <c r="AK56" s="19">
        <v>1</v>
      </c>
      <c r="AL56" s="194">
        <f>SUM(Z56:AK56)</f>
        <v>49</v>
      </c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05"/>
      <c r="AZ56" s="1"/>
    </row>
    <row r="57" spans="1:52" x14ac:dyDescent="0.25">
      <c r="A57" s="25"/>
      <c r="B57" s="22"/>
      <c r="C57" s="19"/>
      <c r="D57" s="193"/>
      <c r="E57" s="204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6">
        <f t="shared" ref="Z57:AK57" si="17">(Z56*-2)</f>
        <v>0</v>
      </c>
      <c r="AA57" s="196">
        <f t="shared" si="17"/>
        <v>-16</v>
      </c>
      <c r="AB57" s="196">
        <f t="shared" si="17"/>
        <v>-8</v>
      </c>
      <c r="AC57" s="196">
        <f t="shared" si="17"/>
        <v>-8</v>
      </c>
      <c r="AD57" s="196">
        <f t="shared" si="17"/>
        <v>-10</v>
      </c>
      <c r="AE57" s="196">
        <f t="shared" si="17"/>
        <v>-10</v>
      </c>
      <c r="AF57" s="196">
        <f t="shared" si="17"/>
        <v>-14</v>
      </c>
      <c r="AG57" s="196">
        <f t="shared" si="17"/>
        <v>-16</v>
      </c>
      <c r="AH57" s="196">
        <f t="shared" si="17"/>
        <v>-8</v>
      </c>
      <c r="AI57" s="196">
        <f t="shared" si="17"/>
        <v>-2</v>
      </c>
      <c r="AJ57" s="196">
        <f t="shared" si="17"/>
        <v>-4</v>
      </c>
      <c r="AK57" s="196">
        <f t="shared" si="17"/>
        <v>-2</v>
      </c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05"/>
      <c r="AZ57" s="1"/>
    </row>
    <row r="58" spans="1:52" x14ac:dyDescent="0.25">
      <c r="A58" s="24">
        <v>42675</v>
      </c>
      <c r="B58" s="22" t="s">
        <v>36</v>
      </c>
      <c r="C58" s="19">
        <v>7100</v>
      </c>
      <c r="D58" s="193" t="s">
        <v>6</v>
      </c>
      <c r="E58" s="204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7">
        <f>SUM(Z4:Z57)+Y55</f>
        <v>161</v>
      </c>
      <c r="AA58" s="19">
        <v>32</v>
      </c>
      <c r="AB58" s="19">
        <v>3</v>
      </c>
      <c r="AC58" s="19">
        <v>4</v>
      </c>
      <c r="AD58" s="19">
        <v>5</v>
      </c>
      <c r="AE58" s="19">
        <v>1</v>
      </c>
      <c r="AF58" s="19">
        <v>4</v>
      </c>
      <c r="AG58" s="19">
        <v>1</v>
      </c>
      <c r="AH58" s="19">
        <v>2</v>
      </c>
      <c r="AI58" s="19">
        <v>1</v>
      </c>
      <c r="AJ58" s="19">
        <v>0</v>
      </c>
      <c r="AK58" s="19">
        <v>1</v>
      </c>
      <c r="AL58" s="19">
        <v>0</v>
      </c>
      <c r="AM58" s="194">
        <v>-54</v>
      </c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05"/>
      <c r="AZ58" s="1"/>
    </row>
    <row r="59" spans="1:52" x14ac:dyDescent="0.25">
      <c r="A59" s="23">
        <v>42675</v>
      </c>
      <c r="B59" s="22" t="s">
        <v>36</v>
      </c>
      <c r="C59" s="19">
        <v>7100</v>
      </c>
      <c r="D59" s="193" t="s">
        <v>7</v>
      </c>
      <c r="E59" s="20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>
        <v>0</v>
      </c>
      <c r="AB59" s="19">
        <v>6</v>
      </c>
      <c r="AC59" s="19">
        <v>7</v>
      </c>
      <c r="AD59" s="19">
        <v>5</v>
      </c>
      <c r="AE59" s="19">
        <v>4</v>
      </c>
      <c r="AF59" s="19">
        <v>6</v>
      </c>
      <c r="AG59" s="19">
        <v>3</v>
      </c>
      <c r="AH59" s="19">
        <v>8</v>
      </c>
      <c r="AI59" s="19">
        <v>8</v>
      </c>
      <c r="AJ59" s="19">
        <v>5</v>
      </c>
      <c r="AK59" s="19">
        <v>2</v>
      </c>
      <c r="AL59" s="19">
        <v>0</v>
      </c>
      <c r="AM59" s="194">
        <f>SUM(AA59:AL59)</f>
        <v>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05"/>
      <c r="AZ59" s="1"/>
    </row>
    <row r="60" spans="1:52" x14ac:dyDescent="0.25">
      <c r="A60" s="25"/>
      <c r="B60" s="22"/>
      <c r="C60" s="19"/>
      <c r="D60" s="193"/>
      <c r="E60" s="20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6">
        <f t="shared" ref="AA60:AL60" si="18">(AA59*-2)</f>
        <v>0</v>
      </c>
      <c r="AB60" s="196">
        <f t="shared" si="18"/>
        <v>-12</v>
      </c>
      <c r="AC60" s="196">
        <f t="shared" si="18"/>
        <v>-14</v>
      </c>
      <c r="AD60" s="196">
        <f t="shared" si="18"/>
        <v>-10</v>
      </c>
      <c r="AE60" s="196">
        <f t="shared" si="18"/>
        <v>-8</v>
      </c>
      <c r="AF60" s="196">
        <f t="shared" si="18"/>
        <v>-12</v>
      </c>
      <c r="AG60" s="196">
        <f t="shared" si="18"/>
        <v>-6</v>
      </c>
      <c r="AH60" s="196">
        <f t="shared" si="18"/>
        <v>-16</v>
      </c>
      <c r="AI60" s="196">
        <f t="shared" si="18"/>
        <v>-16</v>
      </c>
      <c r="AJ60" s="196">
        <f t="shared" si="18"/>
        <v>-10</v>
      </c>
      <c r="AK60" s="196">
        <f t="shared" si="18"/>
        <v>-4</v>
      </c>
      <c r="AL60" s="196">
        <f t="shared" si="18"/>
        <v>0</v>
      </c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05"/>
      <c r="AZ60" s="1"/>
    </row>
    <row r="61" spans="1:52" x14ac:dyDescent="0.25">
      <c r="A61" s="24">
        <v>42705</v>
      </c>
      <c r="B61" s="22" t="s">
        <v>37</v>
      </c>
      <c r="C61" s="19">
        <v>4204</v>
      </c>
      <c r="D61" s="193" t="s">
        <v>6</v>
      </c>
      <c r="E61" s="20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7">
        <f>SUM(AA4:AA60)+Z58</f>
        <v>158</v>
      </c>
      <c r="AB61" s="19">
        <v>24</v>
      </c>
      <c r="AC61" s="19">
        <v>2</v>
      </c>
      <c r="AD61" s="19">
        <v>3</v>
      </c>
      <c r="AE61" s="19">
        <v>4</v>
      </c>
      <c r="AF61" s="19">
        <v>3</v>
      </c>
      <c r="AG61" s="19">
        <v>3</v>
      </c>
      <c r="AH61" s="19">
        <v>2</v>
      </c>
      <c r="AI61" s="19">
        <v>2</v>
      </c>
      <c r="AJ61" s="19">
        <v>1</v>
      </c>
      <c r="AK61" s="19">
        <v>0</v>
      </c>
      <c r="AL61" s="19">
        <v>1</v>
      </c>
      <c r="AM61" s="19">
        <v>0</v>
      </c>
      <c r="AN61" s="194">
        <v>-45</v>
      </c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05"/>
      <c r="AZ61" s="1"/>
    </row>
    <row r="62" spans="1:52" x14ac:dyDescent="0.25">
      <c r="A62" s="23">
        <v>42705</v>
      </c>
      <c r="B62" s="22" t="s">
        <v>37</v>
      </c>
      <c r="C62" s="19">
        <v>4204</v>
      </c>
      <c r="D62" s="193" t="s">
        <v>7</v>
      </c>
      <c r="E62" s="20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>
        <v>0</v>
      </c>
      <c r="AC62" s="19">
        <v>8</v>
      </c>
      <c r="AD62" s="19">
        <v>4</v>
      </c>
      <c r="AE62" s="19">
        <v>4</v>
      </c>
      <c r="AF62" s="19">
        <v>5</v>
      </c>
      <c r="AG62" s="19">
        <v>5</v>
      </c>
      <c r="AH62" s="19">
        <v>7</v>
      </c>
      <c r="AI62" s="19">
        <v>6</v>
      </c>
      <c r="AJ62" s="19">
        <v>2</v>
      </c>
      <c r="AK62" s="19">
        <v>1</v>
      </c>
      <c r="AL62" s="19">
        <v>2</v>
      </c>
      <c r="AM62" s="19">
        <v>1</v>
      </c>
      <c r="AN62" s="194">
        <f>SUM(AB62:AM62)</f>
        <v>45</v>
      </c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05"/>
      <c r="AZ62" s="1"/>
    </row>
    <row r="63" spans="1:52" x14ac:dyDescent="0.25">
      <c r="A63" s="25"/>
      <c r="B63" s="22"/>
      <c r="C63" s="19"/>
      <c r="D63" s="193"/>
      <c r="E63" s="20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6">
        <f t="shared" ref="AB63:AM63" si="19">(AB62*-2)</f>
        <v>0</v>
      </c>
      <c r="AC63" s="196">
        <f t="shared" si="19"/>
        <v>-16</v>
      </c>
      <c r="AD63" s="196">
        <f t="shared" si="19"/>
        <v>-8</v>
      </c>
      <c r="AE63" s="196">
        <f t="shared" si="19"/>
        <v>-8</v>
      </c>
      <c r="AF63" s="196">
        <f t="shared" si="19"/>
        <v>-10</v>
      </c>
      <c r="AG63" s="196">
        <f t="shared" si="19"/>
        <v>-10</v>
      </c>
      <c r="AH63" s="196">
        <f t="shared" si="19"/>
        <v>-14</v>
      </c>
      <c r="AI63" s="196">
        <f t="shared" si="19"/>
        <v>-12</v>
      </c>
      <c r="AJ63" s="196">
        <f t="shared" si="19"/>
        <v>-4</v>
      </c>
      <c r="AK63" s="196">
        <f t="shared" si="19"/>
        <v>-2</v>
      </c>
      <c r="AL63" s="196">
        <f t="shared" si="19"/>
        <v>-4</v>
      </c>
      <c r="AM63" s="196">
        <f t="shared" si="19"/>
        <v>-2</v>
      </c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05"/>
      <c r="AZ63" s="1"/>
    </row>
    <row r="64" spans="1:52" x14ac:dyDescent="0.25">
      <c r="A64" s="24">
        <v>42736</v>
      </c>
      <c r="B64" s="22" t="s">
        <v>38</v>
      </c>
      <c r="C64" s="19">
        <v>3200</v>
      </c>
      <c r="D64" s="193" t="s">
        <v>6</v>
      </c>
      <c r="E64" s="20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7">
        <f>SUM(AB4:AB63)+AA61</f>
        <v>154</v>
      </c>
      <c r="AC64" s="19">
        <v>48</v>
      </c>
      <c r="AD64" s="19">
        <v>7</v>
      </c>
      <c r="AE64" s="19">
        <v>14</v>
      </c>
      <c r="AF64" s="19">
        <v>10</v>
      </c>
      <c r="AG64" s="19">
        <v>5</v>
      </c>
      <c r="AH64" s="19">
        <v>2</v>
      </c>
      <c r="AI64" s="19">
        <v>1</v>
      </c>
      <c r="AJ64" s="19">
        <v>2</v>
      </c>
      <c r="AK64" s="19">
        <v>1</v>
      </c>
      <c r="AL64" s="19">
        <v>0</v>
      </c>
      <c r="AM64" s="19">
        <v>0</v>
      </c>
      <c r="AN64" s="19">
        <v>0</v>
      </c>
      <c r="AO64" s="194">
        <v>-90</v>
      </c>
      <c r="AP64" s="19"/>
      <c r="AQ64" s="19"/>
      <c r="AR64" s="19"/>
      <c r="AS64" s="19"/>
      <c r="AT64" s="19"/>
      <c r="AU64" s="19"/>
      <c r="AV64" s="19"/>
      <c r="AW64" s="19"/>
      <c r="AX64" s="19"/>
      <c r="AY64" s="205"/>
      <c r="AZ64" s="1"/>
    </row>
    <row r="65" spans="1:52" x14ac:dyDescent="0.25">
      <c r="A65" s="23">
        <v>42736</v>
      </c>
      <c r="B65" s="22" t="s">
        <v>38</v>
      </c>
      <c r="C65" s="19">
        <v>3200</v>
      </c>
      <c r="D65" s="193" t="s">
        <v>7</v>
      </c>
      <c r="E65" s="20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>
        <v>0</v>
      </c>
      <c r="AD65" s="19">
        <v>5</v>
      </c>
      <c r="AE65" s="19">
        <v>7</v>
      </c>
      <c r="AF65" s="19">
        <v>6</v>
      </c>
      <c r="AG65" s="19">
        <v>6</v>
      </c>
      <c r="AH65" s="19">
        <v>7</v>
      </c>
      <c r="AI65" s="19">
        <v>5</v>
      </c>
      <c r="AJ65" s="19">
        <v>8</v>
      </c>
      <c r="AK65" s="19">
        <v>12</v>
      </c>
      <c r="AL65" s="19">
        <v>5</v>
      </c>
      <c r="AM65" s="19">
        <v>8</v>
      </c>
      <c r="AN65" s="19">
        <v>5</v>
      </c>
      <c r="AO65" s="194">
        <f>SUM(AC65:AN65)</f>
        <v>74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205"/>
      <c r="AZ65" s="1"/>
    </row>
    <row r="66" spans="1:52" x14ac:dyDescent="0.25">
      <c r="A66" s="25"/>
      <c r="B66" s="22"/>
      <c r="C66" s="19"/>
      <c r="D66" s="193"/>
      <c r="E66" s="20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6">
        <f t="shared" ref="AC66:AN66" si="20">(AC65*-2)</f>
        <v>0</v>
      </c>
      <c r="AD66" s="196">
        <f t="shared" si="20"/>
        <v>-10</v>
      </c>
      <c r="AE66" s="196">
        <f t="shared" si="20"/>
        <v>-14</v>
      </c>
      <c r="AF66" s="196">
        <f t="shared" si="20"/>
        <v>-12</v>
      </c>
      <c r="AG66" s="196">
        <f t="shared" si="20"/>
        <v>-12</v>
      </c>
      <c r="AH66" s="196">
        <f t="shared" si="20"/>
        <v>-14</v>
      </c>
      <c r="AI66" s="196">
        <f t="shared" si="20"/>
        <v>-10</v>
      </c>
      <c r="AJ66" s="196">
        <f t="shared" si="20"/>
        <v>-16</v>
      </c>
      <c r="AK66" s="196">
        <f t="shared" si="20"/>
        <v>-24</v>
      </c>
      <c r="AL66" s="196">
        <f t="shared" si="20"/>
        <v>-10</v>
      </c>
      <c r="AM66" s="196">
        <f t="shared" si="20"/>
        <v>-16</v>
      </c>
      <c r="AN66" s="196">
        <f t="shared" si="20"/>
        <v>-10</v>
      </c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05"/>
      <c r="AZ66" s="1"/>
    </row>
    <row r="67" spans="1:52" x14ac:dyDescent="0.25">
      <c r="A67" s="24">
        <v>42794</v>
      </c>
      <c r="B67" s="22" t="s">
        <v>39</v>
      </c>
      <c r="C67" s="19">
        <v>5020</v>
      </c>
      <c r="D67" s="193" t="s">
        <v>6</v>
      </c>
      <c r="E67" s="20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7">
        <f>SUM(AC4:AC66)+AB64</f>
        <v>173</v>
      </c>
      <c r="AD67" s="19">
        <v>40</v>
      </c>
      <c r="AE67" s="19">
        <v>10</v>
      </c>
      <c r="AF67" s="19">
        <v>16</v>
      </c>
      <c r="AG67" s="19">
        <v>8</v>
      </c>
      <c r="AH67" s="19">
        <v>5</v>
      </c>
      <c r="AI67" s="19">
        <v>1</v>
      </c>
      <c r="AJ67" s="19">
        <v>6</v>
      </c>
      <c r="AK67" s="19">
        <v>3</v>
      </c>
      <c r="AL67" s="19">
        <v>1</v>
      </c>
      <c r="AM67" s="19">
        <v>0</v>
      </c>
      <c r="AN67" s="19">
        <v>1</v>
      </c>
      <c r="AO67" s="19">
        <v>0</v>
      </c>
      <c r="AP67" s="194">
        <v>-91</v>
      </c>
      <c r="AQ67" s="19"/>
      <c r="AR67" s="19"/>
      <c r="AS67" s="19"/>
      <c r="AT67" s="19"/>
      <c r="AU67" s="19"/>
      <c r="AV67" s="19"/>
      <c r="AW67" s="19"/>
      <c r="AX67" s="19"/>
      <c r="AY67" s="205"/>
      <c r="AZ67" s="1"/>
    </row>
    <row r="68" spans="1:52" x14ac:dyDescent="0.25">
      <c r="A68" s="23">
        <v>42794</v>
      </c>
      <c r="B68" s="22" t="s">
        <v>39</v>
      </c>
      <c r="C68" s="19">
        <v>5020</v>
      </c>
      <c r="D68" s="193" t="s">
        <v>7</v>
      </c>
      <c r="E68" s="20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>
        <v>0</v>
      </c>
      <c r="AE68" s="19">
        <v>4</v>
      </c>
      <c r="AF68" s="19">
        <v>11</v>
      </c>
      <c r="AG68" s="19">
        <v>5</v>
      </c>
      <c r="AH68" s="19">
        <v>4</v>
      </c>
      <c r="AI68" s="19">
        <v>6</v>
      </c>
      <c r="AJ68" s="19">
        <v>4</v>
      </c>
      <c r="AK68" s="19">
        <v>6</v>
      </c>
      <c r="AL68" s="19">
        <v>6</v>
      </c>
      <c r="AM68" s="19">
        <v>3</v>
      </c>
      <c r="AN68" s="19">
        <v>5</v>
      </c>
      <c r="AO68" s="19">
        <v>9</v>
      </c>
      <c r="AP68" s="194">
        <f>SUM(AD68:AO68)</f>
        <v>63</v>
      </c>
      <c r="AQ68" s="19"/>
      <c r="AR68" s="19"/>
      <c r="AS68" s="19"/>
      <c r="AT68" s="19"/>
      <c r="AU68" s="19"/>
      <c r="AV68" s="19"/>
      <c r="AW68" s="19"/>
      <c r="AX68" s="19"/>
      <c r="AY68" s="205"/>
      <c r="AZ68" s="1"/>
    </row>
    <row r="69" spans="1:52" x14ac:dyDescent="0.25">
      <c r="A69" s="25"/>
      <c r="B69" s="22"/>
      <c r="C69" s="19"/>
      <c r="D69" s="193"/>
      <c r="E69" s="20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6">
        <f t="shared" ref="AD69:AO69" si="21">(AD68*-2)</f>
        <v>0</v>
      </c>
      <c r="AE69" s="196">
        <f t="shared" si="21"/>
        <v>-8</v>
      </c>
      <c r="AF69" s="196">
        <f t="shared" si="21"/>
        <v>-22</v>
      </c>
      <c r="AG69" s="196">
        <f t="shared" si="21"/>
        <v>-10</v>
      </c>
      <c r="AH69" s="196">
        <f t="shared" si="21"/>
        <v>-8</v>
      </c>
      <c r="AI69" s="196">
        <f t="shared" si="21"/>
        <v>-12</v>
      </c>
      <c r="AJ69" s="196">
        <f t="shared" si="21"/>
        <v>-8</v>
      </c>
      <c r="AK69" s="196">
        <f t="shared" si="21"/>
        <v>-12</v>
      </c>
      <c r="AL69" s="196">
        <f t="shared" si="21"/>
        <v>-12</v>
      </c>
      <c r="AM69" s="196">
        <f t="shared" si="21"/>
        <v>-6</v>
      </c>
      <c r="AN69" s="196">
        <f t="shared" si="21"/>
        <v>-10</v>
      </c>
      <c r="AO69" s="196">
        <f t="shared" si="21"/>
        <v>-18</v>
      </c>
      <c r="AP69" s="19"/>
      <c r="AQ69" s="19"/>
      <c r="AR69" s="19"/>
      <c r="AS69" s="19"/>
      <c r="AT69" s="19"/>
      <c r="AU69" s="19"/>
      <c r="AV69" s="19"/>
      <c r="AW69" s="19"/>
      <c r="AX69" s="19"/>
      <c r="AY69" s="205"/>
      <c r="AZ69" s="1"/>
    </row>
    <row r="70" spans="1:52" x14ac:dyDescent="0.25">
      <c r="A70" s="24">
        <v>42795</v>
      </c>
      <c r="B70" s="22" t="s">
        <v>40</v>
      </c>
      <c r="C70" s="19">
        <v>5500</v>
      </c>
      <c r="D70" s="193" t="s">
        <v>6</v>
      </c>
      <c r="E70" s="20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7">
        <f>SUM(AD4:AD69)+AC67</f>
        <v>199</v>
      </c>
      <c r="AE70" s="19">
        <v>30</v>
      </c>
      <c r="AF70" s="19">
        <v>5</v>
      </c>
      <c r="AG70" s="19">
        <v>13</v>
      </c>
      <c r="AH70" s="19">
        <v>14</v>
      </c>
      <c r="AI70" s="19">
        <v>8</v>
      </c>
      <c r="AJ70" s="19">
        <v>6</v>
      </c>
      <c r="AK70" s="19">
        <v>2</v>
      </c>
      <c r="AL70" s="19">
        <v>1</v>
      </c>
      <c r="AM70" s="19">
        <v>1</v>
      </c>
      <c r="AN70" s="19">
        <v>0</v>
      </c>
      <c r="AO70" s="19">
        <v>1</v>
      </c>
      <c r="AP70" s="19">
        <v>0</v>
      </c>
      <c r="AQ70" s="194">
        <v>-81</v>
      </c>
      <c r="AR70" s="19"/>
      <c r="AS70" s="19"/>
      <c r="AT70" s="19"/>
      <c r="AU70" s="19"/>
      <c r="AV70" s="19"/>
      <c r="AW70" s="19"/>
      <c r="AX70" s="19"/>
      <c r="AY70" s="205"/>
      <c r="AZ70" s="1"/>
    </row>
    <row r="71" spans="1:52" x14ac:dyDescent="0.25">
      <c r="A71" s="23">
        <v>42795</v>
      </c>
      <c r="B71" s="22" t="s">
        <v>40</v>
      </c>
      <c r="C71" s="19">
        <v>5500</v>
      </c>
      <c r="D71" s="193" t="s">
        <v>7</v>
      </c>
      <c r="E71" s="20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>
        <v>0</v>
      </c>
      <c r="AF71" s="19">
        <v>6</v>
      </c>
      <c r="AG71" s="19">
        <v>8</v>
      </c>
      <c r="AH71" s="19">
        <v>7</v>
      </c>
      <c r="AI71" s="19">
        <v>7</v>
      </c>
      <c r="AJ71" s="19">
        <v>6</v>
      </c>
      <c r="AK71" s="19">
        <v>3</v>
      </c>
      <c r="AL71" s="19">
        <v>10</v>
      </c>
      <c r="AM71" s="19">
        <v>12</v>
      </c>
      <c r="AN71" s="19">
        <v>5</v>
      </c>
      <c r="AO71" s="19">
        <v>6</v>
      </c>
      <c r="AP71" s="19">
        <v>4</v>
      </c>
      <c r="AQ71" s="194">
        <f>SUM(AE71:AP71)</f>
        <v>74</v>
      </c>
      <c r="AR71" s="19"/>
      <c r="AS71" s="19"/>
      <c r="AT71" s="19"/>
      <c r="AU71" s="19"/>
      <c r="AV71" s="19"/>
      <c r="AW71" s="19"/>
      <c r="AX71" s="19"/>
      <c r="AY71" s="205"/>
      <c r="AZ71" s="1"/>
    </row>
    <row r="72" spans="1:52" x14ac:dyDescent="0.25">
      <c r="A72" s="25"/>
      <c r="B72" s="22"/>
      <c r="C72" s="19"/>
      <c r="D72" s="193"/>
      <c r="E72" s="20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6">
        <f t="shared" ref="AE72:AP72" si="22">(AE71*-2)</f>
        <v>0</v>
      </c>
      <c r="AF72" s="196">
        <f t="shared" si="22"/>
        <v>-12</v>
      </c>
      <c r="AG72" s="196">
        <f t="shared" si="22"/>
        <v>-16</v>
      </c>
      <c r="AH72" s="196">
        <f t="shared" si="22"/>
        <v>-14</v>
      </c>
      <c r="AI72" s="196">
        <f t="shared" si="22"/>
        <v>-14</v>
      </c>
      <c r="AJ72" s="196">
        <f t="shared" si="22"/>
        <v>-12</v>
      </c>
      <c r="AK72" s="196">
        <f t="shared" si="22"/>
        <v>-6</v>
      </c>
      <c r="AL72" s="196">
        <f t="shared" si="22"/>
        <v>-20</v>
      </c>
      <c r="AM72" s="196">
        <f t="shared" si="22"/>
        <v>-24</v>
      </c>
      <c r="AN72" s="196">
        <f t="shared" si="22"/>
        <v>-10</v>
      </c>
      <c r="AO72" s="196">
        <f t="shared" si="22"/>
        <v>-12</v>
      </c>
      <c r="AP72" s="196">
        <f t="shared" si="22"/>
        <v>-8</v>
      </c>
      <c r="AQ72" s="19"/>
      <c r="AR72" s="19"/>
      <c r="AS72" s="19"/>
      <c r="AT72" s="19"/>
      <c r="AU72" s="19"/>
      <c r="AV72" s="19"/>
      <c r="AW72" s="19"/>
      <c r="AX72" s="19"/>
      <c r="AY72" s="205"/>
      <c r="AZ72" s="1"/>
    </row>
    <row r="73" spans="1:52" x14ac:dyDescent="0.25">
      <c r="A73" s="24">
        <v>42856</v>
      </c>
      <c r="B73" s="22" t="s">
        <v>41</v>
      </c>
      <c r="C73" s="19">
        <v>4500</v>
      </c>
      <c r="D73" s="193" t="s">
        <v>6</v>
      </c>
      <c r="E73" s="20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7">
        <f>SUM(AE4:AE72)+AD70</f>
        <v>217</v>
      </c>
      <c r="AF73" s="197">
        <f>SUM(AF4:AF72)+AE73</f>
        <v>200</v>
      </c>
      <c r="AG73" s="19">
        <v>33</v>
      </c>
      <c r="AH73" s="19">
        <v>4</v>
      </c>
      <c r="AI73" s="19">
        <v>12</v>
      </c>
      <c r="AJ73" s="19">
        <v>9</v>
      </c>
      <c r="AK73" s="19">
        <v>3</v>
      </c>
      <c r="AL73" s="19">
        <v>2</v>
      </c>
      <c r="AM73" s="19">
        <v>1</v>
      </c>
      <c r="AN73" s="19">
        <v>3</v>
      </c>
      <c r="AO73" s="19">
        <v>0</v>
      </c>
      <c r="AP73" s="19">
        <v>0</v>
      </c>
      <c r="AQ73" s="19">
        <v>1</v>
      </c>
      <c r="AR73" s="19">
        <v>2</v>
      </c>
      <c r="AS73" s="194">
        <v>-70</v>
      </c>
      <c r="AT73" s="19"/>
      <c r="AU73" s="19"/>
      <c r="AV73" s="19"/>
      <c r="AW73" s="19"/>
      <c r="AX73" s="19"/>
      <c r="AY73" s="205"/>
      <c r="AZ73" s="1"/>
    </row>
    <row r="74" spans="1:52" x14ac:dyDescent="0.25">
      <c r="A74" s="23">
        <v>42856</v>
      </c>
      <c r="B74" s="22" t="s">
        <v>41</v>
      </c>
      <c r="C74" s="19">
        <v>4500</v>
      </c>
      <c r="D74" s="193" t="s">
        <v>7</v>
      </c>
      <c r="E74" s="20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>
        <v>0</v>
      </c>
      <c r="AH74" s="19">
        <v>8</v>
      </c>
      <c r="AI74" s="19">
        <v>8</v>
      </c>
      <c r="AJ74" s="19">
        <v>6</v>
      </c>
      <c r="AK74" s="19">
        <v>5</v>
      </c>
      <c r="AL74" s="19">
        <v>7</v>
      </c>
      <c r="AM74" s="19">
        <v>7</v>
      </c>
      <c r="AN74" s="19">
        <v>2</v>
      </c>
      <c r="AO74" s="19">
        <v>7</v>
      </c>
      <c r="AP74" s="19">
        <v>6</v>
      </c>
      <c r="AQ74" s="19">
        <v>7</v>
      </c>
      <c r="AR74" s="19">
        <v>1</v>
      </c>
      <c r="AS74" s="194">
        <f>SUM(AG74:AR74)</f>
        <v>64</v>
      </c>
      <c r="AT74" s="19"/>
      <c r="AU74" s="19"/>
      <c r="AV74" s="19"/>
      <c r="AW74" s="19"/>
      <c r="AX74" s="19"/>
      <c r="AY74" s="205"/>
      <c r="AZ74" s="1"/>
    </row>
    <row r="75" spans="1:52" x14ac:dyDescent="0.25">
      <c r="A75" s="25"/>
      <c r="B75" s="22"/>
      <c r="C75" s="19"/>
      <c r="D75" s="193"/>
      <c r="E75" s="20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6">
        <f t="shared" ref="AG75:AR75" si="23">(AG74*-2)</f>
        <v>0</v>
      </c>
      <c r="AH75" s="196">
        <f t="shared" si="23"/>
        <v>-16</v>
      </c>
      <c r="AI75" s="196">
        <f t="shared" si="23"/>
        <v>-16</v>
      </c>
      <c r="AJ75" s="196">
        <f t="shared" si="23"/>
        <v>-12</v>
      </c>
      <c r="AK75" s="196">
        <f t="shared" si="23"/>
        <v>-10</v>
      </c>
      <c r="AL75" s="196">
        <f t="shared" si="23"/>
        <v>-14</v>
      </c>
      <c r="AM75" s="196">
        <f t="shared" si="23"/>
        <v>-14</v>
      </c>
      <c r="AN75" s="196">
        <f t="shared" si="23"/>
        <v>-4</v>
      </c>
      <c r="AO75" s="196">
        <f t="shared" si="23"/>
        <v>-14</v>
      </c>
      <c r="AP75" s="196">
        <f t="shared" si="23"/>
        <v>-12</v>
      </c>
      <c r="AQ75" s="196">
        <f t="shared" si="23"/>
        <v>-14</v>
      </c>
      <c r="AR75" s="196">
        <f t="shared" si="23"/>
        <v>-2</v>
      </c>
      <c r="AS75" s="19"/>
      <c r="AT75" s="19"/>
      <c r="AU75" s="19"/>
      <c r="AV75" s="19"/>
      <c r="AW75" s="19"/>
      <c r="AX75" s="19"/>
      <c r="AY75" s="205"/>
      <c r="AZ75" s="1"/>
    </row>
    <row r="76" spans="1:52" x14ac:dyDescent="0.25">
      <c r="A76" s="24">
        <v>42887</v>
      </c>
      <c r="B76" s="22" t="s">
        <v>42</v>
      </c>
      <c r="C76" s="19">
        <v>5600</v>
      </c>
      <c r="D76" s="193" t="s">
        <v>6</v>
      </c>
      <c r="E76" s="20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7">
        <f>SUM(AG4:AG75)+AF73</f>
        <v>222</v>
      </c>
      <c r="AH76" s="19">
        <v>45</v>
      </c>
      <c r="AI76" s="19">
        <v>7</v>
      </c>
      <c r="AJ76" s="19">
        <v>14</v>
      </c>
      <c r="AK76" s="19">
        <v>10</v>
      </c>
      <c r="AL76" s="19">
        <v>5</v>
      </c>
      <c r="AM76" s="19">
        <v>2</v>
      </c>
      <c r="AN76" s="19">
        <v>1</v>
      </c>
      <c r="AO76" s="19">
        <v>2</v>
      </c>
      <c r="AP76" s="19">
        <v>1</v>
      </c>
      <c r="AQ76" s="19">
        <v>0</v>
      </c>
      <c r="AR76" s="19">
        <v>0</v>
      </c>
      <c r="AS76" s="19">
        <v>0</v>
      </c>
      <c r="AT76" s="194">
        <v>-87</v>
      </c>
      <c r="AU76" s="19"/>
      <c r="AV76" s="19"/>
      <c r="AW76" s="19"/>
      <c r="AX76" s="19"/>
      <c r="AY76" s="205"/>
      <c r="AZ76" s="1"/>
    </row>
    <row r="77" spans="1:52" x14ac:dyDescent="0.25">
      <c r="A77" s="23">
        <v>42887</v>
      </c>
      <c r="B77" s="22" t="s">
        <v>42</v>
      </c>
      <c r="C77" s="19">
        <v>5600</v>
      </c>
      <c r="D77" s="193" t="s">
        <v>7</v>
      </c>
      <c r="E77" s="20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>
        <v>0</v>
      </c>
      <c r="AI77" s="19">
        <v>5</v>
      </c>
      <c r="AJ77" s="19">
        <v>7</v>
      </c>
      <c r="AK77" s="19">
        <v>6</v>
      </c>
      <c r="AL77" s="19">
        <v>6</v>
      </c>
      <c r="AM77" s="19">
        <v>7</v>
      </c>
      <c r="AN77" s="19">
        <v>5</v>
      </c>
      <c r="AO77" s="19">
        <v>8</v>
      </c>
      <c r="AP77" s="19">
        <v>12</v>
      </c>
      <c r="AQ77" s="19">
        <v>5</v>
      </c>
      <c r="AR77" s="19">
        <v>6</v>
      </c>
      <c r="AS77" s="19">
        <v>5</v>
      </c>
      <c r="AT77" s="194">
        <f>SUM(AH77:AS77)</f>
        <v>72</v>
      </c>
      <c r="AU77" s="19"/>
      <c r="AV77" s="19"/>
      <c r="AW77" s="19"/>
      <c r="AX77" s="19"/>
      <c r="AY77" s="205"/>
      <c r="AZ77" s="1"/>
    </row>
    <row r="78" spans="1:52" x14ac:dyDescent="0.25">
      <c r="A78" s="25"/>
      <c r="B78" s="22"/>
      <c r="C78" s="19"/>
      <c r="D78" s="193"/>
      <c r="E78" s="20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6">
        <f t="shared" ref="AH78:AS78" si="24">(AH77*-2)</f>
        <v>0</v>
      </c>
      <c r="AI78" s="196">
        <f t="shared" si="24"/>
        <v>-10</v>
      </c>
      <c r="AJ78" s="196">
        <f t="shared" si="24"/>
        <v>-14</v>
      </c>
      <c r="AK78" s="196">
        <f t="shared" si="24"/>
        <v>-12</v>
      </c>
      <c r="AL78" s="196">
        <f t="shared" si="24"/>
        <v>-12</v>
      </c>
      <c r="AM78" s="196">
        <f t="shared" si="24"/>
        <v>-14</v>
      </c>
      <c r="AN78" s="196">
        <f t="shared" si="24"/>
        <v>-10</v>
      </c>
      <c r="AO78" s="196">
        <f t="shared" si="24"/>
        <v>-16</v>
      </c>
      <c r="AP78" s="196">
        <f t="shared" si="24"/>
        <v>-24</v>
      </c>
      <c r="AQ78" s="196">
        <f t="shared" si="24"/>
        <v>-10</v>
      </c>
      <c r="AR78" s="196">
        <f t="shared" si="24"/>
        <v>-12</v>
      </c>
      <c r="AS78" s="196">
        <f t="shared" si="24"/>
        <v>-10</v>
      </c>
      <c r="AT78" s="19"/>
      <c r="AU78" s="19"/>
      <c r="AV78" s="19"/>
      <c r="AW78" s="19"/>
      <c r="AX78" s="19"/>
      <c r="AY78" s="205"/>
      <c r="AZ78" s="1"/>
    </row>
    <row r="79" spans="1:52" x14ac:dyDescent="0.25">
      <c r="A79" s="24">
        <v>42946</v>
      </c>
      <c r="B79" s="22" t="s">
        <v>43</v>
      </c>
      <c r="C79" s="19">
        <v>5600</v>
      </c>
      <c r="D79" s="193" t="s">
        <v>6</v>
      </c>
      <c r="E79" s="20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7">
        <f>SUM(AH4:AH78)+AG76</f>
        <v>249</v>
      </c>
      <c r="AI79" s="19">
        <v>46</v>
      </c>
      <c r="AJ79" s="19">
        <v>10</v>
      </c>
      <c r="AK79" s="19">
        <v>16</v>
      </c>
      <c r="AL79" s="19">
        <v>8</v>
      </c>
      <c r="AM79" s="19">
        <v>5</v>
      </c>
      <c r="AN79" s="19">
        <v>1</v>
      </c>
      <c r="AO79" s="19">
        <v>6</v>
      </c>
      <c r="AP79" s="19">
        <v>3</v>
      </c>
      <c r="AQ79" s="19">
        <v>1</v>
      </c>
      <c r="AR79" s="19">
        <v>0</v>
      </c>
      <c r="AS79" s="19">
        <v>1</v>
      </c>
      <c r="AT79" s="19">
        <v>0</v>
      </c>
      <c r="AU79" s="194">
        <v>-97</v>
      </c>
      <c r="AV79" s="19"/>
      <c r="AW79" s="19"/>
      <c r="AX79" s="19"/>
      <c r="AY79" s="205"/>
      <c r="AZ79" s="1"/>
    </row>
    <row r="80" spans="1:52" x14ac:dyDescent="0.25">
      <c r="A80" s="23">
        <v>42946</v>
      </c>
      <c r="B80" s="22" t="s">
        <v>43</v>
      </c>
      <c r="C80" s="19">
        <v>5600</v>
      </c>
      <c r="D80" s="193" t="s">
        <v>7</v>
      </c>
      <c r="E80" s="20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>
        <v>0</v>
      </c>
      <c r="AJ80" s="19">
        <v>4</v>
      </c>
      <c r="AK80" s="19">
        <v>11</v>
      </c>
      <c r="AL80" s="19">
        <v>5</v>
      </c>
      <c r="AM80" s="19">
        <v>8</v>
      </c>
      <c r="AN80" s="19">
        <v>6</v>
      </c>
      <c r="AO80" s="19">
        <v>4</v>
      </c>
      <c r="AP80" s="19">
        <v>6</v>
      </c>
      <c r="AQ80" s="19">
        <v>8</v>
      </c>
      <c r="AR80" s="19">
        <v>3</v>
      </c>
      <c r="AS80" s="19">
        <v>5</v>
      </c>
      <c r="AT80" s="19">
        <v>9</v>
      </c>
      <c r="AU80" s="194">
        <f>SUM(AI80:AT80)</f>
        <v>69</v>
      </c>
      <c r="AV80" s="19"/>
      <c r="AW80" s="19"/>
      <c r="AX80" s="19"/>
      <c r="AY80" s="205"/>
      <c r="AZ80" s="1"/>
    </row>
    <row r="81" spans="1:52" x14ac:dyDescent="0.25">
      <c r="A81" s="25"/>
      <c r="B81" s="22"/>
      <c r="C81" s="19"/>
      <c r="D81" s="193"/>
      <c r="E81" s="20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6">
        <f t="shared" ref="AI81:AT81" si="25">(AI80*-2)</f>
        <v>0</v>
      </c>
      <c r="AJ81" s="196">
        <f t="shared" si="25"/>
        <v>-8</v>
      </c>
      <c r="AK81" s="196">
        <f t="shared" si="25"/>
        <v>-22</v>
      </c>
      <c r="AL81" s="196">
        <f t="shared" si="25"/>
        <v>-10</v>
      </c>
      <c r="AM81" s="196">
        <f t="shared" si="25"/>
        <v>-16</v>
      </c>
      <c r="AN81" s="196">
        <f t="shared" si="25"/>
        <v>-12</v>
      </c>
      <c r="AO81" s="196">
        <f t="shared" si="25"/>
        <v>-8</v>
      </c>
      <c r="AP81" s="196">
        <f t="shared" si="25"/>
        <v>-12</v>
      </c>
      <c r="AQ81" s="196">
        <f t="shared" si="25"/>
        <v>-16</v>
      </c>
      <c r="AR81" s="196">
        <f t="shared" si="25"/>
        <v>-6</v>
      </c>
      <c r="AS81" s="196">
        <f t="shared" si="25"/>
        <v>-10</v>
      </c>
      <c r="AT81" s="196">
        <f t="shared" si="25"/>
        <v>-18</v>
      </c>
      <c r="AU81" s="19"/>
      <c r="AV81" s="19"/>
      <c r="AW81" s="19"/>
      <c r="AX81" s="19"/>
      <c r="AY81" s="205"/>
      <c r="AZ81" s="1"/>
    </row>
    <row r="82" spans="1:52" x14ac:dyDescent="0.25">
      <c r="A82" s="24">
        <v>42948</v>
      </c>
      <c r="B82" s="22" t="s">
        <v>44</v>
      </c>
      <c r="C82" s="19">
        <v>6100</v>
      </c>
      <c r="D82" s="193" t="s">
        <v>6</v>
      </c>
      <c r="E82" s="20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7">
        <f>SUM(AI4:AI81)+AH79</f>
        <v>281</v>
      </c>
      <c r="AJ82" s="19">
        <v>60</v>
      </c>
      <c r="AK82" s="19">
        <v>15</v>
      </c>
      <c r="AL82" s="19">
        <v>13</v>
      </c>
      <c r="AM82" s="19">
        <v>14</v>
      </c>
      <c r="AN82" s="19">
        <v>8</v>
      </c>
      <c r="AO82" s="19">
        <v>6</v>
      </c>
      <c r="AP82" s="19">
        <v>2</v>
      </c>
      <c r="AQ82" s="19">
        <v>1</v>
      </c>
      <c r="AR82" s="19">
        <v>1</v>
      </c>
      <c r="AS82" s="19">
        <v>0</v>
      </c>
      <c r="AT82" s="19">
        <v>1</v>
      </c>
      <c r="AU82" s="19">
        <v>2</v>
      </c>
      <c r="AV82" s="194">
        <v>-123</v>
      </c>
      <c r="AW82" s="19"/>
      <c r="AX82" s="19"/>
      <c r="AY82" s="205"/>
      <c r="AZ82" s="1"/>
    </row>
    <row r="83" spans="1:52" x14ac:dyDescent="0.25">
      <c r="A83" s="23">
        <v>42948</v>
      </c>
      <c r="B83" s="22" t="s">
        <v>44</v>
      </c>
      <c r="C83" s="19">
        <v>6100</v>
      </c>
      <c r="D83" s="193" t="s">
        <v>7</v>
      </c>
      <c r="E83" s="20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>
        <v>0</v>
      </c>
      <c r="AK83" s="19">
        <v>6</v>
      </c>
      <c r="AL83" s="19">
        <v>8</v>
      </c>
      <c r="AM83" s="19">
        <v>7</v>
      </c>
      <c r="AN83" s="19">
        <v>7</v>
      </c>
      <c r="AO83" s="19">
        <v>6</v>
      </c>
      <c r="AP83" s="19">
        <v>5</v>
      </c>
      <c r="AQ83" s="19">
        <v>10</v>
      </c>
      <c r="AR83" s="19">
        <v>12</v>
      </c>
      <c r="AS83" s="19">
        <v>15</v>
      </c>
      <c r="AT83" s="19">
        <v>16</v>
      </c>
      <c r="AU83" s="19">
        <v>7</v>
      </c>
      <c r="AV83" s="194">
        <f>SUM(AJ83:AU83)</f>
        <v>99</v>
      </c>
      <c r="AW83" s="19"/>
      <c r="AX83" s="19"/>
      <c r="AY83" s="205"/>
      <c r="AZ83" s="1"/>
    </row>
    <row r="84" spans="1:52" x14ac:dyDescent="0.25">
      <c r="A84" s="25"/>
      <c r="B84" s="22"/>
      <c r="C84" s="19"/>
      <c r="D84" s="193"/>
      <c r="E84" s="20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6">
        <f t="shared" ref="AJ84:AU84" si="26">(AJ83*-2)</f>
        <v>0</v>
      </c>
      <c r="AK84" s="196">
        <f t="shared" si="26"/>
        <v>-12</v>
      </c>
      <c r="AL84" s="196">
        <f t="shared" si="26"/>
        <v>-16</v>
      </c>
      <c r="AM84" s="196">
        <f t="shared" si="26"/>
        <v>-14</v>
      </c>
      <c r="AN84" s="196">
        <f t="shared" si="26"/>
        <v>-14</v>
      </c>
      <c r="AO84" s="196">
        <f t="shared" si="26"/>
        <v>-12</v>
      </c>
      <c r="AP84" s="196">
        <f t="shared" si="26"/>
        <v>-10</v>
      </c>
      <c r="AQ84" s="196">
        <f t="shared" si="26"/>
        <v>-20</v>
      </c>
      <c r="AR84" s="196">
        <f t="shared" si="26"/>
        <v>-24</v>
      </c>
      <c r="AS84" s="196">
        <f t="shared" si="26"/>
        <v>-30</v>
      </c>
      <c r="AT84" s="196">
        <f t="shared" si="26"/>
        <v>-32</v>
      </c>
      <c r="AU84" s="196">
        <f t="shared" si="26"/>
        <v>-14</v>
      </c>
      <c r="AV84" s="19"/>
      <c r="AW84" s="19"/>
      <c r="AX84" s="19"/>
      <c r="AY84" s="205"/>
      <c r="AZ84" s="1"/>
    </row>
    <row r="85" spans="1:52" x14ac:dyDescent="0.25">
      <c r="A85" s="24">
        <v>43009</v>
      </c>
      <c r="B85" s="22" t="s">
        <v>45</v>
      </c>
      <c r="C85" s="19">
        <v>6750</v>
      </c>
      <c r="D85" s="193" t="s">
        <v>6</v>
      </c>
      <c r="E85" s="20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7">
        <f>SUM(AJ4:AJ84)+AI82</f>
        <v>346</v>
      </c>
      <c r="AK85" s="197">
        <f>SUM(AK4:AK84)+AJ85</f>
        <v>380</v>
      </c>
      <c r="AL85" s="19">
        <v>55</v>
      </c>
      <c r="AM85" s="19">
        <v>14</v>
      </c>
      <c r="AN85" s="19">
        <v>12</v>
      </c>
      <c r="AO85" s="19">
        <v>9</v>
      </c>
      <c r="AP85" s="19">
        <v>3</v>
      </c>
      <c r="AQ85" s="19">
        <v>2</v>
      </c>
      <c r="AR85" s="19">
        <v>1</v>
      </c>
      <c r="AS85" s="19">
        <v>3</v>
      </c>
      <c r="AT85" s="19">
        <v>0</v>
      </c>
      <c r="AU85" s="19">
        <v>0</v>
      </c>
      <c r="AV85" s="19">
        <v>1</v>
      </c>
      <c r="AW85" s="19">
        <v>2</v>
      </c>
      <c r="AX85" s="194">
        <v>-102</v>
      </c>
      <c r="AY85" s="205"/>
      <c r="AZ85" s="1"/>
    </row>
    <row r="86" spans="1:52" x14ac:dyDescent="0.25">
      <c r="A86" s="23">
        <v>43009</v>
      </c>
      <c r="B86" s="22" t="s">
        <v>45</v>
      </c>
      <c r="C86" s="19">
        <v>6750</v>
      </c>
      <c r="D86" s="193" t="s">
        <v>7</v>
      </c>
      <c r="E86" s="20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>
        <v>0</v>
      </c>
      <c r="AM86" s="19">
        <v>8</v>
      </c>
      <c r="AN86" s="19">
        <v>8</v>
      </c>
      <c r="AO86" s="19">
        <v>16</v>
      </c>
      <c r="AP86" s="19">
        <v>9</v>
      </c>
      <c r="AQ86" s="19">
        <v>7</v>
      </c>
      <c r="AR86" s="19">
        <v>7</v>
      </c>
      <c r="AS86" s="19">
        <v>2</v>
      </c>
      <c r="AT86" s="19">
        <v>17</v>
      </c>
      <c r="AU86" s="19">
        <v>6</v>
      </c>
      <c r="AV86" s="19">
        <v>7</v>
      </c>
      <c r="AW86" s="19">
        <v>1</v>
      </c>
      <c r="AX86" s="194">
        <f>SUM(AL86:AW86)</f>
        <v>88</v>
      </c>
      <c r="AY86" s="205"/>
      <c r="AZ86" s="1"/>
    </row>
    <row r="87" spans="1:52" x14ac:dyDescent="0.25">
      <c r="A87" s="25"/>
      <c r="B87" s="22"/>
      <c r="C87" s="19"/>
      <c r="D87" s="193"/>
      <c r="E87" s="20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6">
        <f t="shared" ref="AL87:AW87" si="27">(AL86*-2)</f>
        <v>0</v>
      </c>
      <c r="AM87" s="196">
        <f t="shared" si="27"/>
        <v>-16</v>
      </c>
      <c r="AN87" s="196">
        <f t="shared" si="27"/>
        <v>-16</v>
      </c>
      <c r="AO87" s="196">
        <f t="shared" si="27"/>
        <v>-32</v>
      </c>
      <c r="AP87" s="196">
        <f t="shared" si="27"/>
        <v>-18</v>
      </c>
      <c r="AQ87" s="196">
        <f t="shared" si="27"/>
        <v>-14</v>
      </c>
      <c r="AR87" s="196">
        <f t="shared" si="27"/>
        <v>-14</v>
      </c>
      <c r="AS87" s="196">
        <f t="shared" si="27"/>
        <v>-4</v>
      </c>
      <c r="AT87" s="196">
        <f t="shared" si="27"/>
        <v>-34</v>
      </c>
      <c r="AU87" s="196">
        <f t="shared" si="27"/>
        <v>-12</v>
      </c>
      <c r="AV87" s="196">
        <f t="shared" si="27"/>
        <v>-14</v>
      </c>
      <c r="AW87" s="196">
        <f t="shared" si="27"/>
        <v>-2</v>
      </c>
      <c r="AX87" s="19"/>
      <c r="AY87" s="205"/>
      <c r="AZ87" s="1"/>
    </row>
    <row r="88" spans="1:52" x14ac:dyDescent="0.25">
      <c r="A88" s="24">
        <v>43040</v>
      </c>
      <c r="B88" s="22" t="s">
        <v>46</v>
      </c>
      <c r="C88" s="19">
        <v>7504</v>
      </c>
      <c r="D88" s="193" t="s">
        <v>6</v>
      </c>
      <c r="E88" s="20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7">
        <f>SUM(AL4:AL87)+AK85</f>
        <v>417</v>
      </c>
      <c r="AM88" s="19">
        <v>50</v>
      </c>
      <c r="AN88" s="19">
        <v>10</v>
      </c>
      <c r="AO88" s="19">
        <v>16</v>
      </c>
      <c r="AP88" s="19">
        <v>8</v>
      </c>
      <c r="AQ88" s="19">
        <v>5</v>
      </c>
      <c r="AR88" s="19">
        <v>1</v>
      </c>
      <c r="AS88" s="19">
        <v>6</v>
      </c>
      <c r="AT88" s="19">
        <v>3</v>
      </c>
      <c r="AU88" s="19">
        <v>1</v>
      </c>
      <c r="AV88" s="19">
        <v>0</v>
      </c>
      <c r="AW88" s="19">
        <v>1</v>
      </c>
      <c r="AX88" s="19">
        <v>0</v>
      </c>
      <c r="AY88" s="208">
        <v>-101</v>
      </c>
      <c r="AZ88" s="1"/>
    </row>
    <row r="89" spans="1:52" x14ac:dyDescent="0.25">
      <c r="A89" s="23">
        <v>43040</v>
      </c>
      <c r="B89" s="22" t="s">
        <v>46</v>
      </c>
      <c r="C89" s="19">
        <v>7504</v>
      </c>
      <c r="D89" s="193" t="s">
        <v>7</v>
      </c>
      <c r="E89" s="20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>
        <v>0</v>
      </c>
      <c r="AN89" s="19">
        <v>4</v>
      </c>
      <c r="AO89" s="19">
        <v>11</v>
      </c>
      <c r="AP89" s="19">
        <v>5</v>
      </c>
      <c r="AQ89" s="19">
        <v>8</v>
      </c>
      <c r="AR89" s="19">
        <v>6</v>
      </c>
      <c r="AS89" s="19">
        <v>4</v>
      </c>
      <c r="AT89" s="19">
        <v>6</v>
      </c>
      <c r="AU89" s="19">
        <v>8</v>
      </c>
      <c r="AV89" s="19">
        <v>3</v>
      </c>
      <c r="AW89" s="19">
        <v>5</v>
      </c>
      <c r="AX89" s="19">
        <v>9</v>
      </c>
      <c r="AY89" s="208">
        <f>SUM(AM89:AX89)</f>
        <v>69</v>
      </c>
      <c r="AZ89" s="1"/>
    </row>
    <row r="90" spans="1:52" x14ac:dyDescent="0.25">
      <c r="A90" s="25"/>
      <c r="B90" s="22"/>
      <c r="C90" s="19"/>
      <c r="D90" s="193"/>
      <c r="E90" s="20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6">
        <f t="shared" ref="AM90:AX90" si="28">(AM89*-2)</f>
        <v>0</v>
      </c>
      <c r="AN90" s="196">
        <f t="shared" si="28"/>
        <v>-8</v>
      </c>
      <c r="AO90" s="196">
        <f t="shared" si="28"/>
        <v>-22</v>
      </c>
      <c r="AP90" s="196">
        <f t="shared" si="28"/>
        <v>-10</v>
      </c>
      <c r="AQ90" s="196">
        <f t="shared" si="28"/>
        <v>-16</v>
      </c>
      <c r="AR90" s="196">
        <f t="shared" si="28"/>
        <v>-12</v>
      </c>
      <c r="AS90" s="196">
        <f t="shared" si="28"/>
        <v>-8</v>
      </c>
      <c r="AT90" s="196">
        <f t="shared" si="28"/>
        <v>-12</v>
      </c>
      <c r="AU90" s="196">
        <f t="shared" si="28"/>
        <v>-16</v>
      </c>
      <c r="AV90" s="196">
        <f t="shared" si="28"/>
        <v>-6</v>
      </c>
      <c r="AW90" s="196">
        <f t="shared" si="28"/>
        <v>-10</v>
      </c>
      <c r="AX90" s="196">
        <f t="shared" si="28"/>
        <v>-18</v>
      </c>
      <c r="AY90" s="205"/>
      <c r="AZ90" s="1"/>
    </row>
    <row r="91" spans="1:52" x14ac:dyDescent="0.25">
      <c r="A91" s="24">
        <v>43070</v>
      </c>
      <c r="B91" s="22" t="s">
        <v>47</v>
      </c>
      <c r="C91" s="19">
        <v>4932</v>
      </c>
      <c r="D91" s="193" t="s">
        <v>6</v>
      </c>
      <c r="E91" s="20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7">
        <f>SUM(AM4:AM90)+AL88</f>
        <v>443</v>
      </c>
      <c r="AN91" s="19">
        <v>63</v>
      </c>
      <c r="AO91" s="19">
        <v>15</v>
      </c>
      <c r="AP91" s="19">
        <v>13</v>
      </c>
      <c r="AQ91" s="19">
        <v>14</v>
      </c>
      <c r="AR91" s="19">
        <v>8</v>
      </c>
      <c r="AS91" s="19">
        <v>6</v>
      </c>
      <c r="AT91" s="19">
        <v>2</v>
      </c>
      <c r="AU91" s="19">
        <v>1</v>
      </c>
      <c r="AV91" s="19">
        <v>1</v>
      </c>
      <c r="AW91" s="19">
        <v>0</v>
      </c>
      <c r="AX91" s="19">
        <v>1</v>
      </c>
      <c r="AY91" s="205">
        <v>2</v>
      </c>
      <c r="AZ91" s="1"/>
    </row>
    <row r="92" spans="1:52" x14ac:dyDescent="0.25">
      <c r="A92" s="23">
        <v>43070</v>
      </c>
      <c r="B92" s="22" t="s">
        <v>47</v>
      </c>
      <c r="C92" s="19">
        <v>4932</v>
      </c>
      <c r="D92" s="193" t="s">
        <v>7</v>
      </c>
      <c r="E92" s="20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>
        <v>0</v>
      </c>
      <c r="AO92" s="19">
        <v>6</v>
      </c>
      <c r="AP92" s="19">
        <v>8</v>
      </c>
      <c r="AQ92" s="19">
        <v>7</v>
      </c>
      <c r="AR92" s="19">
        <v>7</v>
      </c>
      <c r="AS92" s="19">
        <v>6</v>
      </c>
      <c r="AT92" s="19">
        <v>5</v>
      </c>
      <c r="AU92" s="19">
        <v>10</v>
      </c>
      <c r="AV92" s="19">
        <v>12</v>
      </c>
      <c r="AW92" s="19">
        <v>15</v>
      </c>
      <c r="AX92" s="19">
        <v>16</v>
      </c>
      <c r="AY92" s="205">
        <v>7</v>
      </c>
      <c r="AZ92" s="1"/>
    </row>
    <row r="93" spans="1:52" x14ac:dyDescent="0.25">
      <c r="A93" s="215"/>
      <c r="B93" s="198"/>
      <c r="C93" s="198"/>
      <c r="D93" s="193"/>
      <c r="E93" s="213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  <c r="AK93" s="198"/>
      <c r="AL93" s="198"/>
      <c r="AM93" s="198"/>
      <c r="AN93" s="196">
        <f t="shared" ref="AN93:AY93" si="29">(AN92*-2)</f>
        <v>0</v>
      </c>
      <c r="AO93" s="196">
        <f t="shared" si="29"/>
        <v>-12</v>
      </c>
      <c r="AP93" s="196">
        <f t="shared" si="29"/>
        <v>-16</v>
      </c>
      <c r="AQ93" s="196">
        <f t="shared" si="29"/>
        <v>-14</v>
      </c>
      <c r="AR93" s="196">
        <f t="shared" si="29"/>
        <v>-14</v>
      </c>
      <c r="AS93" s="196">
        <f t="shared" si="29"/>
        <v>-12</v>
      </c>
      <c r="AT93" s="196">
        <f t="shared" si="29"/>
        <v>-10</v>
      </c>
      <c r="AU93" s="196">
        <f t="shared" si="29"/>
        <v>-20</v>
      </c>
      <c r="AV93" s="196">
        <f t="shared" si="29"/>
        <v>-24</v>
      </c>
      <c r="AW93" s="196">
        <f t="shared" si="29"/>
        <v>-30</v>
      </c>
      <c r="AX93" s="196">
        <f t="shared" si="29"/>
        <v>-32</v>
      </c>
      <c r="AY93" s="209">
        <f t="shared" si="29"/>
        <v>-14</v>
      </c>
    </row>
    <row r="94" spans="1:52" ht="13.8" thickBot="1" x14ac:dyDescent="0.3">
      <c r="A94" s="215"/>
      <c r="B94" s="198"/>
      <c r="C94" s="198"/>
      <c r="E94" s="214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1">
        <f>SUM(AN4:AN93)+AM91</f>
        <v>495</v>
      </c>
      <c r="AO94" s="211">
        <f t="shared" ref="AO94:AY94" si="30">SUM(AO4:AO93)+AN94</f>
        <v>461</v>
      </c>
      <c r="AP94" s="211">
        <f t="shared" si="30"/>
        <v>408</v>
      </c>
      <c r="AQ94" s="211">
        <f t="shared" si="30"/>
        <v>373</v>
      </c>
      <c r="AR94" s="211">
        <f t="shared" si="30"/>
        <v>344</v>
      </c>
      <c r="AS94" s="211">
        <f t="shared" si="30"/>
        <v>317</v>
      </c>
      <c r="AT94" s="211">
        <f t="shared" si="30"/>
        <v>255</v>
      </c>
      <c r="AU94" s="211">
        <f t="shared" si="30"/>
        <v>200</v>
      </c>
      <c r="AV94" s="211">
        <f t="shared" si="30"/>
        <v>156</v>
      </c>
      <c r="AW94" s="211">
        <f t="shared" si="30"/>
        <v>138</v>
      </c>
      <c r="AX94" s="211">
        <f t="shared" si="30"/>
        <v>100</v>
      </c>
      <c r="AY94" s="212">
        <f t="shared" si="30"/>
        <v>63</v>
      </c>
    </row>
    <row r="95" spans="1:52" ht="29.55" customHeight="1" thickBot="1" x14ac:dyDescent="0.3">
      <c r="A95" s="153"/>
      <c r="B95" s="154"/>
      <c r="C95" s="154"/>
      <c r="D95" s="217" t="s">
        <v>81</v>
      </c>
      <c r="E95" s="218">
        <v>42005</v>
      </c>
      <c r="F95" s="219">
        <v>42036</v>
      </c>
      <c r="G95" s="219">
        <v>42064</v>
      </c>
      <c r="H95" s="219">
        <v>42095</v>
      </c>
      <c r="I95" s="219">
        <v>42125</v>
      </c>
      <c r="J95" s="219">
        <v>42156</v>
      </c>
      <c r="K95" s="219">
        <v>42186</v>
      </c>
      <c r="L95" s="219">
        <v>42217</v>
      </c>
      <c r="M95" s="219">
        <v>42248</v>
      </c>
      <c r="N95" s="219">
        <v>42278</v>
      </c>
      <c r="O95" s="219">
        <v>42309</v>
      </c>
      <c r="P95" s="219">
        <v>42339</v>
      </c>
      <c r="Q95" s="219">
        <v>42370</v>
      </c>
      <c r="R95" s="219">
        <v>42401</v>
      </c>
      <c r="S95" s="219">
        <v>42430</v>
      </c>
      <c r="T95" s="219">
        <v>42461</v>
      </c>
      <c r="U95" s="219">
        <v>42491</v>
      </c>
      <c r="V95" s="219">
        <v>42522</v>
      </c>
      <c r="W95" s="219">
        <v>42552</v>
      </c>
      <c r="X95" s="219">
        <v>42583</v>
      </c>
      <c r="Y95" s="219">
        <v>42614</v>
      </c>
      <c r="Z95" s="219">
        <v>42644</v>
      </c>
      <c r="AA95" s="219">
        <v>42675</v>
      </c>
      <c r="AB95" s="219">
        <v>42705</v>
      </c>
      <c r="AC95" s="219">
        <v>42736</v>
      </c>
      <c r="AD95" s="219">
        <v>42767</v>
      </c>
      <c r="AE95" s="219">
        <v>42795</v>
      </c>
      <c r="AF95" s="219">
        <v>42826</v>
      </c>
      <c r="AG95" s="219">
        <v>42856</v>
      </c>
      <c r="AH95" s="219">
        <v>42887</v>
      </c>
      <c r="AI95" s="219">
        <v>42917</v>
      </c>
      <c r="AJ95" s="219">
        <v>42948</v>
      </c>
      <c r="AK95" s="219">
        <v>42979</v>
      </c>
      <c r="AL95" s="219">
        <v>43009</v>
      </c>
      <c r="AM95" s="219">
        <v>43040</v>
      </c>
      <c r="AN95" s="219">
        <v>43070</v>
      </c>
      <c r="AO95" s="219">
        <v>43101</v>
      </c>
      <c r="AP95" s="219">
        <v>43132</v>
      </c>
      <c r="AQ95" s="219">
        <v>43160</v>
      </c>
      <c r="AR95" s="219">
        <v>43191</v>
      </c>
      <c r="AS95" s="219">
        <v>43221</v>
      </c>
      <c r="AT95" s="219">
        <v>43252</v>
      </c>
      <c r="AU95" s="219">
        <v>43282</v>
      </c>
      <c r="AV95" s="219">
        <v>43313</v>
      </c>
      <c r="AW95" s="219">
        <v>43344</v>
      </c>
      <c r="AX95" s="219">
        <v>43374</v>
      </c>
      <c r="AY95" s="223">
        <v>43405</v>
      </c>
      <c r="AZ95" s="48"/>
    </row>
    <row r="96" spans="1:52" ht="25.2" customHeight="1" thickBot="1" x14ac:dyDescent="0.3">
      <c r="D96" s="216" t="s">
        <v>146</v>
      </c>
      <c r="E96" s="220">
        <f>E7</f>
        <v>45</v>
      </c>
      <c r="F96" s="220">
        <v>81</v>
      </c>
      <c r="G96" s="220">
        <v>122</v>
      </c>
      <c r="H96" s="220">
        <v>118</v>
      </c>
      <c r="I96" s="220">
        <v>141</v>
      </c>
      <c r="J96" s="220">
        <v>190</v>
      </c>
      <c r="K96" s="220">
        <v>235</v>
      </c>
      <c r="L96" s="220">
        <v>259</v>
      </c>
      <c r="M96" s="220">
        <v>233</v>
      </c>
      <c r="N96" s="220">
        <v>231</v>
      </c>
      <c r="O96" s="220">
        <v>232</v>
      </c>
      <c r="P96" s="220">
        <v>245</v>
      </c>
      <c r="Q96" s="220">
        <v>242</v>
      </c>
      <c r="R96" s="220">
        <v>236</v>
      </c>
      <c r="S96" s="220">
        <v>242</v>
      </c>
      <c r="T96" s="220">
        <v>200</v>
      </c>
      <c r="U96" s="220">
        <v>193</v>
      </c>
      <c r="V96" s="220">
        <v>197</v>
      </c>
      <c r="W96" s="220">
        <v>195</v>
      </c>
      <c r="X96" s="220">
        <v>207</v>
      </c>
      <c r="Y96" s="220">
        <v>171</v>
      </c>
      <c r="Z96" s="220">
        <v>161</v>
      </c>
      <c r="AA96" s="220">
        <v>158</v>
      </c>
      <c r="AB96" s="220">
        <v>154</v>
      </c>
      <c r="AC96" s="220">
        <v>173</v>
      </c>
      <c r="AD96" s="220">
        <v>199</v>
      </c>
      <c r="AE96" s="220">
        <v>217</v>
      </c>
      <c r="AF96" s="220">
        <v>200</v>
      </c>
      <c r="AG96" s="220">
        <v>222</v>
      </c>
      <c r="AH96" s="220">
        <v>249</v>
      </c>
      <c r="AI96" s="220">
        <v>281</v>
      </c>
      <c r="AJ96" s="220">
        <v>346</v>
      </c>
      <c r="AK96" s="220">
        <v>380</v>
      </c>
      <c r="AL96" s="220">
        <v>417</v>
      </c>
      <c r="AM96" s="220">
        <v>443</v>
      </c>
      <c r="AN96" s="220">
        <v>495</v>
      </c>
      <c r="AO96" s="220">
        <v>461</v>
      </c>
      <c r="AP96" s="220">
        <v>408</v>
      </c>
      <c r="AQ96" s="220">
        <v>373</v>
      </c>
      <c r="AR96" s="220">
        <v>344</v>
      </c>
      <c r="AS96" s="220">
        <v>317</v>
      </c>
      <c r="AT96" s="220">
        <v>255</v>
      </c>
      <c r="AU96" s="220">
        <v>200</v>
      </c>
      <c r="AV96" s="220">
        <v>156</v>
      </c>
      <c r="AW96" s="220">
        <v>138</v>
      </c>
      <c r="AX96" s="220">
        <v>100</v>
      </c>
      <c r="AY96" s="220">
        <v>63</v>
      </c>
    </row>
    <row r="97" spans="4:51" ht="28.2" customHeight="1" thickBot="1" x14ac:dyDescent="0.3">
      <c r="D97" s="239" t="s">
        <v>123</v>
      </c>
      <c r="E97" s="221">
        <v>1</v>
      </c>
      <c r="F97" s="221">
        <v>2</v>
      </c>
      <c r="G97" s="221">
        <v>3</v>
      </c>
      <c r="H97" s="221">
        <v>3</v>
      </c>
      <c r="I97" s="221">
        <v>4</v>
      </c>
      <c r="J97" s="221">
        <v>5</v>
      </c>
      <c r="K97" s="221">
        <v>6</v>
      </c>
      <c r="L97" s="221">
        <v>7</v>
      </c>
      <c r="M97" s="221">
        <v>7</v>
      </c>
      <c r="N97" s="221">
        <v>8</v>
      </c>
      <c r="O97" s="221">
        <v>9</v>
      </c>
      <c r="P97" s="221">
        <v>10</v>
      </c>
      <c r="Q97" s="221">
        <v>10</v>
      </c>
      <c r="R97" s="221">
        <v>10</v>
      </c>
      <c r="S97" s="221">
        <v>10</v>
      </c>
      <c r="T97" s="221">
        <v>10</v>
      </c>
      <c r="U97" s="221">
        <v>10</v>
      </c>
      <c r="V97" s="221">
        <v>10</v>
      </c>
      <c r="W97" s="221">
        <v>10</v>
      </c>
      <c r="X97" s="221">
        <v>10</v>
      </c>
      <c r="Y97" s="221">
        <v>10</v>
      </c>
      <c r="Z97" s="221">
        <v>10</v>
      </c>
      <c r="AA97" s="221">
        <v>10</v>
      </c>
      <c r="AB97" s="221">
        <v>10</v>
      </c>
      <c r="AC97" s="221">
        <v>10</v>
      </c>
      <c r="AD97" s="221">
        <v>10</v>
      </c>
      <c r="AE97" s="221">
        <v>10</v>
      </c>
      <c r="AF97" s="221">
        <v>10</v>
      </c>
      <c r="AG97" s="221">
        <v>10</v>
      </c>
      <c r="AH97" s="221">
        <v>10</v>
      </c>
      <c r="AI97" s="221">
        <v>10</v>
      </c>
      <c r="AJ97" s="221">
        <v>10</v>
      </c>
      <c r="AK97" s="221">
        <v>10</v>
      </c>
      <c r="AL97" s="221">
        <v>10</v>
      </c>
      <c r="AM97" s="221">
        <v>10</v>
      </c>
      <c r="AN97" s="221">
        <v>10</v>
      </c>
      <c r="AO97" s="221">
        <v>9</v>
      </c>
      <c r="AP97" s="221">
        <v>8</v>
      </c>
      <c r="AQ97" s="221">
        <v>7</v>
      </c>
      <c r="AR97" s="221">
        <v>7</v>
      </c>
      <c r="AS97" s="221">
        <v>6</v>
      </c>
      <c r="AT97" s="221">
        <v>5</v>
      </c>
      <c r="AU97" s="221">
        <v>4</v>
      </c>
      <c r="AV97" s="221">
        <v>3</v>
      </c>
      <c r="AW97" s="221">
        <v>3</v>
      </c>
      <c r="AX97" s="221">
        <v>2</v>
      </c>
      <c r="AY97" s="221">
        <v>1</v>
      </c>
    </row>
    <row r="98" spans="4:51" ht="30" customHeight="1" thickBot="1" x14ac:dyDescent="0.3">
      <c r="D98" s="238" t="s">
        <v>124</v>
      </c>
      <c r="E98" s="222">
        <f>E96/E97</f>
        <v>45</v>
      </c>
      <c r="F98" s="222">
        <f>F96/F97</f>
        <v>40.5</v>
      </c>
      <c r="G98" s="222">
        <f t="shared" ref="G98:AY98" si="31">G96/G97</f>
        <v>40.666666666666664</v>
      </c>
      <c r="H98" s="222">
        <f t="shared" si="31"/>
        <v>39.333333333333336</v>
      </c>
      <c r="I98" s="222">
        <f t="shared" si="31"/>
        <v>35.25</v>
      </c>
      <c r="J98" s="222">
        <f t="shared" si="31"/>
        <v>38</v>
      </c>
      <c r="K98" s="222">
        <f t="shared" si="31"/>
        <v>39.166666666666664</v>
      </c>
      <c r="L98" s="222">
        <f t="shared" si="31"/>
        <v>37</v>
      </c>
      <c r="M98" s="222">
        <f t="shared" si="31"/>
        <v>33.285714285714285</v>
      </c>
      <c r="N98" s="222">
        <f t="shared" si="31"/>
        <v>28.875</v>
      </c>
      <c r="O98" s="222">
        <f t="shared" si="31"/>
        <v>25.777777777777779</v>
      </c>
      <c r="P98" s="222">
        <f t="shared" si="31"/>
        <v>24.5</v>
      </c>
      <c r="Q98" s="222">
        <f t="shared" si="31"/>
        <v>24.2</v>
      </c>
      <c r="R98" s="222">
        <f t="shared" si="31"/>
        <v>23.6</v>
      </c>
      <c r="S98" s="222">
        <f t="shared" si="31"/>
        <v>24.2</v>
      </c>
      <c r="T98" s="222">
        <f t="shared" si="31"/>
        <v>20</v>
      </c>
      <c r="U98" s="222">
        <f t="shared" si="31"/>
        <v>19.3</v>
      </c>
      <c r="V98" s="222">
        <f t="shared" si="31"/>
        <v>19.7</v>
      </c>
      <c r="W98" s="222">
        <f t="shared" si="31"/>
        <v>19.5</v>
      </c>
      <c r="X98" s="222">
        <f t="shared" si="31"/>
        <v>20.7</v>
      </c>
      <c r="Y98" s="222">
        <f t="shared" si="31"/>
        <v>17.100000000000001</v>
      </c>
      <c r="Z98" s="222">
        <f t="shared" si="31"/>
        <v>16.100000000000001</v>
      </c>
      <c r="AA98" s="222">
        <f t="shared" si="31"/>
        <v>15.8</v>
      </c>
      <c r="AB98" s="222">
        <f t="shared" si="31"/>
        <v>15.4</v>
      </c>
      <c r="AC98" s="222">
        <f t="shared" si="31"/>
        <v>17.3</v>
      </c>
      <c r="AD98" s="222">
        <f t="shared" si="31"/>
        <v>19.899999999999999</v>
      </c>
      <c r="AE98" s="222">
        <f t="shared" si="31"/>
        <v>21.7</v>
      </c>
      <c r="AF98" s="222">
        <f t="shared" si="31"/>
        <v>20</v>
      </c>
      <c r="AG98" s="222">
        <f t="shared" si="31"/>
        <v>22.2</v>
      </c>
      <c r="AH98" s="222">
        <f t="shared" si="31"/>
        <v>24.9</v>
      </c>
      <c r="AI98" s="222">
        <f t="shared" si="31"/>
        <v>28.1</v>
      </c>
      <c r="AJ98" s="222">
        <f t="shared" si="31"/>
        <v>34.6</v>
      </c>
      <c r="AK98" s="222">
        <f t="shared" si="31"/>
        <v>38</v>
      </c>
      <c r="AL98" s="222">
        <f t="shared" si="31"/>
        <v>41.7</v>
      </c>
      <c r="AM98" s="222">
        <f t="shared" si="31"/>
        <v>44.3</v>
      </c>
      <c r="AN98" s="222">
        <f t="shared" si="31"/>
        <v>49.5</v>
      </c>
      <c r="AO98" s="222">
        <f t="shared" si="31"/>
        <v>51.222222222222221</v>
      </c>
      <c r="AP98" s="222">
        <f t="shared" si="31"/>
        <v>51</v>
      </c>
      <c r="AQ98" s="222">
        <f t="shared" si="31"/>
        <v>53.285714285714285</v>
      </c>
      <c r="AR98" s="222">
        <f t="shared" si="31"/>
        <v>49.142857142857146</v>
      </c>
      <c r="AS98" s="222">
        <f t="shared" si="31"/>
        <v>52.833333333333336</v>
      </c>
      <c r="AT98" s="222">
        <f t="shared" si="31"/>
        <v>51</v>
      </c>
      <c r="AU98" s="222">
        <f t="shared" si="31"/>
        <v>50</v>
      </c>
      <c r="AV98" s="222">
        <f t="shared" si="31"/>
        <v>52</v>
      </c>
      <c r="AW98" s="222">
        <f t="shared" si="31"/>
        <v>46</v>
      </c>
      <c r="AX98" s="222">
        <f t="shared" si="31"/>
        <v>50</v>
      </c>
      <c r="AY98" s="222">
        <f t="shared" si="31"/>
        <v>63</v>
      </c>
    </row>
    <row r="99" spans="4:51" ht="27.45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</row>
    <row r="100" spans="4:51" x14ac:dyDescent="0.25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</row>
    <row r="101" spans="4:51" x14ac:dyDescent="0.25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</row>
    <row r="102" spans="4:51" x14ac:dyDescent="0.25"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</row>
    <row r="103" spans="4:51" x14ac:dyDescent="0.25"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</row>
    <row r="104" spans="4:51" x14ac:dyDescent="0.25"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C26" sqref="C26"/>
    </sheetView>
  </sheetViews>
  <sheetFormatPr defaultColWidth="8.6640625" defaultRowHeight="13.2" x14ac:dyDescent="0.25"/>
  <cols>
    <col min="1" max="1" width="8.6640625" style="10"/>
    <col min="2" max="2" width="3.6640625" style="9" customWidth="1"/>
    <col min="3" max="16384" width="8.6640625" style="9"/>
  </cols>
  <sheetData>
    <row r="2" spans="1:3" x14ac:dyDescent="0.25">
      <c r="B2" s="9" t="s">
        <v>27</v>
      </c>
    </row>
    <row r="3" spans="1:3" x14ac:dyDescent="0.25">
      <c r="C3" s="9" t="s">
        <v>18</v>
      </c>
    </row>
    <row r="4" spans="1:3" x14ac:dyDescent="0.25">
      <c r="C4" s="9" t="s">
        <v>22</v>
      </c>
    </row>
    <row r="5" spans="1:3" x14ac:dyDescent="0.25">
      <c r="C5" s="9" t="s">
        <v>23</v>
      </c>
    </row>
    <row r="6" spans="1:3" x14ac:dyDescent="0.25">
      <c r="A6" s="10" t="s">
        <v>28</v>
      </c>
      <c r="C6" s="9" t="s">
        <v>19</v>
      </c>
    </row>
    <row r="7" spans="1:3" x14ac:dyDescent="0.25">
      <c r="A7" s="10" t="s">
        <v>28</v>
      </c>
      <c r="C7" s="9" t="s">
        <v>20</v>
      </c>
    </row>
    <row r="8" spans="1:3" x14ac:dyDescent="0.25">
      <c r="C8" s="9" t="s">
        <v>21</v>
      </c>
    </row>
    <row r="9" spans="1:3" x14ac:dyDescent="0.25">
      <c r="C9" s="9" t="s">
        <v>24</v>
      </c>
    </row>
    <row r="10" spans="1:3" x14ac:dyDescent="0.25">
      <c r="C10" s="9" t="s">
        <v>25</v>
      </c>
    </row>
    <row r="11" spans="1:3" x14ac:dyDescent="0.25">
      <c r="C11" s="9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workbookViewId="0">
      <selection activeCell="J53" sqref="J53"/>
    </sheetView>
  </sheetViews>
  <sheetFormatPr defaultColWidth="8.77734375" defaultRowHeight="13.2" x14ac:dyDescent="0.25"/>
  <cols>
    <col min="1" max="1" width="10.6640625" customWidth="1"/>
    <col min="3" max="3" width="0" hidden="1" customWidth="1"/>
  </cols>
  <sheetData>
    <row r="1" spans="1:55" x14ac:dyDescent="0.25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8">
        <v>2018</v>
      </c>
      <c r="L1" s="8" t="s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12"/>
      <c r="B3" s="12"/>
      <c r="C3" s="12"/>
      <c r="D3" s="12"/>
      <c r="E3" s="12"/>
      <c r="F3" s="12"/>
      <c r="G3" s="12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.8" thickBot="1" x14ac:dyDescent="0.3">
      <c r="A4" s="49" t="s">
        <v>1</v>
      </c>
      <c r="B4" s="50" t="s">
        <v>2</v>
      </c>
      <c r="C4" s="50" t="s">
        <v>48</v>
      </c>
      <c r="D4" s="50" t="s">
        <v>49</v>
      </c>
      <c r="E4" s="50" t="s">
        <v>19</v>
      </c>
      <c r="F4" s="50" t="s">
        <v>3</v>
      </c>
      <c r="G4" s="51" t="s">
        <v>4</v>
      </c>
      <c r="H4" s="52">
        <f>DATE($K$1-3,1,1)</f>
        <v>42005</v>
      </c>
      <c r="I4" s="52">
        <f>DATE($K$1-3,2,1)</f>
        <v>42036</v>
      </c>
      <c r="J4" s="52">
        <f>DATE($K$1-3,3,1)</f>
        <v>42064</v>
      </c>
      <c r="K4" s="52">
        <f>DATE($K$1-3,4,1)</f>
        <v>42095</v>
      </c>
      <c r="L4" s="52">
        <f>DATE($K$1-3,5,1)</f>
        <v>42125</v>
      </c>
      <c r="M4" s="52">
        <f>DATE($K$1-3,6,1)</f>
        <v>42156</v>
      </c>
      <c r="N4" s="52">
        <f>DATE($K$1-3,7,1)</f>
        <v>42186</v>
      </c>
      <c r="O4" s="52">
        <f>DATE($K$1-3,8,1)</f>
        <v>42217</v>
      </c>
      <c r="P4" s="52">
        <f>DATE($K$1-3,9,1)</f>
        <v>42248</v>
      </c>
      <c r="Q4" s="52">
        <f>DATE($K$1-3,10,1)</f>
        <v>42278</v>
      </c>
      <c r="R4" s="52">
        <f>DATE($K$1-3,11,1)</f>
        <v>42309</v>
      </c>
      <c r="S4" s="52">
        <f>DATE($K$1-3,12,1)</f>
        <v>42339</v>
      </c>
      <c r="T4" s="52">
        <f>DATE($K$1-2,1,1)</f>
        <v>42370</v>
      </c>
      <c r="U4" s="52">
        <f>DATE($K$1-2,2,1)</f>
        <v>42401</v>
      </c>
      <c r="V4" s="52">
        <f>DATE($K$1-2,3,1)</f>
        <v>42430</v>
      </c>
      <c r="W4" s="52">
        <f>DATE($K$1-2,4,1)</f>
        <v>42461</v>
      </c>
      <c r="X4" s="52">
        <f>DATE($K$1-2,5,1)</f>
        <v>42491</v>
      </c>
      <c r="Y4" s="52">
        <f>DATE($K$1-2,6,1)</f>
        <v>42522</v>
      </c>
      <c r="Z4" s="52">
        <f>DATE($K$1-2,7,1)</f>
        <v>42552</v>
      </c>
      <c r="AA4" s="52">
        <f>DATE($K$1-2,8,1)</f>
        <v>42583</v>
      </c>
      <c r="AB4" s="52">
        <f>DATE($K$1-2,9,1)</f>
        <v>42614</v>
      </c>
      <c r="AC4" s="52">
        <f>DATE($K$1-2,10,1)</f>
        <v>42644</v>
      </c>
      <c r="AD4" s="52">
        <f>DATE($K$1-2,11,1)</f>
        <v>42675</v>
      </c>
      <c r="AE4" s="52">
        <f>DATE($K$1-2,12,1)</f>
        <v>42705</v>
      </c>
      <c r="AF4" s="52">
        <f>DATE($K$1-1,1,1)</f>
        <v>42736</v>
      </c>
      <c r="AG4" s="52">
        <f>DATE($K$1-1,2,1)</f>
        <v>42767</v>
      </c>
      <c r="AH4" s="52">
        <f>DATE($K$1-1,3,1)</f>
        <v>42795</v>
      </c>
      <c r="AI4" s="52">
        <f>DATE($K$1-1,4,1)</f>
        <v>42826</v>
      </c>
      <c r="AJ4" s="52">
        <f>DATE($K$1-1,5,1)</f>
        <v>42856</v>
      </c>
      <c r="AK4" s="52">
        <f>DATE($K$1-1,6,1)</f>
        <v>42887</v>
      </c>
      <c r="AL4" s="52">
        <f>DATE($K$1-1,7,1)</f>
        <v>42917</v>
      </c>
      <c r="AM4" s="52">
        <f>DATE($K$1-1,8,1)</f>
        <v>42948</v>
      </c>
      <c r="AN4" s="52">
        <f>DATE($K$1-1,9,1)</f>
        <v>42979</v>
      </c>
      <c r="AO4" s="52">
        <f>DATE($K$1-1,10,1)</f>
        <v>43009</v>
      </c>
      <c r="AP4" s="52">
        <f>DATE($K$1-1,11,1)</f>
        <v>43040</v>
      </c>
      <c r="AQ4" s="52">
        <f>DATE($K$1-1,12,1)</f>
        <v>43070</v>
      </c>
      <c r="AR4" s="52">
        <f>DATE($K$1,1,1)</f>
        <v>43101</v>
      </c>
      <c r="AS4" s="52">
        <f>DATE($K$1,2,1)</f>
        <v>43132</v>
      </c>
      <c r="AT4" s="52">
        <f>DATE($K$1,3,1)</f>
        <v>43160</v>
      </c>
      <c r="AU4" s="52">
        <f>DATE($K$1,4,1)</f>
        <v>43191</v>
      </c>
      <c r="AV4" s="52">
        <f>DATE($K$1,5,1)</f>
        <v>43221</v>
      </c>
      <c r="AW4" s="52">
        <f>DATE($K$1,6,1)</f>
        <v>43252</v>
      </c>
      <c r="AX4" s="52">
        <f>DATE($K$1,7,1)</f>
        <v>43282</v>
      </c>
      <c r="AY4" s="52">
        <f>DATE($K$1,8,1)</f>
        <v>43313</v>
      </c>
      <c r="AZ4" s="52">
        <f>DATE($K$1,9,1)</f>
        <v>43344</v>
      </c>
      <c r="BA4" s="52">
        <f>DATE($K$1,10,1)</f>
        <v>43374</v>
      </c>
      <c r="BB4" s="52">
        <f>DATE($K$1,11,1)</f>
        <v>43405</v>
      </c>
      <c r="BC4" s="52">
        <f>DATE($K$1,12,1)</f>
        <v>43435</v>
      </c>
    </row>
    <row r="5" spans="1:55" ht="13.8" thickTop="1" x14ac:dyDescent="0.25">
      <c r="A5" s="3">
        <f>DATE($K$1-3,1,1)</f>
        <v>42005</v>
      </c>
      <c r="B5" s="4" t="s">
        <v>5</v>
      </c>
      <c r="C5" s="4">
        <f t="shared" ref="C5:C36" si="0">SUM(H5:BC5)</f>
        <v>72</v>
      </c>
      <c r="D5" s="11" t="s">
        <v>53</v>
      </c>
      <c r="E5" s="11" t="s">
        <v>51</v>
      </c>
      <c r="F5" s="1">
        <v>2400</v>
      </c>
      <c r="G5" s="5" t="s">
        <v>6</v>
      </c>
      <c r="H5" s="6">
        <v>45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3">
        <f>DATE(($K$1-3),1,1)</f>
        <v>42005</v>
      </c>
      <c r="B6" s="4" t="s">
        <v>5</v>
      </c>
      <c r="C6" s="4">
        <f t="shared" si="0"/>
        <v>67</v>
      </c>
      <c r="D6" s="11" t="s">
        <v>53</v>
      </c>
      <c r="E6" s="11" t="s">
        <v>51</v>
      </c>
      <c r="F6" s="1">
        <v>2400</v>
      </c>
      <c r="G6" s="7" t="s">
        <v>7</v>
      </c>
      <c r="H6" s="6">
        <v>0</v>
      </c>
      <c r="I6" s="1">
        <v>5</v>
      </c>
      <c r="J6" s="1">
        <v>7</v>
      </c>
      <c r="K6" s="1">
        <v>6</v>
      </c>
      <c r="L6" s="1">
        <v>6</v>
      </c>
      <c r="M6" s="1">
        <v>3</v>
      </c>
      <c r="N6" s="1">
        <v>5</v>
      </c>
      <c r="O6" s="1">
        <v>8</v>
      </c>
      <c r="P6" s="1">
        <v>12</v>
      </c>
      <c r="Q6" s="1">
        <v>5</v>
      </c>
      <c r="R6" s="1">
        <v>6</v>
      </c>
      <c r="S6" s="1">
        <v>4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3">
        <f>DATE(($K$1-3),2,1)</f>
        <v>42036</v>
      </c>
      <c r="B7" s="4" t="s">
        <v>8</v>
      </c>
      <c r="C7" s="4">
        <f t="shared" si="0"/>
        <v>69</v>
      </c>
      <c r="D7" s="11" t="s">
        <v>50</v>
      </c>
      <c r="E7" s="11" t="s">
        <v>51</v>
      </c>
      <c r="F7" s="1">
        <v>3780</v>
      </c>
      <c r="G7" s="7" t="s">
        <v>6</v>
      </c>
      <c r="H7" s="2"/>
      <c r="I7" s="6">
        <v>38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3">
        <f>DATE(($K$1-3),2,1)</f>
        <v>42036</v>
      </c>
      <c r="B8" s="4" t="s">
        <v>8</v>
      </c>
      <c r="C8" s="4">
        <f t="shared" si="0"/>
        <v>67</v>
      </c>
      <c r="D8" s="11" t="s">
        <v>50</v>
      </c>
      <c r="E8" s="11" t="s">
        <v>51</v>
      </c>
      <c r="F8" s="1">
        <v>3780</v>
      </c>
      <c r="G8" s="7" t="s">
        <v>7</v>
      </c>
      <c r="H8" s="2"/>
      <c r="I8" s="6">
        <v>0</v>
      </c>
      <c r="J8" s="1">
        <v>4</v>
      </c>
      <c r="K8" s="1">
        <v>8</v>
      </c>
      <c r="L8" s="1">
        <v>3</v>
      </c>
      <c r="M8" s="1">
        <v>5</v>
      </c>
      <c r="N8" s="1">
        <v>5</v>
      </c>
      <c r="O8" s="1">
        <v>7</v>
      </c>
      <c r="P8" s="1">
        <v>8</v>
      </c>
      <c r="Q8" s="1">
        <v>10</v>
      </c>
      <c r="R8" s="1">
        <v>6</v>
      </c>
      <c r="S8" s="1">
        <v>7</v>
      </c>
      <c r="T8" s="1">
        <v>3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3">
        <f>DATE(($K$1-3),3,1)</f>
        <v>42064</v>
      </c>
      <c r="B9" s="4" t="s">
        <v>7</v>
      </c>
      <c r="C9" s="4">
        <f t="shared" si="0"/>
        <v>63</v>
      </c>
      <c r="D9" s="11" t="s">
        <v>53</v>
      </c>
      <c r="E9" s="11" t="s">
        <v>52</v>
      </c>
      <c r="F9" s="1">
        <v>4593</v>
      </c>
      <c r="G9" s="7" t="s">
        <v>6</v>
      </c>
      <c r="H9" s="6"/>
      <c r="I9" s="1"/>
      <c r="J9" s="1">
        <v>41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3">
        <f>DATE(($K$1-3),3,1)</f>
        <v>42064</v>
      </c>
      <c r="B10" s="4" t="s">
        <v>7</v>
      </c>
      <c r="C10" s="4">
        <f t="shared" si="0"/>
        <v>62</v>
      </c>
      <c r="D10" s="11" t="s">
        <v>53</v>
      </c>
      <c r="E10" s="11" t="s">
        <v>52</v>
      </c>
      <c r="F10" s="1">
        <v>4593</v>
      </c>
      <c r="G10" s="7" t="s">
        <v>7</v>
      </c>
      <c r="H10" s="6"/>
      <c r="I10" s="1"/>
      <c r="J10" s="1">
        <v>0</v>
      </c>
      <c r="K10" s="1">
        <v>6</v>
      </c>
      <c r="L10" s="1">
        <v>8</v>
      </c>
      <c r="M10" s="1">
        <v>7</v>
      </c>
      <c r="N10" s="1">
        <v>4</v>
      </c>
      <c r="O10" s="1">
        <v>5</v>
      </c>
      <c r="P10" s="1">
        <v>3</v>
      </c>
      <c r="Q10" s="1">
        <v>10</v>
      </c>
      <c r="R10" s="1">
        <v>12</v>
      </c>
      <c r="S10" s="1">
        <v>5</v>
      </c>
      <c r="T10" s="1">
        <v>2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3">
        <f>DATE(($K$1-3),5,1)</f>
        <v>42125</v>
      </c>
      <c r="B11" s="4" t="s">
        <v>9</v>
      </c>
      <c r="C11" s="4">
        <f t="shared" si="0"/>
        <v>53</v>
      </c>
      <c r="D11" s="11" t="s">
        <v>53</v>
      </c>
      <c r="E11" s="11" t="s">
        <v>51</v>
      </c>
      <c r="F11" s="1">
        <v>3690</v>
      </c>
      <c r="G11" s="7" t="s">
        <v>6</v>
      </c>
      <c r="H11" s="6"/>
      <c r="I11" s="1"/>
      <c r="J11" s="1"/>
      <c r="K11" s="1"/>
      <c r="L11" s="1">
        <v>33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3">
        <f>DATE(($K$1-3),5,1)</f>
        <v>42125</v>
      </c>
      <c r="B12" s="4" t="s">
        <v>9</v>
      </c>
      <c r="C12" s="4">
        <f t="shared" si="0"/>
        <v>53</v>
      </c>
      <c r="D12" s="11" t="s">
        <v>53</v>
      </c>
      <c r="E12" s="11" t="s">
        <v>51</v>
      </c>
      <c r="F12" s="1">
        <v>3690</v>
      </c>
      <c r="G12" s="7" t="s">
        <v>7</v>
      </c>
      <c r="H12" s="6"/>
      <c r="I12" s="1"/>
      <c r="J12" s="1"/>
      <c r="K12" s="1"/>
      <c r="L12" s="1">
        <v>0</v>
      </c>
      <c r="M12" s="1">
        <v>8</v>
      </c>
      <c r="N12" s="1">
        <v>4</v>
      </c>
      <c r="O12" s="1">
        <v>4</v>
      </c>
      <c r="P12" s="1">
        <v>5</v>
      </c>
      <c r="Q12" s="1">
        <v>3</v>
      </c>
      <c r="R12" s="1">
        <v>7</v>
      </c>
      <c r="S12" s="1">
        <v>8</v>
      </c>
      <c r="T12" s="1">
        <v>7</v>
      </c>
      <c r="U12" s="1">
        <v>4</v>
      </c>
      <c r="V12" s="1">
        <v>2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3">
        <f>DATE(($K$1-3),6,1)</f>
        <v>42156</v>
      </c>
      <c r="B13" s="4" t="s">
        <v>10</v>
      </c>
      <c r="C13" s="4">
        <f t="shared" si="0"/>
        <v>82</v>
      </c>
      <c r="D13" s="11" t="s">
        <v>53</v>
      </c>
      <c r="E13" s="11" t="s">
        <v>51</v>
      </c>
      <c r="F13" s="1">
        <v>4400</v>
      </c>
      <c r="G13" s="7" t="s">
        <v>6</v>
      </c>
      <c r="H13" s="6"/>
      <c r="I13" s="1"/>
      <c r="J13" s="1"/>
      <c r="K13" s="1"/>
      <c r="L13" s="1"/>
      <c r="M13" s="1">
        <v>55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3">
        <f>DATE(($K$1-3),6,1)</f>
        <v>42156</v>
      </c>
      <c r="B14" s="4" t="s">
        <v>10</v>
      </c>
      <c r="C14" s="4">
        <f t="shared" si="0"/>
        <v>76</v>
      </c>
      <c r="D14" s="11" t="s">
        <v>53</v>
      </c>
      <c r="E14" s="11" t="s">
        <v>51</v>
      </c>
      <c r="F14" s="1">
        <v>4400</v>
      </c>
      <c r="G14" s="7" t="s">
        <v>7</v>
      </c>
      <c r="H14" s="6"/>
      <c r="I14" s="1"/>
      <c r="J14" s="1"/>
      <c r="K14" s="1"/>
      <c r="L14" s="1"/>
      <c r="M14" s="1">
        <v>0</v>
      </c>
      <c r="N14" s="1">
        <v>8</v>
      </c>
      <c r="O14" s="1">
        <v>7</v>
      </c>
      <c r="P14" s="1">
        <v>9</v>
      </c>
      <c r="Q14" s="1">
        <v>6</v>
      </c>
      <c r="R14" s="1">
        <v>5</v>
      </c>
      <c r="S14" s="1">
        <v>5</v>
      </c>
      <c r="T14" s="1">
        <v>8</v>
      </c>
      <c r="U14" s="1">
        <v>12</v>
      </c>
      <c r="V14" s="1">
        <v>5</v>
      </c>
      <c r="W14" s="1">
        <v>6</v>
      </c>
      <c r="X14" s="1">
        <v>4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3">
        <f>DATE(($K$1-3),7,1)</f>
        <v>42186</v>
      </c>
      <c r="B15" s="4" t="s">
        <v>11</v>
      </c>
      <c r="C15" s="4">
        <f t="shared" si="0"/>
        <v>86</v>
      </c>
      <c r="D15" s="11" t="s">
        <v>53</v>
      </c>
      <c r="E15" s="11" t="s">
        <v>51</v>
      </c>
      <c r="F15" s="1">
        <v>4450</v>
      </c>
      <c r="G15" s="7" t="s">
        <v>6</v>
      </c>
      <c r="H15" s="6"/>
      <c r="I15" s="1"/>
      <c r="J15" s="1"/>
      <c r="K15" s="1"/>
      <c r="L15" s="1"/>
      <c r="M15" s="1"/>
      <c r="N15" s="1">
        <v>56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3">
        <f>DATE(($K$1-3),7,1)</f>
        <v>42186</v>
      </c>
      <c r="B16" s="4" t="s">
        <v>11</v>
      </c>
      <c r="C16" s="4">
        <f t="shared" si="0"/>
        <v>84</v>
      </c>
      <c r="D16" s="11" t="s">
        <v>53</v>
      </c>
      <c r="E16" s="11" t="s">
        <v>51</v>
      </c>
      <c r="F16" s="1">
        <v>4450</v>
      </c>
      <c r="G16" s="7" t="s">
        <v>7</v>
      </c>
      <c r="H16" s="6"/>
      <c r="I16" s="1"/>
      <c r="J16" s="1"/>
      <c r="K16" s="1"/>
      <c r="L16" s="1"/>
      <c r="M16" s="1"/>
      <c r="N16" s="1">
        <v>0</v>
      </c>
      <c r="O16" s="1">
        <v>10</v>
      </c>
      <c r="P16" s="1">
        <v>8</v>
      </c>
      <c r="Q16" s="1">
        <v>13</v>
      </c>
      <c r="R16" s="1">
        <v>5</v>
      </c>
      <c r="S16" s="1">
        <v>5</v>
      </c>
      <c r="T16" s="1">
        <v>9</v>
      </c>
      <c r="U16" s="1">
        <v>8</v>
      </c>
      <c r="V16" s="1">
        <v>10</v>
      </c>
      <c r="W16" s="1">
        <v>6</v>
      </c>
      <c r="X16" s="1">
        <v>7</v>
      </c>
      <c r="Y16" s="1">
        <v>3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3">
        <f>DATE(($K$1-3),8,1)</f>
        <v>42217</v>
      </c>
      <c r="B17" s="4" t="s">
        <v>12</v>
      </c>
      <c r="C17" s="4">
        <f t="shared" si="0"/>
        <v>66</v>
      </c>
      <c r="D17" s="11" t="s">
        <v>50</v>
      </c>
      <c r="E17" s="11" t="s">
        <v>51</v>
      </c>
      <c r="F17" s="1">
        <v>4925</v>
      </c>
      <c r="G17" s="7" t="s">
        <v>6</v>
      </c>
      <c r="H17" s="6"/>
      <c r="I17" s="1"/>
      <c r="J17" s="1"/>
      <c r="K17" s="1"/>
      <c r="L17" s="1"/>
      <c r="M17" s="1"/>
      <c r="N17" s="1"/>
      <c r="O17" s="1">
        <v>44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3">
        <f>DATE(($K$1-3),8,1)</f>
        <v>42217</v>
      </c>
      <c r="B18" s="4" t="s">
        <v>12</v>
      </c>
      <c r="C18" s="4">
        <f t="shared" si="0"/>
        <v>65</v>
      </c>
      <c r="D18" s="11" t="s">
        <v>50</v>
      </c>
      <c r="E18" s="11" t="s">
        <v>51</v>
      </c>
      <c r="F18" s="1">
        <v>4925</v>
      </c>
      <c r="G18" s="7" t="s">
        <v>7</v>
      </c>
      <c r="H18" s="6"/>
      <c r="I18" s="1"/>
      <c r="J18" s="1"/>
      <c r="K18" s="1"/>
      <c r="L18" s="1"/>
      <c r="M18" s="1"/>
      <c r="N18" s="1"/>
      <c r="O18" s="1">
        <v>0</v>
      </c>
      <c r="P18" s="1">
        <v>6</v>
      </c>
      <c r="Q18" s="1">
        <v>8</v>
      </c>
      <c r="R18" s="1">
        <v>7</v>
      </c>
      <c r="S18" s="1">
        <v>4</v>
      </c>
      <c r="T18" s="1">
        <v>7</v>
      </c>
      <c r="U18" s="1">
        <v>5</v>
      </c>
      <c r="V18" s="1">
        <v>10</v>
      </c>
      <c r="W18" s="1">
        <v>11</v>
      </c>
      <c r="X18" s="1">
        <v>5</v>
      </c>
      <c r="Y18" s="1">
        <v>2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3">
        <f>DATE(($K$1-3),10,1)</f>
        <v>42278</v>
      </c>
      <c r="B19" s="4" t="s">
        <v>13</v>
      </c>
      <c r="C19" s="4">
        <f t="shared" si="0"/>
        <v>64</v>
      </c>
      <c r="D19" s="11" t="s">
        <v>50</v>
      </c>
      <c r="E19" s="11" t="s">
        <v>51</v>
      </c>
      <c r="F19" s="1">
        <v>5645</v>
      </c>
      <c r="G19" s="7" t="s">
        <v>6</v>
      </c>
      <c r="H19" s="6"/>
      <c r="I19" s="1"/>
      <c r="J19" s="1"/>
      <c r="K19" s="1"/>
      <c r="L19" s="1"/>
      <c r="M19" s="1"/>
      <c r="N19" s="1"/>
      <c r="O19" s="1"/>
      <c r="P19" s="1"/>
      <c r="Q19" s="1">
        <v>43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3">
        <f>DATE(($K$1-3),10,1)</f>
        <v>42278</v>
      </c>
      <c r="B20" s="4" t="s">
        <v>13</v>
      </c>
      <c r="C20" s="4">
        <f t="shared" si="0"/>
        <v>62</v>
      </c>
      <c r="D20" s="11" t="s">
        <v>50</v>
      </c>
      <c r="E20" s="11" t="s">
        <v>51</v>
      </c>
      <c r="F20" s="1">
        <v>5645</v>
      </c>
      <c r="G20" s="7" t="s">
        <v>7</v>
      </c>
      <c r="H20" s="6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8</v>
      </c>
      <c r="S20" s="1">
        <v>6</v>
      </c>
      <c r="T20" s="1">
        <v>4</v>
      </c>
      <c r="U20" s="1">
        <v>5</v>
      </c>
      <c r="V20" s="1">
        <v>5</v>
      </c>
      <c r="W20" s="1">
        <v>7</v>
      </c>
      <c r="X20" s="1">
        <v>8</v>
      </c>
      <c r="Y20" s="1">
        <v>7</v>
      </c>
      <c r="Z20" s="1">
        <v>6</v>
      </c>
      <c r="AA20" s="1">
        <v>3</v>
      </c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3">
        <f>DATE(($K$1-3),11,1)</f>
        <v>42309</v>
      </c>
      <c r="B21" s="4" t="s">
        <v>15</v>
      </c>
      <c r="C21" s="4">
        <f t="shared" si="0"/>
        <v>60</v>
      </c>
      <c r="D21" s="11" t="s">
        <v>50</v>
      </c>
      <c r="E21" s="11" t="s">
        <v>52</v>
      </c>
      <c r="F21" s="1">
        <v>6323</v>
      </c>
      <c r="G21" s="7" t="s">
        <v>6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>
        <v>38</v>
      </c>
      <c r="S21" s="1">
        <v>4</v>
      </c>
      <c r="T21" s="1">
        <v>3</v>
      </c>
      <c r="U21" s="1">
        <v>5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3">
        <f>DATE(($K$1-3),11,1)</f>
        <v>42309</v>
      </c>
      <c r="B22" s="4" t="s">
        <v>15</v>
      </c>
      <c r="C22" s="4">
        <f t="shared" si="0"/>
        <v>59</v>
      </c>
      <c r="D22" s="11" t="s">
        <v>50</v>
      </c>
      <c r="E22" s="11" t="s">
        <v>52</v>
      </c>
      <c r="F22" s="1">
        <v>6323</v>
      </c>
      <c r="G22" s="7" t="s">
        <v>7</v>
      </c>
      <c r="H22" s="6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6</v>
      </c>
      <c r="T22" s="1">
        <v>6</v>
      </c>
      <c r="U22" s="1">
        <v>7</v>
      </c>
      <c r="V22" s="1">
        <v>4</v>
      </c>
      <c r="W22" s="1">
        <v>7</v>
      </c>
      <c r="X22" s="1">
        <v>5</v>
      </c>
      <c r="Y22" s="1">
        <v>6</v>
      </c>
      <c r="Z22" s="1">
        <v>11</v>
      </c>
      <c r="AA22" s="1">
        <v>5</v>
      </c>
      <c r="AB22" s="1">
        <v>2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3">
        <f>DATE(($K$1-3),12,1)</f>
        <v>42339</v>
      </c>
      <c r="B23" s="4" t="s">
        <v>16</v>
      </c>
      <c r="C23" s="4">
        <f t="shared" si="0"/>
        <v>63</v>
      </c>
      <c r="D23" s="11" t="s">
        <v>50</v>
      </c>
      <c r="E23" s="11" t="s">
        <v>52</v>
      </c>
      <c r="F23" s="1">
        <v>3809</v>
      </c>
      <c r="G23" s="7" t="s">
        <v>6</v>
      </c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42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3">
        <f>DATE(($K$1-3),12,1)</f>
        <v>42339</v>
      </c>
      <c r="B24" s="4" t="s">
        <v>16</v>
      </c>
      <c r="C24" s="4">
        <f t="shared" si="0"/>
        <v>61</v>
      </c>
      <c r="D24" s="11" t="s">
        <v>50</v>
      </c>
      <c r="E24" s="11" t="s">
        <v>52</v>
      </c>
      <c r="F24" s="1">
        <v>3809</v>
      </c>
      <c r="G24" s="7" t="s">
        <v>7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8</v>
      </c>
      <c r="U24" s="1">
        <v>6</v>
      </c>
      <c r="V24" s="1">
        <v>4</v>
      </c>
      <c r="W24" s="1">
        <v>5</v>
      </c>
      <c r="X24" s="1">
        <v>5</v>
      </c>
      <c r="Y24" s="1">
        <v>7</v>
      </c>
      <c r="Z24" s="1">
        <v>8</v>
      </c>
      <c r="AA24" s="1">
        <v>6</v>
      </c>
      <c r="AB24" s="1">
        <v>6</v>
      </c>
      <c r="AC24" s="1">
        <v>3</v>
      </c>
      <c r="AD24" s="1">
        <v>2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3">
        <f>DATE(($K$1-2),1,1)</f>
        <v>42370</v>
      </c>
      <c r="B25" s="11" t="s">
        <v>29</v>
      </c>
      <c r="C25" s="4">
        <f t="shared" si="0"/>
        <v>61</v>
      </c>
      <c r="D25" s="11" t="s">
        <v>53</v>
      </c>
      <c r="E25" s="11" t="s">
        <v>51</v>
      </c>
      <c r="F25" s="1">
        <v>2900</v>
      </c>
      <c r="G25" s="7" t="s">
        <v>6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40</v>
      </c>
      <c r="U25" s="1">
        <v>2</v>
      </c>
      <c r="V25" s="1">
        <v>6</v>
      </c>
      <c r="W25" s="1">
        <v>2</v>
      </c>
      <c r="X25" s="1">
        <v>1</v>
      </c>
      <c r="Y25" s="1">
        <v>2</v>
      </c>
      <c r="Z25" s="1">
        <v>3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  <c r="AF25" s="1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3">
        <f>DATE(($K$1-2),1,1)</f>
        <v>42370</v>
      </c>
      <c r="B26" s="11" t="s">
        <v>29</v>
      </c>
      <c r="C26" s="4">
        <f t="shared" si="0"/>
        <v>59</v>
      </c>
      <c r="D26" s="11" t="s">
        <v>53</v>
      </c>
      <c r="E26" s="11" t="s">
        <v>51</v>
      </c>
      <c r="F26" s="1">
        <v>2900</v>
      </c>
      <c r="G26" s="7" t="s">
        <v>7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4</v>
      </c>
      <c r="W26" s="1">
        <v>6</v>
      </c>
      <c r="X26" s="1">
        <v>7</v>
      </c>
      <c r="Y26" s="1">
        <v>3</v>
      </c>
      <c r="Z26" s="1">
        <v>2</v>
      </c>
      <c r="AA26" s="1">
        <v>9</v>
      </c>
      <c r="AB26" s="1">
        <v>8</v>
      </c>
      <c r="AC26" s="1">
        <v>5</v>
      </c>
      <c r="AD26" s="1">
        <v>6</v>
      </c>
      <c r="AE26" s="1">
        <v>4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3">
        <f>DATE(($K$1-2),2,15)</f>
        <v>42415</v>
      </c>
      <c r="B27" s="11" t="s">
        <v>30</v>
      </c>
      <c r="C27" s="4">
        <f t="shared" si="0"/>
        <v>49</v>
      </c>
      <c r="D27" s="11" t="s">
        <v>53</v>
      </c>
      <c r="E27" s="11" t="s">
        <v>52</v>
      </c>
      <c r="F27" s="1">
        <v>3800</v>
      </c>
      <c r="G27" s="7" t="s">
        <v>6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25</v>
      </c>
      <c r="V27" s="1">
        <v>4</v>
      </c>
      <c r="W27" s="1">
        <v>6</v>
      </c>
      <c r="X27" s="1">
        <v>3</v>
      </c>
      <c r="Y27" s="1">
        <v>1</v>
      </c>
      <c r="Z27" s="1">
        <v>2</v>
      </c>
      <c r="AA27" s="1">
        <v>2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3">
        <f>DATE(($K$1-2),2,15)</f>
        <v>42415</v>
      </c>
      <c r="B28" s="11" t="s">
        <v>30</v>
      </c>
      <c r="C28" s="4">
        <f t="shared" si="0"/>
        <v>49</v>
      </c>
      <c r="D28" s="11" t="s">
        <v>53</v>
      </c>
      <c r="E28" s="11" t="s">
        <v>52</v>
      </c>
      <c r="F28" s="1">
        <v>3800</v>
      </c>
      <c r="G28" s="7" t="s">
        <v>7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8</v>
      </c>
      <c r="X28" s="1">
        <v>3</v>
      </c>
      <c r="Y28" s="1">
        <v>5</v>
      </c>
      <c r="Z28" s="1">
        <v>5</v>
      </c>
      <c r="AA28" s="1">
        <v>7</v>
      </c>
      <c r="AB28" s="1">
        <v>8</v>
      </c>
      <c r="AC28" s="1">
        <v>6</v>
      </c>
      <c r="AD28" s="1">
        <v>1</v>
      </c>
      <c r="AE28" s="1">
        <v>0</v>
      </c>
      <c r="AF28" s="1">
        <v>1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3">
        <f>DATE(($K$1-2),3,1)</f>
        <v>42430</v>
      </c>
      <c r="B29" s="11" t="s">
        <v>31</v>
      </c>
      <c r="C29" s="4">
        <f t="shared" si="0"/>
        <v>59</v>
      </c>
      <c r="D29" s="11" t="s">
        <v>50</v>
      </c>
      <c r="E29" s="11" t="s">
        <v>51</v>
      </c>
      <c r="F29" s="1">
        <v>5215</v>
      </c>
      <c r="G29" s="7" t="s">
        <v>6</v>
      </c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36</v>
      </c>
      <c r="W29" s="1">
        <v>3</v>
      </c>
      <c r="X29" s="1">
        <v>4</v>
      </c>
      <c r="Y29" s="1">
        <v>5</v>
      </c>
      <c r="Z29" s="1">
        <v>1</v>
      </c>
      <c r="AA29" s="1">
        <v>4</v>
      </c>
      <c r="AB29" s="1">
        <v>1</v>
      </c>
      <c r="AC29" s="1">
        <v>2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3">
        <f>DATE(($K$1-2),3,1)</f>
        <v>42430</v>
      </c>
      <c r="B30" s="11" t="s">
        <v>31</v>
      </c>
      <c r="C30" s="4">
        <f t="shared" si="0"/>
        <v>59</v>
      </c>
      <c r="D30" s="11" t="s">
        <v>50</v>
      </c>
      <c r="E30" s="11" t="s">
        <v>51</v>
      </c>
      <c r="F30" s="1">
        <v>5215</v>
      </c>
      <c r="G30" s="7" t="s">
        <v>7</v>
      </c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6</v>
      </c>
      <c r="X30" s="1">
        <v>7</v>
      </c>
      <c r="Y30" s="1">
        <v>5</v>
      </c>
      <c r="Z30" s="1">
        <v>4</v>
      </c>
      <c r="AA30" s="1">
        <v>6</v>
      </c>
      <c r="AB30" s="1">
        <v>3</v>
      </c>
      <c r="AC30" s="1">
        <v>10</v>
      </c>
      <c r="AD30" s="1">
        <v>10</v>
      </c>
      <c r="AE30" s="1">
        <v>5</v>
      </c>
      <c r="AF30" s="1">
        <v>2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3">
        <f>DATE(($K$1-2),5,1)</f>
        <v>42491</v>
      </c>
      <c r="B31" s="11" t="s">
        <v>6</v>
      </c>
      <c r="C31" s="4">
        <f t="shared" si="0"/>
        <v>49</v>
      </c>
      <c r="D31" s="11" t="s">
        <v>50</v>
      </c>
      <c r="E31" s="11" t="s">
        <v>51</v>
      </c>
      <c r="F31" s="1">
        <v>3900</v>
      </c>
      <c r="G31" s="7" t="s">
        <v>6</v>
      </c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28</v>
      </c>
      <c r="Y31" s="1">
        <v>2</v>
      </c>
      <c r="Z31" s="1">
        <v>3</v>
      </c>
      <c r="AA31" s="1">
        <v>4</v>
      </c>
      <c r="AB31" s="1">
        <v>3</v>
      </c>
      <c r="AC31" s="1">
        <v>3</v>
      </c>
      <c r="AD31" s="1">
        <v>2</v>
      </c>
      <c r="AE31" s="1">
        <v>2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3">
        <f>DATE(($K$1-2),5,1)</f>
        <v>42491</v>
      </c>
      <c r="B32" s="11" t="s">
        <v>6</v>
      </c>
      <c r="C32" s="4">
        <f t="shared" si="0"/>
        <v>49</v>
      </c>
      <c r="D32" s="11" t="s">
        <v>50</v>
      </c>
      <c r="E32" s="11" t="s">
        <v>51</v>
      </c>
      <c r="F32" s="1">
        <v>3900</v>
      </c>
      <c r="G32" s="7" t="s">
        <v>7</v>
      </c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8</v>
      </c>
      <c r="Z32" s="1">
        <v>4</v>
      </c>
      <c r="AA32" s="1">
        <v>4</v>
      </c>
      <c r="AB32" s="1">
        <v>5</v>
      </c>
      <c r="AC32" s="1">
        <v>5</v>
      </c>
      <c r="AD32" s="1">
        <v>7</v>
      </c>
      <c r="AE32" s="1">
        <v>8</v>
      </c>
      <c r="AF32" s="1">
        <v>4</v>
      </c>
      <c r="AG32" s="1">
        <v>1</v>
      </c>
      <c r="AH32" s="1">
        <v>2</v>
      </c>
      <c r="AI32" s="1">
        <v>1</v>
      </c>
      <c r="AJ32" s="1"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3">
        <f>DATE(($K$1-2),6,15)</f>
        <v>42536</v>
      </c>
      <c r="B33" s="11" t="s">
        <v>32</v>
      </c>
      <c r="C33" s="4">
        <f t="shared" si="0"/>
        <v>63</v>
      </c>
      <c r="D33" s="11" t="s">
        <v>53</v>
      </c>
      <c r="E33" s="11" t="s">
        <v>52</v>
      </c>
      <c r="F33" s="1">
        <v>5100</v>
      </c>
      <c r="G33" s="7" t="s">
        <v>6</v>
      </c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43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3</v>
      </c>
      <c r="AF33" s="1">
        <v>2</v>
      </c>
      <c r="AG33" s="1">
        <v>1</v>
      </c>
      <c r="AH33" s="1">
        <v>0</v>
      </c>
      <c r="AI33" s="1">
        <v>1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3">
        <f>DATE(($K$1-2),6,15)</f>
        <v>42536</v>
      </c>
      <c r="B34" s="11" t="s">
        <v>32</v>
      </c>
      <c r="C34" s="4">
        <f t="shared" si="0"/>
        <v>62</v>
      </c>
      <c r="D34" s="11" t="s">
        <v>53</v>
      </c>
      <c r="E34" s="11" t="s">
        <v>52</v>
      </c>
      <c r="F34" s="1">
        <v>5100</v>
      </c>
      <c r="G34" s="7" t="s">
        <v>7</v>
      </c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4</v>
      </c>
      <c r="AB34" s="1">
        <v>6</v>
      </c>
      <c r="AC34" s="1">
        <v>7</v>
      </c>
      <c r="AD34" s="1">
        <v>3</v>
      </c>
      <c r="AE34" s="1">
        <v>5</v>
      </c>
      <c r="AF34" s="1">
        <v>9</v>
      </c>
      <c r="AG34" s="1">
        <v>8</v>
      </c>
      <c r="AH34" s="1">
        <v>5</v>
      </c>
      <c r="AI34" s="1">
        <v>6</v>
      </c>
      <c r="AJ34" s="1">
        <v>4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3">
        <f>DATE(($K$1-2),7,1)</f>
        <v>42552</v>
      </c>
      <c r="B35" s="11" t="s">
        <v>33</v>
      </c>
      <c r="C35" s="4">
        <f t="shared" si="0"/>
        <v>53</v>
      </c>
      <c r="D35" s="11" t="s">
        <v>50</v>
      </c>
      <c r="E35" s="11" t="s">
        <v>51</v>
      </c>
      <c r="F35" s="1">
        <v>5330</v>
      </c>
      <c r="G35" s="7" t="s">
        <v>6</v>
      </c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30</v>
      </c>
      <c r="AA35" s="1">
        <v>6</v>
      </c>
      <c r="AB35" s="1">
        <v>4</v>
      </c>
      <c r="AC35" s="1">
        <v>1</v>
      </c>
      <c r="AD35" s="1">
        <v>3</v>
      </c>
      <c r="AE35" s="1">
        <v>2</v>
      </c>
      <c r="AF35" s="1">
        <v>2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3">
        <f>DATE(($K$1-2),7,1)</f>
        <v>42552</v>
      </c>
      <c r="B36" s="11" t="s">
        <v>33</v>
      </c>
      <c r="C36" s="4">
        <f t="shared" si="0"/>
        <v>53</v>
      </c>
      <c r="D36" s="11" t="s">
        <v>50</v>
      </c>
      <c r="E36" s="11" t="s">
        <v>51</v>
      </c>
      <c r="F36" s="1">
        <v>5330</v>
      </c>
      <c r="G36" s="7" t="s">
        <v>7</v>
      </c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8</v>
      </c>
      <c r="AC36" s="1">
        <v>6</v>
      </c>
      <c r="AD36" s="1">
        <v>8</v>
      </c>
      <c r="AE36" s="1">
        <v>5</v>
      </c>
      <c r="AF36" s="1">
        <v>7</v>
      </c>
      <c r="AG36" s="1">
        <v>6</v>
      </c>
      <c r="AH36" s="1">
        <v>7</v>
      </c>
      <c r="AI36" s="1">
        <v>1</v>
      </c>
      <c r="AJ36" s="1">
        <v>0</v>
      </c>
      <c r="AK36" s="1">
        <v>1</v>
      </c>
      <c r="AL36" s="1"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3">
        <f>DATE(($K$1-2),8,1)</f>
        <v>42583</v>
      </c>
      <c r="B37" s="11" t="s">
        <v>34</v>
      </c>
      <c r="C37" s="4">
        <f t="shared" ref="C37:C64" si="1">SUM(H37:BC37)</f>
        <v>58</v>
      </c>
      <c r="D37" s="11" t="s">
        <v>50</v>
      </c>
      <c r="E37" s="11" t="s">
        <v>52</v>
      </c>
      <c r="F37" s="1">
        <v>5455</v>
      </c>
      <c r="G37" s="7" t="s">
        <v>6</v>
      </c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36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1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3">
        <f>DATE(($K$1-2),8,1)</f>
        <v>42583</v>
      </c>
      <c r="B38" s="11" t="s">
        <v>34</v>
      </c>
      <c r="C38" s="4">
        <f t="shared" si="1"/>
        <v>58</v>
      </c>
      <c r="D38" s="11" t="s">
        <v>50</v>
      </c>
      <c r="E38" s="11" t="s">
        <v>52</v>
      </c>
      <c r="F38" s="1">
        <v>5455</v>
      </c>
      <c r="G38" s="7" t="s">
        <v>7</v>
      </c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7</v>
      </c>
      <c r="AD38" s="1">
        <v>5</v>
      </c>
      <c r="AE38" s="1">
        <v>4</v>
      </c>
      <c r="AF38" s="1">
        <v>6</v>
      </c>
      <c r="AG38" s="1">
        <v>3</v>
      </c>
      <c r="AH38" s="1">
        <v>10</v>
      </c>
      <c r="AI38" s="1">
        <v>10</v>
      </c>
      <c r="AJ38" s="1">
        <v>5</v>
      </c>
      <c r="AK38" s="1">
        <v>2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3">
        <f>DATE(($K$1-2),10,1)</f>
        <v>42644</v>
      </c>
      <c r="B39" s="11" t="s">
        <v>35</v>
      </c>
      <c r="C39" s="4">
        <f t="shared" si="1"/>
        <v>49</v>
      </c>
      <c r="D39" s="11" t="s">
        <v>50</v>
      </c>
      <c r="E39" s="11" t="s">
        <v>52</v>
      </c>
      <c r="F39" s="1">
        <v>6200</v>
      </c>
      <c r="G39" s="7" t="s">
        <v>6</v>
      </c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28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2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3">
        <f>DATE(($K$1-2),10,1)</f>
        <v>42644</v>
      </c>
      <c r="B40" s="11" t="s">
        <v>35</v>
      </c>
      <c r="C40" s="4">
        <f t="shared" si="1"/>
        <v>49</v>
      </c>
      <c r="D40" s="11" t="s">
        <v>50</v>
      </c>
      <c r="E40" s="11" t="s">
        <v>52</v>
      </c>
      <c r="F40" s="1">
        <v>6200</v>
      </c>
      <c r="G40" s="7" t="s">
        <v>7</v>
      </c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4</v>
      </c>
      <c r="AF40" s="1">
        <v>4</v>
      </c>
      <c r="AG40" s="1">
        <v>5</v>
      </c>
      <c r="AH40" s="1">
        <v>5</v>
      </c>
      <c r="AI40" s="1">
        <v>7</v>
      </c>
      <c r="AJ40" s="1">
        <v>8</v>
      </c>
      <c r="AK40" s="1">
        <v>4</v>
      </c>
      <c r="AL40" s="1">
        <v>1</v>
      </c>
      <c r="AM40" s="1">
        <v>2</v>
      </c>
      <c r="AN40" s="1">
        <v>1</v>
      </c>
      <c r="AO40" s="1"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3">
        <f>DATE(($K$1-2),11,1)</f>
        <v>42675</v>
      </c>
      <c r="B41" s="11" t="s">
        <v>36</v>
      </c>
      <c r="C41" s="4">
        <f t="shared" si="1"/>
        <v>54</v>
      </c>
      <c r="D41" s="11" t="s">
        <v>50</v>
      </c>
      <c r="E41" s="11" t="s">
        <v>51</v>
      </c>
      <c r="F41" s="1">
        <v>7100</v>
      </c>
      <c r="G41" s="7" t="s">
        <v>6</v>
      </c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32</v>
      </c>
      <c r="AE41" s="1">
        <v>3</v>
      </c>
      <c r="AF41" s="1">
        <v>4</v>
      </c>
      <c r="AG41" s="1">
        <v>5</v>
      </c>
      <c r="AH41" s="1">
        <v>1</v>
      </c>
      <c r="AI41" s="1">
        <v>4</v>
      </c>
      <c r="AJ41" s="1">
        <v>1</v>
      </c>
      <c r="AK41" s="1">
        <v>2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3">
        <f>DATE(($K$1-2),11,1)</f>
        <v>42675</v>
      </c>
      <c r="B42" s="11" t="s">
        <v>36</v>
      </c>
      <c r="C42" s="4">
        <f t="shared" si="1"/>
        <v>54</v>
      </c>
      <c r="D42" s="11" t="s">
        <v>50</v>
      </c>
      <c r="E42" s="11" t="s">
        <v>51</v>
      </c>
      <c r="F42" s="1">
        <v>7100</v>
      </c>
      <c r="G42" s="7" t="s">
        <v>7</v>
      </c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6</v>
      </c>
      <c r="AF42" s="1">
        <v>7</v>
      </c>
      <c r="AG42" s="1">
        <v>5</v>
      </c>
      <c r="AH42" s="1">
        <v>4</v>
      </c>
      <c r="AI42" s="1">
        <v>6</v>
      </c>
      <c r="AJ42" s="1">
        <v>3</v>
      </c>
      <c r="AK42" s="1">
        <v>8</v>
      </c>
      <c r="AL42" s="1">
        <v>8</v>
      </c>
      <c r="AM42" s="1">
        <v>5</v>
      </c>
      <c r="AN42" s="1">
        <v>2</v>
      </c>
      <c r="AO42" s="1">
        <v>0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3">
        <f>DATE(($K$1-2),12,1)</f>
        <v>42705</v>
      </c>
      <c r="B43" s="11" t="s">
        <v>37</v>
      </c>
      <c r="C43" s="4">
        <f t="shared" si="1"/>
        <v>45</v>
      </c>
      <c r="D43" s="11" t="s">
        <v>50</v>
      </c>
      <c r="E43" s="11" t="s">
        <v>52</v>
      </c>
      <c r="F43" s="1">
        <v>4204</v>
      </c>
      <c r="G43" s="7" t="s">
        <v>6</v>
      </c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24</v>
      </c>
      <c r="AF43" s="1">
        <v>2</v>
      </c>
      <c r="AG43" s="1">
        <v>3</v>
      </c>
      <c r="AH43" s="1">
        <v>4</v>
      </c>
      <c r="AI43" s="1">
        <v>3</v>
      </c>
      <c r="AJ43" s="1">
        <v>3</v>
      </c>
      <c r="AK43" s="1">
        <v>2</v>
      </c>
      <c r="AL43" s="1">
        <v>2</v>
      </c>
      <c r="AM43" s="1">
        <v>1</v>
      </c>
      <c r="AN43" s="1">
        <v>0</v>
      </c>
      <c r="AO43" s="1">
        <v>1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3">
        <f>DATE(($K$1-2),12,1)</f>
        <v>42705</v>
      </c>
      <c r="B44" s="11" t="s">
        <v>37</v>
      </c>
      <c r="C44" s="4">
        <f t="shared" si="1"/>
        <v>45</v>
      </c>
      <c r="D44" s="11" t="s">
        <v>50</v>
      </c>
      <c r="E44" s="11" t="s">
        <v>52</v>
      </c>
      <c r="F44" s="1">
        <v>4204</v>
      </c>
      <c r="G44" s="7" t="s">
        <v>7</v>
      </c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8</v>
      </c>
      <c r="AG44" s="1">
        <v>4</v>
      </c>
      <c r="AH44" s="1">
        <v>4</v>
      </c>
      <c r="AI44" s="1">
        <v>5</v>
      </c>
      <c r="AJ44" s="1">
        <v>5</v>
      </c>
      <c r="AK44" s="1">
        <v>7</v>
      </c>
      <c r="AL44" s="1">
        <v>6</v>
      </c>
      <c r="AM44" s="1">
        <v>2</v>
      </c>
      <c r="AN44" s="1">
        <v>1</v>
      </c>
      <c r="AO44" s="1">
        <v>2</v>
      </c>
      <c r="AP44" s="1">
        <v>1</v>
      </c>
      <c r="AQ44" s="1"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3">
        <f>DATE(($K$1-1),1,1)</f>
        <v>42736</v>
      </c>
      <c r="B45" s="11" t="s">
        <v>38</v>
      </c>
      <c r="C45" s="4">
        <f t="shared" si="1"/>
        <v>90</v>
      </c>
      <c r="D45" s="11" t="s">
        <v>53</v>
      </c>
      <c r="E45" s="11" t="s">
        <v>51</v>
      </c>
      <c r="F45" s="1">
        <v>3200</v>
      </c>
      <c r="G45" s="7" t="s">
        <v>6</v>
      </c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48</v>
      </c>
      <c r="AG45" s="1">
        <v>7</v>
      </c>
      <c r="AH45" s="1">
        <v>14</v>
      </c>
      <c r="AI45" s="1">
        <v>10</v>
      </c>
      <c r="AJ45" s="1">
        <v>5</v>
      </c>
      <c r="AK45" s="1">
        <v>2</v>
      </c>
      <c r="AL45" s="1">
        <v>1</v>
      </c>
      <c r="AM45" s="1">
        <v>2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3">
        <f>DATE(($K$1-1),1,1)</f>
        <v>42736</v>
      </c>
      <c r="B46" s="11" t="s">
        <v>38</v>
      </c>
      <c r="C46" s="4">
        <f t="shared" si="1"/>
        <v>74</v>
      </c>
      <c r="D46" s="11" t="s">
        <v>53</v>
      </c>
      <c r="E46" s="11" t="s">
        <v>51</v>
      </c>
      <c r="F46" s="1">
        <v>3200</v>
      </c>
      <c r="G46" s="7" t="s">
        <v>7</v>
      </c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5</v>
      </c>
      <c r="AH46" s="1">
        <v>7</v>
      </c>
      <c r="AI46" s="1">
        <v>6</v>
      </c>
      <c r="AJ46" s="1">
        <v>6</v>
      </c>
      <c r="AK46" s="1">
        <v>7</v>
      </c>
      <c r="AL46" s="1">
        <v>5</v>
      </c>
      <c r="AM46" s="1">
        <v>8</v>
      </c>
      <c r="AN46" s="1">
        <v>12</v>
      </c>
      <c r="AO46" s="1">
        <v>5</v>
      </c>
      <c r="AP46" s="1">
        <v>8</v>
      </c>
      <c r="AQ46" s="1">
        <v>5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3">
        <f>DATE(($K$1-1),2,28)</f>
        <v>42794</v>
      </c>
      <c r="B47" s="11" t="s">
        <v>39</v>
      </c>
      <c r="C47" s="4">
        <f t="shared" si="1"/>
        <v>91</v>
      </c>
      <c r="D47" s="11" t="s">
        <v>53</v>
      </c>
      <c r="E47" s="11" t="s">
        <v>52</v>
      </c>
      <c r="F47" s="1">
        <v>5020</v>
      </c>
      <c r="G47" s="7" t="s">
        <v>6</v>
      </c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</v>
      </c>
      <c r="AH47" s="1">
        <v>10</v>
      </c>
      <c r="AI47" s="1">
        <v>16</v>
      </c>
      <c r="AJ47" s="1">
        <v>8</v>
      </c>
      <c r="AK47" s="1">
        <v>5</v>
      </c>
      <c r="AL47" s="1">
        <v>1</v>
      </c>
      <c r="AM47" s="1">
        <v>6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3">
        <f>DATE(($K$1-1),2,28)</f>
        <v>42794</v>
      </c>
      <c r="B48" s="11" t="s">
        <v>39</v>
      </c>
      <c r="C48" s="4">
        <f t="shared" si="1"/>
        <v>63</v>
      </c>
      <c r="D48" s="11" t="s">
        <v>53</v>
      </c>
      <c r="E48" s="11" t="s">
        <v>52</v>
      </c>
      <c r="F48" s="1">
        <v>5020</v>
      </c>
      <c r="G48" s="7" t="s">
        <v>7</v>
      </c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4</v>
      </c>
      <c r="AI48" s="1">
        <v>11</v>
      </c>
      <c r="AJ48" s="1">
        <v>5</v>
      </c>
      <c r="AK48" s="1">
        <v>4</v>
      </c>
      <c r="AL48" s="1">
        <v>6</v>
      </c>
      <c r="AM48" s="1">
        <v>4</v>
      </c>
      <c r="AN48" s="1">
        <v>6</v>
      </c>
      <c r="AO48" s="1">
        <v>6</v>
      </c>
      <c r="AP48" s="1">
        <v>3</v>
      </c>
      <c r="AQ48" s="1">
        <v>5</v>
      </c>
      <c r="AR48" s="1">
        <v>9</v>
      </c>
      <c r="AS48" s="1">
        <v>0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3">
        <f>DATE(($K$1-1),3,1)</f>
        <v>42795</v>
      </c>
      <c r="B49" s="11" t="s">
        <v>40</v>
      </c>
      <c r="C49" s="4">
        <f t="shared" si="1"/>
        <v>82</v>
      </c>
      <c r="D49" s="11" t="s">
        <v>50</v>
      </c>
      <c r="E49" s="11" t="s">
        <v>52</v>
      </c>
      <c r="F49" s="1">
        <v>5500</v>
      </c>
      <c r="G49" s="7" t="s">
        <v>6</v>
      </c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30</v>
      </c>
      <c r="AI49" s="1">
        <v>5</v>
      </c>
      <c r="AJ49" s="1">
        <v>13</v>
      </c>
      <c r="AK49" s="1">
        <v>14</v>
      </c>
      <c r="AL49" s="1">
        <v>8</v>
      </c>
      <c r="AM49" s="1">
        <v>6</v>
      </c>
      <c r="AN49" s="1">
        <v>2</v>
      </c>
      <c r="AO49" s="1">
        <v>1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3">
        <f>DATE(($K$1-1),3,1)</f>
        <v>42795</v>
      </c>
      <c r="B50" s="11" t="s">
        <v>40</v>
      </c>
      <c r="C50" s="4">
        <f t="shared" si="1"/>
        <v>74</v>
      </c>
      <c r="D50" s="11" t="s">
        <v>50</v>
      </c>
      <c r="E50" s="11" t="s">
        <v>52</v>
      </c>
      <c r="F50" s="1">
        <v>5500</v>
      </c>
      <c r="G50" s="7" t="s">
        <v>7</v>
      </c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6</v>
      </c>
      <c r="AJ50" s="1">
        <v>8</v>
      </c>
      <c r="AK50" s="1">
        <v>7</v>
      </c>
      <c r="AL50" s="1">
        <v>7</v>
      </c>
      <c r="AM50" s="1">
        <v>6</v>
      </c>
      <c r="AN50" s="1">
        <v>3</v>
      </c>
      <c r="AO50" s="1">
        <v>10</v>
      </c>
      <c r="AP50" s="1">
        <v>12</v>
      </c>
      <c r="AQ50" s="1">
        <v>5</v>
      </c>
      <c r="AR50" s="1">
        <v>6</v>
      </c>
      <c r="AS50" s="1">
        <v>4</v>
      </c>
      <c r="AT50" s="1">
        <v>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3">
        <f>DATE(($K$1-1),5,1)</f>
        <v>42856</v>
      </c>
      <c r="B51" s="11" t="s">
        <v>41</v>
      </c>
      <c r="C51" s="4">
        <f t="shared" si="1"/>
        <v>71</v>
      </c>
      <c r="D51" s="11" t="s">
        <v>53</v>
      </c>
      <c r="E51" s="11" t="s">
        <v>52</v>
      </c>
      <c r="F51" s="1">
        <v>4500</v>
      </c>
      <c r="G51" s="7" t="s">
        <v>6</v>
      </c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33</v>
      </c>
      <c r="AK51" s="1">
        <v>4</v>
      </c>
      <c r="AL51" s="1">
        <v>12</v>
      </c>
      <c r="AM51" s="1">
        <v>9</v>
      </c>
      <c r="AN51" s="1">
        <v>3</v>
      </c>
      <c r="AO51" s="1">
        <v>2</v>
      </c>
      <c r="AP51" s="1">
        <v>1</v>
      </c>
      <c r="AQ51" s="1">
        <v>3</v>
      </c>
      <c r="AR51" s="1">
        <v>0</v>
      </c>
      <c r="AS51" s="1">
        <v>0</v>
      </c>
      <c r="AT51" s="1">
        <v>1</v>
      </c>
      <c r="AU51" s="1">
        <v>2</v>
      </c>
      <c r="AV51" s="1">
        <v>1</v>
      </c>
      <c r="AW51" s="1"/>
      <c r="AX51" s="1"/>
      <c r="AY51" s="1"/>
      <c r="AZ51" s="1"/>
      <c r="BA51" s="1"/>
      <c r="BB51" s="1"/>
      <c r="BC51" s="1"/>
    </row>
    <row r="52" spans="1:55" x14ac:dyDescent="0.25">
      <c r="A52" s="3">
        <f>DATE(($K$1-1),5,1)</f>
        <v>42856</v>
      </c>
      <c r="B52" s="11" t="s">
        <v>41</v>
      </c>
      <c r="C52" s="4">
        <f t="shared" si="1"/>
        <v>64</v>
      </c>
      <c r="D52" s="11" t="s">
        <v>53</v>
      </c>
      <c r="E52" s="11" t="s">
        <v>52</v>
      </c>
      <c r="F52" s="1">
        <v>4500</v>
      </c>
      <c r="G52" s="7" t="s">
        <v>7</v>
      </c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8</v>
      </c>
      <c r="AL52" s="1">
        <v>8</v>
      </c>
      <c r="AM52" s="1">
        <v>6</v>
      </c>
      <c r="AN52" s="1">
        <v>5</v>
      </c>
      <c r="AO52" s="1">
        <v>7</v>
      </c>
      <c r="AP52" s="1">
        <v>7</v>
      </c>
      <c r="AQ52" s="1">
        <v>2</v>
      </c>
      <c r="AR52" s="1">
        <v>7</v>
      </c>
      <c r="AS52" s="1">
        <v>6</v>
      </c>
      <c r="AT52" s="1">
        <v>7</v>
      </c>
      <c r="AU52" s="1">
        <v>1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5">
      <c r="A53" s="3">
        <f>DATE(($K$1-1),6,1)</f>
        <v>42887</v>
      </c>
      <c r="B53" s="11" t="s">
        <v>42</v>
      </c>
      <c r="C53" s="4">
        <f t="shared" si="1"/>
        <v>87</v>
      </c>
      <c r="D53" s="11" t="s">
        <v>53</v>
      </c>
      <c r="E53" s="11" t="s">
        <v>52</v>
      </c>
      <c r="F53" s="1">
        <v>5600</v>
      </c>
      <c r="G53" s="7" t="s">
        <v>6</v>
      </c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45</v>
      </c>
      <c r="AL53" s="1">
        <v>7</v>
      </c>
      <c r="AM53" s="1">
        <v>14</v>
      </c>
      <c r="AN53" s="1">
        <v>10</v>
      </c>
      <c r="AO53" s="1">
        <v>5</v>
      </c>
      <c r="AP53" s="1">
        <v>2</v>
      </c>
      <c r="AQ53" s="1">
        <v>1</v>
      </c>
      <c r="AR53" s="1">
        <v>2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5">
      <c r="A54" s="3">
        <f>DATE(($K$1-1),6,1)</f>
        <v>42887</v>
      </c>
      <c r="B54" s="11" t="s">
        <v>42</v>
      </c>
      <c r="C54" s="4">
        <f t="shared" si="1"/>
        <v>72</v>
      </c>
      <c r="D54" s="11" t="s">
        <v>53</v>
      </c>
      <c r="E54" s="11" t="s">
        <v>52</v>
      </c>
      <c r="F54" s="1">
        <v>5600</v>
      </c>
      <c r="G54" s="7" t="s">
        <v>7</v>
      </c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5</v>
      </c>
      <c r="AM54" s="1">
        <v>7</v>
      </c>
      <c r="AN54" s="1">
        <v>6</v>
      </c>
      <c r="AO54" s="1">
        <v>6</v>
      </c>
      <c r="AP54" s="1">
        <v>7</v>
      </c>
      <c r="AQ54" s="1">
        <v>5</v>
      </c>
      <c r="AR54" s="1">
        <v>8</v>
      </c>
      <c r="AS54" s="1">
        <v>12</v>
      </c>
      <c r="AT54" s="1">
        <v>5</v>
      </c>
      <c r="AU54" s="1">
        <v>6</v>
      </c>
      <c r="AV54" s="1">
        <v>5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5">
      <c r="A55" s="3">
        <f>DATE(($K$1-1),7,30)</f>
        <v>42946</v>
      </c>
      <c r="B55" s="11" t="s">
        <v>43</v>
      </c>
      <c r="C55" s="4">
        <f t="shared" si="1"/>
        <v>97</v>
      </c>
      <c r="D55" s="11" t="s">
        <v>53</v>
      </c>
      <c r="E55" s="11" t="s">
        <v>52</v>
      </c>
      <c r="F55" s="1">
        <v>5600</v>
      </c>
      <c r="G55" s="7" t="s">
        <v>6</v>
      </c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46</v>
      </c>
      <c r="AM55" s="1">
        <v>10</v>
      </c>
      <c r="AN55" s="1">
        <v>16</v>
      </c>
      <c r="AO55" s="1">
        <v>8</v>
      </c>
      <c r="AP55" s="1">
        <v>5</v>
      </c>
      <c r="AQ55" s="1">
        <v>1</v>
      </c>
      <c r="AR55" s="1">
        <v>6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5">
      <c r="A56" s="3">
        <f>DATE(($K$1-1),7,30)</f>
        <v>42946</v>
      </c>
      <c r="B56" s="11" t="s">
        <v>43</v>
      </c>
      <c r="C56" s="4">
        <f t="shared" si="1"/>
        <v>69</v>
      </c>
      <c r="D56" s="11" t="s">
        <v>53</v>
      </c>
      <c r="E56" s="11" t="s">
        <v>52</v>
      </c>
      <c r="F56" s="1">
        <v>5600</v>
      </c>
      <c r="G56" s="7" t="s">
        <v>7</v>
      </c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11</v>
      </c>
      <c r="AO56" s="1">
        <v>5</v>
      </c>
      <c r="AP56" s="1">
        <v>8</v>
      </c>
      <c r="AQ56" s="1">
        <v>6</v>
      </c>
      <c r="AR56" s="1">
        <v>4</v>
      </c>
      <c r="AS56" s="1">
        <v>6</v>
      </c>
      <c r="AT56" s="1">
        <v>8</v>
      </c>
      <c r="AU56" s="1">
        <v>3</v>
      </c>
      <c r="AV56" s="1">
        <v>5</v>
      </c>
      <c r="AW56" s="1">
        <v>9</v>
      </c>
      <c r="AX56" s="1">
        <v>0</v>
      </c>
      <c r="AY56" s="1"/>
      <c r="AZ56" s="1"/>
      <c r="BA56" s="1"/>
      <c r="BB56" s="1"/>
      <c r="BC56" s="1"/>
    </row>
    <row r="57" spans="1:55" x14ac:dyDescent="0.25">
      <c r="A57" s="3">
        <f>DATE(($K$1-1),8,1)</f>
        <v>42948</v>
      </c>
      <c r="B57" s="11" t="s">
        <v>44</v>
      </c>
      <c r="C57" s="4">
        <f t="shared" si="1"/>
        <v>123</v>
      </c>
      <c r="D57" s="11" t="s">
        <v>50</v>
      </c>
      <c r="E57" s="11" t="s">
        <v>52</v>
      </c>
      <c r="F57" s="1">
        <v>6100</v>
      </c>
      <c r="G57" s="7" t="s">
        <v>6</v>
      </c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60</v>
      </c>
      <c r="AN57" s="1">
        <v>15</v>
      </c>
      <c r="AO57" s="1">
        <v>13</v>
      </c>
      <c r="AP57" s="1">
        <v>14</v>
      </c>
      <c r="AQ57" s="1">
        <v>8</v>
      </c>
      <c r="AR57" s="1">
        <v>6</v>
      </c>
      <c r="AS57" s="1">
        <v>2</v>
      </c>
      <c r="AT57" s="1">
        <v>1</v>
      </c>
      <c r="AU57" s="1">
        <v>1</v>
      </c>
      <c r="AV57" s="1">
        <v>0</v>
      </c>
      <c r="AW57" s="1">
        <v>1</v>
      </c>
      <c r="AX57" s="1">
        <v>2</v>
      </c>
      <c r="AY57" s="1">
        <v>0</v>
      </c>
      <c r="AZ57" s="1"/>
      <c r="BA57" s="1"/>
      <c r="BB57" s="1"/>
      <c r="BC57" s="1"/>
    </row>
    <row r="58" spans="1:55" x14ac:dyDescent="0.25">
      <c r="A58" s="3">
        <f>DATE(($K$1-1),8,1)</f>
        <v>42948</v>
      </c>
      <c r="B58" s="11" t="s">
        <v>44</v>
      </c>
      <c r="C58" s="4">
        <f t="shared" si="1"/>
        <v>99</v>
      </c>
      <c r="D58" s="11" t="s">
        <v>50</v>
      </c>
      <c r="E58" s="11" t="s">
        <v>52</v>
      </c>
      <c r="F58" s="1">
        <v>6100</v>
      </c>
      <c r="G58" s="7" t="s">
        <v>7</v>
      </c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6</v>
      </c>
      <c r="AO58" s="1">
        <v>8</v>
      </c>
      <c r="AP58" s="1">
        <v>7</v>
      </c>
      <c r="AQ58" s="1">
        <v>7</v>
      </c>
      <c r="AR58" s="1">
        <v>6</v>
      </c>
      <c r="AS58" s="1">
        <v>5</v>
      </c>
      <c r="AT58" s="1">
        <v>10</v>
      </c>
      <c r="AU58" s="1">
        <v>12</v>
      </c>
      <c r="AV58" s="1">
        <v>15</v>
      </c>
      <c r="AW58" s="1">
        <v>16</v>
      </c>
      <c r="AX58" s="1">
        <v>7</v>
      </c>
      <c r="AY58" s="1">
        <v>0</v>
      </c>
      <c r="AZ58" s="1"/>
      <c r="BA58" s="1"/>
      <c r="BB58" s="1"/>
      <c r="BC58" s="1"/>
    </row>
    <row r="59" spans="1:55" x14ac:dyDescent="0.25">
      <c r="A59" s="3">
        <f>DATE(($K$1-1),10,1)</f>
        <v>43009</v>
      </c>
      <c r="B59" s="11" t="s">
        <v>45</v>
      </c>
      <c r="C59" s="4">
        <f t="shared" si="1"/>
        <v>102</v>
      </c>
      <c r="D59" s="11" t="s">
        <v>53</v>
      </c>
      <c r="E59" s="11" t="s">
        <v>51</v>
      </c>
      <c r="F59" s="1">
        <v>6750</v>
      </c>
      <c r="G59" s="7" t="s">
        <v>6</v>
      </c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55</v>
      </c>
      <c r="AP59" s="1">
        <v>14</v>
      </c>
      <c r="AQ59" s="1">
        <v>12</v>
      </c>
      <c r="AR59" s="1">
        <v>9</v>
      </c>
      <c r="AS59" s="1">
        <v>3</v>
      </c>
      <c r="AT59" s="1">
        <v>2</v>
      </c>
      <c r="AU59" s="1">
        <v>1</v>
      </c>
      <c r="AV59" s="1">
        <v>3</v>
      </c>
      <c r="AW59" s="1">
        <v>0</v>
      </c>
      <c r="AX59" s="1">
        <v>0</v>
      </c>
      <c r="AY59" s="1">
        <v>1</v>
      </c>
      <c r="AZ59" s="1">
        <v>2</v>
      </c>
      <c r="BA59" s="1">
        <v>0</v>
      </c>
      <c r="BB59" s="1"/>
      <c r="BC59" s="1"/>
    </row>
    <row r="60" spans="1:55" x14ac:dyDescent="0.25">
      <c r="A60" s="3">
        <f>DATE(($K$1-1),10,1)</f>
        <v>43009</v>
      </c>
      <c r="B60" s="11" t="s">
        <v>45</v>
      </c>
      <c r="C60" s="4">
        <f t="shared" si="1"/>
        <v>88</v>
      </c>
      <c r="D60" s="11" t="s">
        <v>53</v>
      </c>
      <c r="E60" s="11" t="s">
        <v>51</v>
      </c>
      <c r="F60" s="1">
        <v>6750</v>
      </c>
      <c r="G60" s="7" t="s">
        <v>7</v>
      </c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8</v>
      </c>
      <c r="AQ60" s="1">
        <v>8</v>
      </c>
      <c r="AR60" s="1">
        <v>16</v>
      </c>
      <c r="AS60" s="1">
        <v>9</v>
      </c>
      <c r="AT60" s="1">
        <v>7</v>
      </c>
      <c r="AU60" s="1">
        <v>7</v>
      </c>
      <c r="AV60" s="1">
        <v>2</v>
      </c>
      <c r="AW60" s="1">
        <v>17</v>
      </c>
      <c r="AX60" s="1">
        <v>6</v>
      </c>
      <c r="AY60" s="1">
        <v>7</v>
      </c>
      <c r="AZ60" s="1">
        <v>1</v>
      </c>
      <c r="BA60" s="1">
        <v>0</v>
      </c>
      <c r="BB60" s="1"/>
      <c r="BC60" s="1"/>
    </row>
    <row r="61" spans="1:55" x14ac:dyDescent="0.25">
      <c r="A61" s="3">
        <f>DATE(($K$1-1),11,1)</f>
        <v>43040</v>
      </c>
      <c r="B61" s="11" t="s">
        <v>46</v>
      </c>
      <c r="C61" s="4">
        <f t="shared" si="1"/>
        <v>101</v>
      </c>
      <c r="D61" s="11" t="s">
        <v>53</v>
      </c>
      <c r="E61" s="11" t="s">
        <v>52</v>
      </c>
      <c r="F61" s="1">
        <v>7504</v>
      </c>
      <c r="G61" s="7" t="s">
        <v>6</v>
      </c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50</v>
      </c>
      <c r="AQ61" s="1">
        <v>10</v>
      </c>
      <c r="AR61" s="1">
        <v>16</v>
      </c>
      <c r="AS61" s="1">
        <v>8</v>
      </c>
      <c r="AT61" s="1">
        <v>5</v>
      </c>
      <c r="AU61" s="1">
        <v>1</v>
      </c>
      <c r="AV61" s="1">
        <v>6</v>
      </c>
      <c r="AW61" s="1">
        <v>3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5">
      <c r="A62" s="3">
        <f>DATE(($K$1-1),11,1)</f>
        <v>43040</v>
      </c>
      <c r="B62" s="11" t="s">
        <v>46</v>
      </c>
      <c r="C62" s="4">
        <f t="shared" si="1"/>
        <v>69</v>
      </c>
      <c r="D62" s="11" t="s">
        <v>53</v>
      </c>
      <c r="E62" s="11" t="s">
        <v>52</v>
      </c>
      <c r="F62" s="1">
        <v>7504</v>
      </c>
      <c r="G62" s="7" t="s">
        <v>7</v>
      </c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4</v>
      </c>
      <c r="AR62" s="1">
        <v>11</v>
      </c>
      <c r="AS62" s="1">
        <v>5</v>
      </c>
      <c r="AT62" s="1">
        <v>8</v>
      </c>
      <c r="AU62" s="1">
        <v>6</v>
      </c>
      <c r="AV62" s="1">
        <v>4</v>
      </c>
      <c r="AW62" s="1">
        <v>6</v>
      </c>
      <c r="AX62" s="1">
        <v>8</v>
      </c>
      <c r="AY62" s="1">
        <v>3</v>
      </c>
      <c r="AZ62" s="1">
        <v>5</v>
      </c>
      <c r="BA62" s="1">
        <v>9</v>
      </c>
      <c r="BB62" s="1">
        <v>0</v>
      </c>
      <c r="BC62" s="1"/>
    </row>
    <row r="63" spans="1:55" x14ac:dyDescent="0.25">
      <c r="A63" s="3">
        <f>DATE(($K$1-1),12,1)</f>
        <v>43070</v>
      </c>
      <c r="B63" s="11" t="s">
        <v>47</v>
      </c>
      <c r="C63" s="4">
        <f t="shared" si="1"/>
        <v>126</v>
      </c>
      <c r="D63" s="11" t="s">
        <v>50</v>
      </c>
      <c r="E63" s="11" t="s">
        <v>51</v>
      </c>
      <c r="F63" s="1">
        <v>4932</v>
      </c>
      <c r="G63" s="7" t="s">
        <v>6</v>
      </c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63</v>
      </c>
      <c r="AR63" s="1">
        <v>15</v>
      </c>
      <c r="AS63" s="1">
        <v>13</v>
      </c>
      <c r="AT63" s="1">
        <v>14</v>
      </c>
      <c r="AU63" s="1">
        <v>8</v>
      </c>
      <c r="AV63" s="1">
        <v>6</v>
      </c>
      <c r="AW63" s="1">
        <v>2</v>
      </c>
      <c r="AX63" s="1">
        <v>1</v>
      </c>
      <c r="AY63" s="1">
        <v>1</v>
      </c>
      <c r="AZ63" s="1">
        <v>0</v>
      </c>
      <c r="BA63" s="1">
        <v>1</v>
      </c>
      <c r="BB63" s="1">
        <v>2</v>
      </c>
      <c r="BC63" s="1">
        <v>0</v>
      </c>
    </row>
    <row r="64" spans="1:55" ht="13.8" thickBot="1" x14ac:dyDescent="0.3">
      <c r="A64" s="164">
        <f>DATE(($K$1-1),12,1)</f>
        <v>43070</v>
      </c>
      <c r="B64" s="165" t="s">
        <v>47</v>
      </c>
      <c r="C64" s="166">
        <f t="shared" si="1"/>
        <v>99</v>
      </c>
      <c r="D64" s="165" t="s">
        <v>50</v>
      </c>
      <c r="E64" s="165" t="s">
        <v>51</v>
      </c>
      <c r="F64" s="167">
        <v>4932</v>
      </c>
      <c r="G64" s="168" t="s">
        <v>7</v>
      </c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6</v>
      </c>
      <c r="AS64" s="1">
        <v>8</v>
      </c>
      <c r="AT64" s="1">
        <v>7</v>
      </c>
      <c r="AU64" s="1">
        <v>7</v>
      </c>
      <c r="AV64" s="1">
        <v>6</v>
      </c>
      <c r="AW64" s="1">
        <v>5</v>
      </c>
      <c r="AX64" s="1">
        <v>10</v>
      </c>
      <c r="AY64" s="1">
        <v>12</v>
      </c>
      <c r="AZ64" s="1">
        <v>15</v>
      </c>
      <c r="BA64" s="1">
        <v>16</v>
      </c>
      <c r="BB64" s="1">
        <v>7</v>
      </c>
      <c r="BC64" s="1">
        <v>0</v>
      </c>
    </row>
  </sheetData>
  <sortState xmlns:xlrd2="http://schemas.microsoft.com/office/spreadsheetml/2017/richdata2"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27FF-C64B-F940-86A6-8A5DC1C0506A}">
  <dimension ref="A1:O18"/>
  <sheetViews>
    <sheetView workbookViewId="0">
      <selection activeCell="S24" sqref="S24"/>
    </sheetView>
  </sheetViews>
  <sheetFormatPr defaultColWidth="11.44140625" defaultRowHeight="13.2" x14ac:dyDescent="0.25"/>
  <cols>
    <col min="2" max="2" width="15.44140625" customWidth="1"/>
    <col min="3" max="3" width="25.44140625" customWidth="1"/>
  </cols>
  <sheetData>
    <row r="1" spans="1:3" ht="16.2" thickBot="1" x14ac:dyDescent="0.4">
      <c r="A1" s="78" t="s">
        <v>81</v>
      </c>
      <c r="B1" s="79" t="s">
        <v>134</v>
      </c>
      <c r="C1" s="80" t="s">
        <v>135</v>
      </c>
    </row>
    <row r="2" spans="1:3" x14ac:dyDescent="0.25">
      <c r="A2" s="75">
        <v>0</v>
      </c>
      <c r="B2" s="76">
        <v>55</v>
      </c>
      <c r="C2" s="77">
        <v>55</v>
      </c>
    </row>
    <row r="3" spans="1:3" x14ac:dyDescent="0.25">
      <c r="A3" s="70">
        <v>1</v>
      </c>
      <c r="B3" s="16">
        <f>55+14</f>
        <v>69</v>
      </c>
      <c r="C3" s="71">
        <f>B3-8</f>
        <v>61</v>
      </c>
    </row>
    <row r="4" spans="1:3" x14ac:dyDescent="0.25">
      <c r="A4" s="70">
        <v>2</v>
      </c>
      <c r="B4" s="16">
        <f>B3+12</f>
        <v>81</v>
      </c>
      <c r="C4" s="71">
        <f>B4-16</f>
        <v>65</v>
      </c>
    </row>
    <row r="5" spans="1:3" x14ac:dyDescent="0.25">
      <c r="A5" s="70">
        <v>3</v>
      </c>
      <c r="B5" s="16">
        <f>B4+9</f>
        <v>90</v>
      </c>
      <c r="C5" s="71">
        <f>B5-32</f>
        <v>58</v>
      </c>
    </row>
    <row r="6" spans="1:3" x14ac:dyDescent="0.25">
      <c r="A6" s="70">
        <v>4</v>
      </c>
      <c r="B6" s="16">
        <f>B5+3</f>
        <v>93</v>
      </c>
      <c r="C6" s="71">
        <f>B6-41</f>
        <v>52</v>
      </c>
    </row>
    <row r="7" spans="1:3" x14ac:dyDescent="0.25">
      <c r="A7" s="70">
        <v>5</v>
      </c>
      <c r="B7" s="16">
        <f>B6+2</f>
        <v>95</v>
      </c>
      <c r="C7" s="71">
        <f>B7-48</f>
        <v>47</v>
      </c>
    </row>
    <row r="8" spans="1:3" x14ac:dyDescent="0.25">
      <c r="A8" s="70">
        <v>6</v>
      </c>
      <c r="B8" s="16">
        <f>B7+1</f>
        <v>96</v>
      </c>
      <c r="C8" s="71">
        <f>B8-55</f>
        <v>41</v>
      </c>
    </row>
    <row r="9" spans="1:3" x14ac:dyDescent="0.25">
      <c r="A9" s="70">
        <v>7</v>
      </c>
      <c r="B9" s="16">
        <f>B8+3</f>
        <v>99</v>
      </c>
      <c r="C9" s="71">
        <f>B9-57</f>
        <v>42</v>
      </c>
    </row>
    <row r="10" spans="1:3" x14ac:dyDescent="0.25">
      <c r="A10" s="70">
        <v>8</v>
      </c>
      <c r="B10" s="16">
        <v>99</v>
      </c>
      <c r="C10" s="71">
        <f>B10-74</f>
        <v>25</v>
      </c>
    </row>
    <row r="11" spans="1:3" x14ac:dyDescent="0.25">
      <c r="A11" s="70">
        <v>9</v>
      </c>
      <c r="B11" s="16">
        <v>99</v>
      </c>
      <c r="C11" s="71">
        <f>B11-80</f>
        <v>19</v>
      </c>
    </row>
    <row r="12" spans="1:3" x14ac:dyDescent="0.25">
      <c r="A12" s="70">
        <v>10</v>
      </c>
      <c r="B12" s="16">
        <f>B11+1</f>
        <v>100</v>
      </c>
      <c r="C12" s="71">
        <f>B12-87</f>
        <v>13</v>
      </c>
    </row>
    <row r="13" spans="1:3" x14ac:dyDescent="0.25">
      <c r="A13" s="70">
        <v>11</v>
      </c>
      <c r="B13" s="16">
        <f>B12+2</f>
        <v>102</v>
      </c>
      <c r="C13" s="71">
        <f>B13-88</f>
        <v>14</v>
      </c>
    </row>
    <row r="14" spans="1:3" ht="13.8" thickBot="1" x14ac:dyDescent="0.3">
      <c r="A14" s="72">
        <v>12</v>
      </c>
      <c r="B14" s="73">
        <v>102</v>
      </c>
      <c r="C14" s="74">
        <f>B14-88</f>
        <v>14</v>
      </c>
    </row>
    <row r="15" spans="1:3" x14ac:dyDescent="0.25">
      <c r="B15" s="13"/>
      <c r="C15" s="13"/>
    </row>
    <row r="16" spans="1:3" x14ac:dyDescent="0.25">
      <c r="B16" s="13"/>
    </row>
    <row r="17" spans="2:15" x14ac:dyDescent="0.25">
      <c r="B17" s="13"/>
      <c r="O17" s="137"/>
    </row>
    <row r="18" spans="2:15" x14ac:dyDescent="0.25">
      <c r="B1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59C7-5D3F-974F-B5E8-1656ED8B7DEF}">
  <dimension ref="A1:AC81"/>
  <sheetViews>
    <sheetView topLeftCell="C71" zoomScaleNormal="100" workbookViewId="0">
      <selection activeCell="C68" sqref="C68"/>
    </sheetView>
  </sheetViews>
  <sheetFormatPr defaultColWidth="11.44140625" defaultRowHeight="13.2" x14ac:dyDescent="0.25"/>
  <cols>
    <col min="2" max="2" width="17.6640625" customWidth="1"/>
    <col min="3" max="3" width="25.109375" customWidth="1"/>
    <col min="4" max="4" width="22" customWidth="1"/>
    <col min="5" max="5" width="32.33203125" customWidth="1"/>
    <col min="16" max="16" width="25.33203125" customWidth="1"/>
  </cols>
  <sheetData>
    <row r="1" spans="1:29" x14ac:dyDescent="0.25">
      <c r="A1" s="9" t="s">
        <v>2</v>
      </c>
      <c r="B1" s="9" t="s">
        <v>80</v>
      </c>
      <c r="C1" s="9" t="s">
        <v>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9" t="s">
        <v>68</v>
      </c>
      <c r="S1" s="9" t="s">
        <v>69</v>
      </c>
      <c r="T1" s="9" t="s">
        <v>70</v>
      </c>
      <c r="U1" s="9" t="s">
        <v>71</v>
      </c>
      <c r="V1" s="9" t="s">
        <v>72</v>
      </c>
      <c r="W1" s="9" t="s">
        <v>73</v>
      </c>
      <c r="X1" s="9" t="s">
        <v>74</v>
      </c>
      <c r="Y1" s="9" t="s">
        <v>75</v>
      </c>
      <c r="Z1" s="9" t="s">
        <v>76</v>
      </c>
      <c r="AA1" s="9" t="s">
        <v>77</v>
      </c>
      <c r="AB1" s="9" t="s">
        <v>78</v>
      </c>
      <c r="AC1" s="9" t="s">
        <v>79</v>
      </c>
    </row>
    <row r="2" spans="1:29" x14ac:dyDescent="0.25">
      <c r="A2" s="16" t="s">
        <v>5</v>
      </c>
      <c r="B2" s="16" t="s">
        <v>6</v>
      </c>
      <c r="C2" s="19">
        <v>2400</v>
      </c>
      <c r="D2" s="20">
        <v>45</v>
      </c>
      <c r="E2" s="20">
        <v>48</v>
      </c>
      <c r="F2" s="20">
        <v>53</v>
      </c>
      <c r="G2" s="20">
        <v>56</v>
      </c>
      <c r="H2" s="20">
        <v>58</v>
      </c>
      <c r="I2" s="20">
        <v>64</v>
      </c>
      <c r="J2" s="20">
        <v>67</v>
      </c>
      <c r="K2" s="20">
        <v>69</v>
      </c>
      <c r="L2" s="20">
        <v>70</v>
      </c>
      <c r="M2" s="20">
        <v>70</v>
      </c>
      <c r="N2" s="20">
        <v>71</v>
      </c>
      <c r="O2" s="20">
        <v>71</v>
      </c>
      <c r="P2" s="20">
        <v>72</v>
      </c>
      <c r="Q2" s="16">
        <f t="shared" ref="Q2:Q33" si="0">(D2/C2)*1000</f>
        <v>18.75</v>
      </c>
      <c r="R2" s="16">
        <f t="shared" ref="R2:R33" si="1">(E2/C2)*1000</f>
        <v>20</v>
      </c>
      <c r="S2" s="16">
        <f t="shared" ref="S2:S33" si="2">(F2/C2)*1000</f>
        <v>22.083333333333332</v>
      </c>
      <c r="T2" s="16">
        <f t="shared" ref="T2:T33" si="3">(G2/C2)*1000</f>
        <v>23.333333333333336</v>
      </c>
      <c r="U2" s="16">
        <f t="shared" ref="U2:U33" si="4">(H2/C2)*1000</f>
        <v>24.166666666666668</v>
      </c>
      <c r="V2" s="16">
        <f t="shared" ref="V2:V33" si="5">(I2/C2)*1000</f>
        <v>26.666666666666668</v>
      </c>
      <c r="W2" s="16">
        <f t="shared" ref="W2:W33" si="6">(J2/C2)*1000</f>
        <v>27.916666666666664</v>
      </c>
      <c r="X2" s="16">
        <f t="shared" ref="X2:X33" si="7">(K2/C2)*1000</f>
        <v>28.75</v>
      </c>
      <c r="Y2" s="16">
        <f t="shared" ref="Y2:Y33" si="8">(L2/C2)*1000</f>
        <v>29.166666666666668</v>
      </c>
      <c r="Z2" s="16">
        <f t="shared" ref="Z2:Z33" si="9">(M2/C2)*1000</f>
        <v>29.166666666666668</v>
      </c>
      <c r="AA2" s="16">
        <f t="shared" ref="AA2:AA33" si="10">(N2/C2)*1000</f>
        <v>29.583333333333332</v>
      </c>
      <c r="AB2" s="16">
        <f t="shared" ref="AB2:AB33" si="11">(O2/C2)*1000</f>
        <v>29.583333333333332</v>
      </c>
      <c r="AC2" s="16">
        <f t="shared" ref="AC2:AC33" si="12">(P2/C2)*1000</f>
        <v>30</v>
      </c>
    </row>
    <row r="3" spans="1:29" x14ac:dyDescent="0.25">
      <c r="A3" s="16" t="s">
        <v>8</v>
      </c>
      <c r="B3" s="16" t="s">
        <v>6</v>
      </c>
      <c r="C3" s="19">
        <v>3780</v>
      </c>
      <c r="D3" s="19">
        <v>38</v>
      </c>
      <c r="E3" s="19">
        <v>44</v>
      </c>
      <c r="F3" s="19">
        <v>52</v>
      </c>
      <c r="G3" s="19">
        <v>54</v>
      </c>
      <c r="H3" s="19">
        <v>57</v>
      </c>
      <c r="I3" s="19">
        <v>61</v>
      </c>
      <c r="J3" s="19">
        <v>62</v>
      </c>
      <c r="K3" s="19">
        <v>67</v>
      </c>
      <c r="L3" s="19">
        <v>67</v>
      </c>
      <c r="M3" s="19">
        <v>67</v>
      </c>
      <c r="N3" s="19">
        <v>68</v>
      </c>
      <c r="O3" s="19">
        <v>68</v>
      </c>
      <c r="P3" s="19">
        <v>69</v>
      </c>
      <c r="Q3" s="16">
        <f t="shared" si="0"/>
        <v>10.052910052910054</v>
      </c>
      <c r="R3" s="16">
        <f t="shared" si="1"/>
        <v>11.640211640211639</v>
      </c>
      <c r="S3" s="16">
        <f t="shared" si="2"/>
        <v>13.756613756613756</v>
      </c>
      <c r="T3" s="16">
        <f t="shared" si="3"/>
        <v>14.285714285714285</v>
      </c>
      <c r="U3" s="16">
        <f t="shared" si="4"/>
        <v>15.079365079365079</v>
      </c>
      <c r="V3" s="16">
        <f t="shared" si="5"/>
        <v>16.137566137566139</v>
      </c>
      <c r="W3" s="16">
        <f t="shared" si="6"/>
        <v>16.402116402116402</v>
      </c>
      <c r="X3" s="16">
        <f t="shared" si="7"/>
        <v>17.724867724867725</v>
      </c>
      <c r="Y3" s="16">
        <f t="shared" si="8"/>
        <v>17.724867724867725</v>
      </c>
      <c r="Z3" s="16">
        <f t="shared" si="9"/>
        <v>17.724867724867725</v>
      </c>
      <c r="AA3" s="16">
        <f t="shared" si="10"/>
        <v>17.989417989417991</v>
      </c>
      <c r="AB3" s="16">
        <f t="shared" si="11"/>
        <v>17.989417989417991</v>
      </c>
      <c r="AC3" s="16">
        <f t="shared" si="12"/>
        <v>18.253968253968257</v>
      </c>
    </row>
    <row r="4" spans="1:29" x14ac:dyDescent="0.25">
      <c r="A4" s="16" t="s">
        <v>7</v>
      </c>
      <c r="B4" s="16" t="s">
        <v>6</v>
      </c>
      <c r="C4" s="19">
        <v>4593</v>
      </c>
      <c r="D4" s="19">
        <v>41</v>
      </c>
      <c r="E4" s="19">
        <v>46</v>
      </c>
      <c r="F4" s="19">
        <v>49</v>
      </c>
      <c r="G4" s="19">
        <v>53</v>
      </c>
      <c r="H4" s="19">
        <v>56</v>
      </c>
      <c r="I4" s="19">
        <v>58</v>
      </c>
      <c r="J4" s="19">
        <v>60</v>
      </c>
      <c r="K4" s="19">
        <v>61</v>
      </c>
      <c r="L4" s="19">
        <v>62</v>
      </c>
      <c r="M4" s="19">
        <v>62</v>
      </c>
      <c r="N4" s="19">
        <v>63</v>
      </c>
      <c r="O4" s="19">
        <v>63</v>
      </c>
      <c r="P4" s="19">
        <v>63</v>
      </c>
      <c r="Q4" s="16">
        <f t="shared" si="0"/>
        <v>8.9266274765948186</v>
      </c>
      <c r="R4" s="16">
        <f t="shared" si="1"/>
        <v>10.015240583496626</v>
      </c>
      <c r="S4" s="16">
        <f t="shared" si="2"/>
        <v>10.668408447637709</v>
      </c>
      <c r="T4" s="16">
        <f t="shared" si="3"/>
        <v>11.539298933159156</v>
      </c>
      <c r="U4" s="16">
        <f t="shared" si="4"/>
        <v>12.192466797300238</v>
      </c>
      <c r="V4" s="16">
        <f t="shared" si="5"/>
        <v>12.627912040060963</v>
      </c>
      <c r="W4" s="16">
        <f t="shared" si="6"/>
        <v>13.063357282821686</v>
      </c>
      <c r="X4" s="16">
        <f t="shared" si="7"/>
        <v>13.281079904202047</v>
      </c>
      <c r="Y4" s="16">
        <f t="shared" si="8"/>
        <v>13.498802525582407</v>
      </c>
      <c r="Z4" s="16">
        <f t="shared" si="9"/>
        <v>13.498802525582407</v>
      </c>
      <c r="AA4" s="16">
        <f t="shared" si="10"/>
        <v>13.716525146962768</v>
      </c>
      <c r="AB4" s="16">
        <f t="shared" si="11"/>
        <v>13.716525146962768</v>
      </c>
      <c r="AC4" s="16">
        <f t="shared" si="12"/>
        <v>13.716525146962768</v>
      </c>
    </row>
    <row r="5" spans="1:29" x14ac:dyDescent="0.25">
      <c r="A5" s="16" t="s">
        <v>9</v>
      </c>
      <c r="B5" s="16" t="s">
        <v>6</v>
      </c>
      <c r="C5" s="19">
        <v>3690</v>
      </c>
      <c r="D5" s="19">
        <v>33</v>
      </c>
      <c r="E5" s="19">
        <v>37</v>
      </c>
      <c r="F5" s="19">
        <v>39</v>
      </c>
      <c r="G5" s="19">
        <v>44</v>
      </c>
      <c r="H5" s="19">
        <v>46</v>
      </c>
      <c r="I5" s="19">
        <v>48</v>
      </c>
      <c r="J5" s="19">
        <v>49</v>
      </c>
      <c r="K5" s="19">
        <v>52</v>
      </c>
      <c r="L5" s="19">
        <v>52</v>
      </c>
      <c r="M5" s="19">
        <v>52</v>
      </c>
      <c r="N5" s="19">
        <v>53</v>
      </c>
      <c r="O5" s="19">
        <v>53</v>
      </c>
      <c r="P5" s="19">
        <v>53</v>
      </c>
      <c r="Q5" s="16">
        <f t="shared" si="0"/>
        <v>8.9430894308943092</v>
      </c>
      <c r="R5" s="16">
        <f t="shared" si="1"/>
        <v>10.027100271002711</v>
      </c>
      <c r="S5" s="16">
        <f t="shared" si="2"/>
        <v>10.56910569105691</v>
      </c>
      <c r="T5" s="16">
        <f t="shared" si="3"/>
        <v>11.924119241192411</v>
      </c>
      <c r="U5" s="16">
        <f t="shared" si="4"/>
        <v>12.466124661246614</v>
      </c>
      <c r="V5" s="16">
        <f t="shared" si="5"/>
        <v>13.008130081300813</v>
      </c>
      <c r="W5" s="16">
        <f t="shared" si="6"/>
        <v>13.279132791327914</v>
      </c>
      <c r="X5" s="16">
        <f t="shared" si="7"/>
        <v>14.092140921409214</v>
      </c>
      <c r="Y5" s="16">
        <f t="shared" si="8"/>
        <v>14.092140921409214</v>
      </c>
      <c r="Z5" s="16">
        <f t="shared" si="9"/>
        <v>14.092140921409214</v>
      </c>
      <c r="AA5" s="16">
        <f t="shared" si="10"/>
        <v>14.363143631436316</v>
      </c>
      <c r="AB5" s="16">
        <f t="shared" si="11"/>
        <v>14.363143631436316</v>
      </c>
      <c r="AC5" s="16">
        <f t="shared" si="12"/>
        <v>14.363143631436316</v>
      </c>
    </row>
    <row r="6" spans="1:29" x14ac:dyDescent="0.25">
      <c r="A6" s="16" t="s">
        <v>10</v>
      </c>
      <c r="B6" s="16" t="s">
        <v>6</v>
      </c>
      <c r="C6" s="19">
        <v>4400</v>
      </c>
      <c r="D6" s="19">
        <v>55</v>
      </c>
      <c r="E6" s="19">
        <v>58</v>
      </c>
      <c r="F6" s="19">
        <v>63</v>
      </c>
      <c r="G6" s="19">
        <v>66</v>
      </c>
      <c r="H6" s="19">
        <v>68</v>
      </c>
      <c r="I6" s="19">
        <v>74</v>
      </c>
      <c r="J6" s="19">
        <v>77</v>
      </c>
      <c r="K6" s="19">
        <v>79</v>
      </c>
      <c r="L6" s="19">
        <v>80</v>
      </c>
      <c r="M6" s="19">
        <v>80</v>
      </c>
      <c r="N6" s="19">
        <v>81</v>
      </c>
      <c r="O6" s="19">
        <v>81</v>
      </c>
      <c r="P6" s="19">
        <v>82</v>
      </c>
      <c r="Q6" s="16">
        <f t="shared" si="0"/>
        <v>12.5</v>
      </c>
      <c r="R6" s="16">
        <f t="shared" si="1"/>
        <v>13.181818181818182</v>
      </c>
      <c r="S6" s="16">
        <f t="shared" si="2"/>
        <v>14.318181818181818</v>
      </c>
      <c r="T6" s="16">
        <f t="shared" si="3"/>
        <v>15</v>
      </c>
      <c r="U6" s="16">
        <f t="shared" si="4"/>
        <v>15.454545454545455</v>
      </c>
      <c r="V6" s="16">
        <f t="shared" si="5"/>
        <v>16.81818181818182</v>
      </c>
      <c r="W6" s="16">
        <f t="shared" si="6"/>
        <v>17.5</v>
      </c>
      <c r="X6" s="16">
        <f t="shared" si="7"/>
        <v>17.954545454545457</v>
      </c>
      <c r="Y6" s="16">
        <f t="shared" si="8"/>
        <v>18.18181818181818</v>
      </c>
      <c r="Z6" s="16">
        <f t="shared" si="9"/>
        <v>18.18181818181818</v>
      </c>
      <c r="AA6" s="16">
        <f t="shared" si="10"/>
        <v>18.40909090909091</v>
      </c>
      <c r="AB6" s="16">
        <f t="shared" si="11"/>
        <v>18.40909090909091</v>
      </c>
      <c r="AC6" s="16">
        <f t="shared" si="12"/>
        <v>18.636363636363637</v>
      </c>
    </row>
    <row r="7" spans="1:29" x14ac:dyDescent="0.25">
      <c r="A7" s="16" t="s">
        <v>11</v>
      </c>
      <c r="B7" s="16" t="s">
        <v>6</v>
      </c>
      <c r="C7" s="19">
        <v>4450</v>
      </c>
      <c r="D7" s="19">
        <v>56</v>
      </c>
      <c r="E7" s="19">
        <v>62</v>
      </c>
      <c r="F7" s="19">
        <v>70</v>
      </c>
      <c r="G7" s="19">
        <v>72</v>
      </c>
      <c r="H7" s="19">
        <v>75</v>
      </c>
      <c r="I7" s="19">
        <v>79</v>
      </c>
      <c r="J7" s="19">
        <v>80</v>
      </c>
      <c r="K7" s="19">
        <v>85</v>
      </c>
      <c r="L7" s="19">
        <v>85</v>
      </c>
      <c r="M7" s="19">
        <v>85</v>
      </c>
      <c r="N7" s="19">
        <v>86</v>
      </c>
      <c r="O7" s="19">
        <v>86</v>
      </c>
      <c r="P7" s="19">
        <v>86</v>
      </c>
      <c r="Q7" s="16">
        <f t="shared" si="0"/>
        <v>12.584269662921349</v>
      </c>
      <c r="R7" s="16">
        <f t="shared" si="1"/>
        <v>13.932584269662922</v>
      </c>
      <c r="S7" s="16">
        <f t="shared" si="2"/>
        <v>15.730337078651687</v>
      </c>
      <c r="T7" s="16">
        <f t="shared" si="3"/>
        <v>16.179775280898877</v>
      </c>
      <c r="U7" s="16">
        <f t="shared" si="4"/>
        <v>16.853932584269664</v>
      </c>
      <c r="V7" s="16">
        <f t="shared" si="5"/>
        <v>17.752808988764045</v>
      </c>
      <c r="W7" s="16">
        <f t="shared" si="6"/>
        <v>17.977528089887642</v>
      </c>
      <c r="X7" s="16">
        <f t="shared" si="7"/>
        <v>19.101123595505619</v>
      </c>
      <c r="Y7" s="16">
        <f t="shared" si="8"/>
        <v>19.101123595505619</v>
      </c>
      <c r="Z7" s="16">
        <f t="shared" si="9"/>
        <v>19.101123595505619</v>
      </c>
      <c r="AA7" s="16">
        <f t="shared" si="10"/>
        <v>19.325842696629213</v>
      </c>
      <c r="AB7" s="16">
        <f t="shared" si="11"/>
        <v>19.325842696629213</v>
      </c>
      <c r="AC7" s="16">
        <f t="shared" si="12"/>
        <v>19.325842696629213</v>
      </c>
    </row>
    <row r="8" spans="1:29" x14ac:dyDescent="0.25">
      <c r="A8" s="16" t="s">
        <v>12</v>
      </c>
      <c r="B8" s="16" t="s">
        <v>6</v>
      </c>
      <c r="C8" s="19">
        <v>4925</v>
      </c>
      <c r="D8" s="19">
        <v>44</v>
      </c>
      <c r="E8" s="19">
        <v>48</v>
      </c>
      <c r="F8" s="19">
        <v>51</v>
      </c>
      <c r="G8" s="19">
        <v>56</v>
      </c>
      <c r="H8" s="19">
        <v>58</v>
      </c>
      <c r="I8" s="19">
        <v>61</v>
      </c>
      <c r="J8" s="19">
        <v>63</v>
      </c>
      <c r="K8" s="19">
        <v>64</v>
      </c>
      <c r="L8" s="19">
        <v>65</v>
      </c>
      <c r="M8" s="19">
        <v>65</v>
      </c>
      <c r="N8" s="19">
        <v>66</v>
      </c>
      <c r="O8" s="19">
        <v>66</v>
      </c>
      <c r="P8" s="19">
        <v>66</v>
      </c>
      <c r="Q8" s="16">
        <f t="shared" si="0"/>
        <v>8.9340101522842641</v>
      </c>
      <c r="R8" s="16">
        <f t="shared" si="1"/>
        <v>9.746192893401016</v>
      </c>
      <c r="S8" s="16">
        <f t="shared" si="2"/>
        <v>10.355329949238579</v>
      </c>
      <c r="T8" s="16">
        <f t="shared" si="3"/>
        <v>11.370558375634518</v>
      </c>
      <c r="U8" s="16">
        <f t="shared" si="4"/>
        <v>11.776649746192895</v>
      </c>
      <c r="V8" s="16">
        <f t="shared" si="5"/>
        <v>12.385786802030458</v>
      </c>
      <c r="W8" s="16">
        <f t="shared" si="6"/>
        <v>12.791878172588831</v>
      </c>
      <c r="X8" s="16">
        <f t="shared" si="7"/>
        <v>12.99492385786802</v>
      </c>
      <c r="Y8" s="16">
        <f t="shared" si="8"/>
        <v>13.197969543147208</v>
      </c>
      <c r="Z8" s="16">
        <f t="shared" si="9"/>
        <v>13.197969543147208</v>
      </c>
      <c r="AA8" s="16">
        <f t="shared" si="10"/>
        <v>13.401015228426397</v>
      </c>
      <c r="AB8" s="16">
        <f t="shared" si="11"/>
        <v>13.401015228426397</v>
      </c>
      <c r="AC8" s="16">
        <f t="shared" si="12"/>
        <v>13.401015228426397</v>
      </c>
    </row>
    <row r="9" spans="1:29" x14ac:dyDescent="0.25">
      <c r="A9" s="16" t="s">
        <v>13</v>
      </c>
      <c r="B9" s="16" t="s">
        <v>6</v>
      </c>
      <c r="C9" s="19">
        <v>5645</v>
      </c>
      <c r="D9" s="19">
        <v>43</v>
      </c>
      <c r="E9" s="19">
        <v>45</v>
      </c>
      <c r="F9" s="19">
        <v>49</v>
      </c>
      <c r="G9" s="19">
        <v>52</v>
      </c>
      <c r="H9" s="19">
        <v>56</v>
      </c>
      <c r="I9" s="19">
        <v>58</v>
      </c>
      <c r="J9" s="19">
        <v>59</v>
      </c>
      <c r="K9" s="19">
        <v>62</v>
      </c>
      <c r="L9" s="19">
        <v>62</v>
      </c>
      <c r="M9" s="19">
        <v>62</v>
      </c>
      <c r="N9" s="19">
        <v>63</v>
      </c>
      <c r="O9" s="19">
        <v>63</v>
      </c>
      <c r="P9" s="19">
        <v>64</v>
      </c>
      <c r="Q9" s="16">
        <f t="shared" si="0"/>
        <v>7.6173604960141716</v>
      </c>
      <c r="R9" s="16">
        <f t="shared" si="1"/>
        <v>7.9716563330380872</v>
      </c>
      <c r="S9" s="16">
        <f t="shared" si="2"/>
        <v>8.6802480070859165</v>
      </c>
      <c r="T9" s="16">
        <f t="shared" si="3"/>
        <v>9.2116917626217898</v>
      </c>
      <c r="U9" s="16">
        <f t="shared" si="4"/>
        <v>9.9202834366696191</v>
      </c>
      <c r="V9" s="16">
        <f t="shared" si="5"/>
        <v>10.274579273693535</v>
      </c>
      <c r="W9" s="16">
        <f t="shared" si="6"/>
        <v>10.451727192205492</v>
      </c>
      <c r="X9" s="16">
        <f t="shared" si="7"/>
        <v>10.983170947741364</v>
      </c>
      <c r="Y9" s="16">
        <f t="shared" si="8"/>
        <v>10.983170947741364</v>
      </c>
      <c r="Z9" s="16">
        <f t="shared" si="9"/>
        <v>10.983170947741364</v>
      </c>
      <c r="AA9" s="16">
        <f t="shared" si="10"/>
        <v>11.160318866253322</v>
      </c>
      <c r="AB9" s="16">
        <f t="shared" si="11"/>
        <v>11.160318866253322</v>
      </c>
      <c r="AC9" s="16">
        <f t="shared" si="12"/>
        <v>11.337466784765279</v>
      </c>
    </row>
    <row r="10" spans="1:29" x14ac:dyDescent="0.25">
      <c r="A10" s="16" t="s">
        <v>15</v>
      </c>
      <c r="B10" s="16" t="s">
        <v>6</v>
      </c>
      <c r="C10" s="19">
        <v>6323</v>
      </c>
      <c r="D10" s="19">
        <v>38</v>
      </c>
      <c r="E10" s="19">
        <v>42</v>
      </c>
      <c r="F10" s="19">
        <v>45</v>
      </c>
      <c r="G10" s="19">
        <v>50</v>
      </c>
      <c r="H10" s="19">
        <v>52</v>
      </c>
      <c r="I10" s="19">
        <v>55</v>
      </c>
      <c r="J10" s="19">
        <v>57</v>
      </c>
      <c r="K10" s="19">
        <v>58</v>
      </c>
      <c r="L10" s="19">
        <v>59</v>
      </c>
      <c r="M10" s="19">
        <v>59</v>
      </c>
      <c r="N10" s="19">
        <v>60</v>
      </c>
      <c r="O10" s="19">
        <v>60</v>
      </c>
      <c r="P10" s="19">
        <v>60</v>
      </c>
      <c r="Q10" s="16">
        <f t="shared" si="0"/>
        <v>6.0098054720860352</v>
      </c>
      <c r="R10" s="16">
        <f t="shared" si="1"/>
        <v>6.6424165744108805</v>
      </c>
      <c r="S10" s="16">
        <f t="shared" si="2"/>
        <v>7.1168749011545156</v>
      </c>
      <c r="T10" s="16">
        <f t="shared" si="3"/>
        <v>7.9076387790605729</v>
      </c>
      <c r="U10" s="16">
        <f t="shared" si="4"/>
        <v>8.2239443302229951</v>
      </c>
      <c r="V10" s="16">
        <f t="shared" si="5"/>
        <v>8.6984026569666302</v>
      </c>
      <c r="W10" s="16">
        <f t="shared" si="6"/>
        <v>9.0147082081290524</v>
      </c>
      <c r="X10" s="16">
        <f t="shared" si="7"/>
        <v>9.1728609837102635</v>
      </c>
      <c r="Y10" s="16">
        <f t="shared" si="8"/>
        <v>9.3310137592914764</v>
      </c>
      <c r="Z10" s="16">
        <f t="shared" si="9"/>
        <v>9.3310137592914764</v>
      </c>
      <c r="AA10" s="16">
        <f t="shared" si="10"/>
        <v>9.4891665348726857</v>
      </c>
      <c r="AB10" s="16">
        <f t="shared" si="11"/>
        <v>9.4891665348726857</v>
      </c>
      <c r="AC10" s="16">
        <f t="shared" si="12"/>
        <v>9.4891665348726857</v>
      </c>
    </row>
    <row r="11" spans="1:29" x14ac:dyDescent="0.25">
      <c r="A11" s="16" t="s">
        <v>16</v>
      </c>
      <c r="B11" s="16" t="s">
        <v>6</v>
      </c>
      <c r="C11" s="19">
        <v>3809</v>
      </c>
      <c r="D11" s="19">
        <v>42</v>
      </c>
      <c r="E11" s="19">
        <v>44</v>
      </c>
      <c r="F11" s="19">
        <v>48</v>
      </c>
      <c r="G11" s="19">
        <v>51</v>
      </c>
      <c r="H11" s="19">
        <v>55</v>
      </c>
      <c r="I11" s="19">
        <v>57</v>
      </c>
      <c r="J11" s="19">
        <v>58</v>
      </c>
      <c r="K11" s="19">
        <v>61</v>
      </c>
      <c r="L11" s="19">
        <v>61</v>
      </c>
      <c r="M11" s="19">
        <v>61</v>
      </c>
      <c r="N11" s="19">
        <v>62</v>
      </c>
      <c r="O11" s="19">
        <v>62</v>
      </c>
      <c r="P11" s="19">
        <v>63</v>
      </c>
      <c r="Q11" s="16">
        <f t="shared" si="0"/>
        <v>11.026516145970071</v>
      </c>
      <c r="R11" s="16">
        <f t="shared" si="1"/>
        <v>11.551588343397217</v>
      </c>
      <c r="S11" s="16">
        <f t="shared" si="2"/>
        <v>12.60173273825151</v>
      </c>
      <c r="T11" s="16">
        <f t="shared" si="3"/>
        <v>13.389341034392229</v>
      </c>
      <c r="U11" s="16">
        <f t="shared" si="4"/>
        <v>14.439485429246522</v>
      </c>
      <c r="V11" s="16">
        <f t="shared" si="5"/>
        <v>14.964557626673667</v>
      </c>
      <c r="W11" s="16">
        <f t="shared" si="6"/>
        <v>15.22709372538724</v>
      </c>
      <c r="X11" s="16">
        <f t="shared" si="7"/>
        <v>16.01470202152796</v>
      </c>
      <c r="Y11" s="16">
        <f t="shared" si="8"/>
        <v>16.01470202152796</v>
      </c>
      <c r="Z11" s="16">
        <f t="shared" si="9"/>
        <v>16.01470202152796</v>
      </c>
      <c r="AA11" s="16">
        <f t="shared" si="10"/>
        <v>16.277238120241535</v>
      </c>
      <c r="AB11" s="16">
        <f t="shared" si="11"/>
        <v>16.277238120241535</v>
      </c>
      <c r="AC11" s="16">
        <f t="shared" si="12"/>
        <v>16.539774218955106</v>
      </c>
    </row>
    <row r="12" spans="1:29" x14ac:dyDescent="0.25">
      <c r="A12" s="16" t="s">
        <v>29</v>
      </c>
      <c r="B12" s="16" t="s">
        <v>6</v>
      </c>
      <c r="C12" s="19">
        <v>2900</v>
      </c>
      <c r="D12" s="19">
        <v>40</v>
      </c>
      <c r="E12" s="19">
        <v>42</v>
      </c>
      <c r="F12" s="19">
        <v>48</v>
      </c>
      <c r="G12" s="19">
        <v>50</v>
      </c>
      <c r="H12" s="19">
        <v>51</v>
      </c>
      <c r="I12" s="19">
        <v>53</v>
      </c>
      <c r="J12" s="19">
        <v>56</v>
      </c>
      <c r="K12" s="19">
        <v>58</v>
      </c>
      <c r="L12" s="19">
        <v>59</v>
      </c>
      <c r="M12" s="19">
        <v>59</v>
      </c>
      <c r="N12" s="19">
        <v>60</v>
      </c>
      <c r="O12" s="19">
        <v>60</v>
      </c>
      <c r="P12" s="19">
        <v>61</v>
      </c>
      <c r="Q12" s="16">
        <f t="shared" si="0"/>
        <v>13.793103448275861</v>
      </c>
      <c r="R12" s="16">
        <f t="shared" si="1"/>
        <v>14.482758620689657</v>
      </c>
      <c r="S12" s="16">
        <f t="shared" si="2"/>
        <v>16.551724137931036</v>
      </c>
      <c r="T12" s="16">
        <f t="shared" si="3"/>
        <v>17.241379310344826</v>
      </c>
      <c r="U12" s="16">
        <f t="shared" si="4"/>
        <v>17.586206896551726</v>
      </c>
      <c r="V12" s="16">
        <f t="shared" si="5"/>
        <v>18.275862068965516</v>
      </c>
      <c r="W12" s="16">
        <f t="shared" si="6"/>
        <v>19.310344827586206</v>
      </c>
      <c r="X12" s="16">
        <f t="shared" si="7"/>
        <v>20</v>
      </c>
      <c r="Y12" s="16">
        <f t="shared" si="8"/>
        <v>20.344827586206893</v>
      </c>
      <c r="Z12" s="16">
        <f t="shared" si="9"/>
        <v>20.344827586206893</v>
      </c>
      <c r="AA12" s="16">
        <f t="shared" si="10"/>
        <v>20.689655172413794</v>
      </c>
      <c r="AB12" s="16">
        <f t="shared" si="11"/>
        <v>20.689655172413794</v>
      </c>
      <c r="AC12" s="16">
        <f t="shared" si="12"/>
        <v>21.03448275862069</v>
      </c>
    </row>
    <row r="13" spans="1:29" x14ac:dyDescent="0.25">
      <c r="A13" s="16" t="s">
        <v>30</v>
      </c>
      <c r="B13" s="16" t="s">
        <v>6</v>
      </c>
      <c r="C13" s="19">
        <v>3800</v>
      </c>
      <c r="D13" s="19">
        <v>25</v>
      </c>
      <c r="E13" s="19">
        <v>29</v>
      </c>
      <c r="F13" s="19">
        <v>35</v>
      </c>
      <c r="G13" s="19">
        <v>38</v>
      </c>
      <c r="H13" s="19">
        <v>39</v>
      </c>
      <c r="I13" s="19">
        <v>41</v>
      </c>
      <c r="J13" s="19">
        <v>43</v>
      </c>
      <c r="K13" s="19">
        <v>46</v>
      </c>
      <c r="L13" s="19">
        <v>47</v>
      </c>
      <c r="M13" s="19">
        <v>47</v>
      </c>
      <c r="N13" s="19">
        <v>48</v>
      </c>
      <c r="O13" s="19">
        <v>48</v>
      </c>
      <c r="P13" s="19">
        <v>49</v>
      </c>
      <c r="Q13" s="16">
        <f t="shared" si="0"/>
        <v>6.5789473684210522</v>
      </c>
      <c r="R13" s="16">
        <f t="shared" si="1"/>
        <v>7.6315789473684204</v>
      </c>
      <c r="S13" s="16">
        <f t="shared" si="2"/>
        <v>9.2105263157894726</v>
      </c>
      <c r="T13" s="16">
        <f t="shared" si="3"/>
        <v>10</v>
      </c>
      <c r="U13" s="16">
        <f t="shared" si="4"/>
        <v>10.263157894736842</v>
      </c>
      <c r="V13" s="16">
        <f t="shared" si="5"/>
        <v>10.789473684210526</v>
      </c>
      <c r="W13" s="16">
        <f t="shared" si="6"/>
        <v>11.315789473684211</v>
      </c>
      <c r="X13" s="16">
        <f t="shared" si="7"/>
        <v>12.105263157894736</v>
      </c>
      <c r="Y13" s="16">
        <f t="shared" si="8"/>
        <v>12.368421052631579</v>
      </c>
      <c r="Z13" s="16">
        <f t="shared" si="9"/>
        <v>12.368421052631579</v>
      </c>
      <c r="AA13" s="16">
        <f t="shared" si="10"/>
        <v>12.631578947368421</v>
      </c>
      <c r="AB13" s="16">
        <f t="shared" si="11"/>
        <v>12.631578947368421</v>
      </c>
      <c r="AC13" s="16">
        <f t="shared" si="12"/>
        <v>12.894736842105262</v>
      </c>
    </row>
    <row r="14" spans="1:29" x14ac:dyDescent="0.25">
      <c r="A14" s="16" t="s">
        <v>31</v>
      </c>
      <c r="B14" s="16" t="s">
        <v>6</v>
      </c>
      <c r="C14" s="19">
        <v>5215</v>
      </c>
      <c r="D14" s="19">
        <v>36</v>
      </c>
      <c r="E14" s="19">
        <v>39</v>
      </c>
      <c r="F14" s="19">
        <v>43</v>
      </c>
      <c r="G14" s="19">
        <v>48</v>
      </c>
      <c r="H14" s="19">
        <v>49</v>
      </c>
      <c r="I14" s="19">
        <v>53</v>
      </c>
      <c r="J14" s="19">
        <v>54</v>
      </c>
      <c r="K14" s="19">
        <v>56</v>
      </c>
      <c r="L14" s="19">
        <v>57</v>
      </c>
      <c r="M14" s="19">
        <v>57</v>
      </c>
      <c r="N14" s="19">
        <v>58</v>
      </c>
      <c r="O14" s="19">
        <v>58</v>
      </c>
      <c r="P14" s="19">
        <v>59</v>
      </c>
      <c r="Q14" s="16">
        <f t="shared" si="0"/>
        <v>6.9031639501438153</v>
      </c>
      <c r="R14" s="16">
        <f t="shared" si="1"/>
        <v>7.4784276126558007</v>
      </c>
      <c r="S14" s="16">
        <f t="shared" si="2"/>
        <v>8.2454458293384469</v>
      </c>
      <c r="T14" s="16">
        <f t="shared" si="3"/>
        <v>9.2042186001917532</v>
      </c>
      <c r="U14" s="16">
        <f t="shared" si="4"/>
        <v>9.3959731543624159</v>
      </c>
      <c r="V14" s="16">
        <f t="shared" si="5"/>
        <v>10.162991371045063</v>
      </c>
      <c r="W14" s="16">
        <f t="shared" si="6"/>
        <v>10.354745925215724</v>
      </c>
      <c r="X14" s="16">
        <f t="shared" si="7"/>
        <v>10.738255033557046</v>
      </c>
      <c r="Y14" s="16">
        <f t="shared" si="8"/>
        <v>10.930009587727708</v>
      </c>
      <c r="Z14" s="16">
        <f t="shared" si="9"/>
        <v>10.930009587727708</v>
      </c>
      <c r="AA14" s="16">
        <f t="shared" si="10"/>
        <v>11.121764141898371</v>
      </c>
      <c r="AB14" s="16">
        <f t="shared" si="11"/>
        <v>11.121764141898371</v>
      </c>
      <c r="AC14" s="16">
        <f t="shared" si="12"/>
        <v>11.313518696069032</v>
      </c>
    </row>
    <row r="15" spans="1:29" x14ac:dyDescent="0.25">
      <c r="A15" s="16" t="s">
        <v>6</v>
      </c>
      <c r="B15" s="16" t="s">
        <v>6</v>
      </c>
      <c r="C15" s="19">
        <v>3900</v>
      </c>
      <c r="D15" s="19">
        <v>28</v>
      </c>
      <c r="E15" s="19">
        <v>30</v>
      </c>
      <c r="F15" s="19">
        <v>33</v>
      </c>
      <c r="G15" s="19">
        <v>37</v>
      </c>
      <c r="H15" s="19">
        <v>40</v>
      </c>
      <c r="I15" s="19">
        <v>43</v>
      </c>
      <c r="J15" s="19">
        <v>45</v>
      </c>
      <c r="K15" s="19">
        <v>47</v>
      </c>
      <c r="L15" s="19">
        <v>48</v>
      </c>
      <c r="M15" s="19">
        <v>48</v>
      </c>
      <c r="N15" s="19">
        <v>49</v>
      </c>
      <c r="O15" s="19">
        <v>49</v>
      </c>
      <c r="P15" s="19">
        <v>49</v>
      </c>
      <c r="Q15" s="16">
        <f t="shared" si="0"/>
        <v>7.1794871794871797</v>
      </c>
      <c r="R15" s="16">
        <f t="shared" si="1"/>
        <v>7.6923076923076925</v>
      </c>
      <c r="S15" s="16">
        <f t="shared" si="2"/>
        <v>8.4615384615384617</v>
      </c>
      <c r="T15" s="16">
        <f t="shared" si="3"/>
        <v>9.4871794871794872</v>
      </c>
      <c r="U15" s="16">
        <f t="shared" si="4"/>
        <v>10.256410256410257</v>
      </c>
      <c r="V15" s="16">
        <f t="shared" si="5"/>
        <v>11.025641025641026</v>
      </c>
      <c r="W15" s="16">
        <f t="shared" si="6"/>
        <v>11.538461538461538</v>
      </c>
      <c r="X15" s="16">
        <f t="shared" si="7"/>
        <v>12.051282051282051</v>
      </c>
      <c r="Y15" s="16">
        <f t="shared" si="8"/>
        <v>12.307692307692308</v>
      </c>
      <c r="Z15" s="16">
        <f t="shared" si="9"/>
        <v>12.307692307692308</v>
      </c>
      <c r="AA15" s="16">
        <f t="shared" si="10"/>
        <v>12.564102564102564</v>
      </c>
      <c r="AB15" s="16">
        <f t="shared" si="11"/>
        <v>12.564102564102564</v>
      </c>
      <c r="AC15" s="16">
        <f t="shared" si="12"/>
        <v>12.564102564102564</v>
      </c>
    </row>
    <row r="16" spans="1:29" x14ac:dyDescent="0.25">
      <c r="A16" s="16" t="s">
        <v>32</v>
      </c>
      <c r="B16" s="16" t="s">
        <v>6</v>
      </c>
      <c r="C16" s="19">
        <v>5100</v>
      </c>
      <c r="D16" s="19">
        <v>43</v>
      </c>
      <c r="E16" s="19">
        <v>45</v>
      </c>
      <c r="F16" s="19">
        <v>51</v>
      </c>
      <c r="G16" s="19">
        <v>53</v>
      </c>
      <c r="H16" s="19">
        <v>54</v>
      </c>
      <c r="I16" s="19">
        <v>56</v>
      </c>
      <c r="J16" s="19">
        <v>59</v>
      </c>
      <c r="K16" s="19">
        <v>61</v>
      </c>
      <c r="L16" s="19">
        <v>62</v>
      </c>
      <c r="M16" s="19">
        <v>62</v>
      </c>
      <c r="N16" s="19">
        <v>63</v>
      </c>
      <c r="O16" s="19">
        <v>63</v>
      </c>
      <c r="P16" s="19">
        <v>63</v>
      </c>
      <c r="Q16" s="16">
        <f t="shared" si="0"/>
        <v>8.4313725490196063</v>
      </c>
      <c r="R16" s="16">
        <f t="shared" si="1"/>
        <v>8.8235294117647065</v>
      </c>
      <c r="S16" s="16">
        <f t="shared" si="2"/>
        <v>10</v>
      </c>
      <c r="T16" s="16">
        <f t="shared" si="3"/>
        <v>10.392156862745097</v>
      </c>
      <c r="U16" s="16">
        <f t="shared" si="4"/>
        <v>10.588235294117647</v>
      </c>
      <c r="V16" s="16">
        <f t="shared" si="5"/>
        <v>10.980392156862745</v>
      </c>
      <c r="W16" s="16">
        <f t="shared" si="6"/>
        <v>11.568627450980392</v>
      </c>
      <c r="X16" s="16">
        <f t="shared" si="7"/>
        <v>11.96078431372549</v>
      </c>
      <c r="Y16" s="16">
        <f t="shared" si="8"/>
        <v>12.15686274509804</v>
      </c>
      <c r="Z16" s="16">
        <f t="shared" si="9"/>
        <v>12.15686274509804</v>
      </c>
      <c r="AA16" s="16">
        <f t="shared" si="10"/>
        <v>12.352941176470587</v>
      </c>
      <c r="AB16" s="16">
        <f t="shared" si="11"/>
        <v>12.352941176470587</v>
      </c>
      <c r="AC16" s="16">
        <f t="shared" si="12"/>
        <v>12.352941176470587</v>
      </c>
    </row>
    <row r="17" spans="1:29" x14ac:dyDescent="0.25">
      <c r="A17" s="16" t="s">
        <v>33</v>
      </c>
      <c r="B17" s="16" t="s">
        <v>6</v>
      </c>
      <c r="C17" s="19">
        <v>5330</v>
      </c>
      <c r="D17" s="19">
        <v>30</v>
      </c>
      <c r="E17" s="19">
        <v>36</v>
      </c>
      <c r="F17" s="19">
        <v>40</v>
      </c>
      <c r="G17" s="19">
        <v>41</v>
      </c>
      <c r="H17" s="19">
        <v>44</v>
      </c>
      <c r="I17" s="19">
        <v>46</v>
      </c>
      <c r="J17" s="19">
        <v>48</v>
      </c>
      <c r="K17" s="19">
        <v>51</v>
      </c>
      <c r="L17" s="19">
        <v>52</v>
      </c>
      <c r="M17" s="19">
        <v>52</v>
      </c>
      <c r="N17" s="19">
        <v>53</v>
      </c>
      <c r="O17" s="19">
        <v>53</v>
      </c>
      <c r="P17" s="19">
        <v>53</v>
      </c>
      <c r="Q17" s="16">
        <f t="shared" si="0"/>
        <v>5.6285178236397746</v>
      </c>
      <c r="R17" s="16">
        <f t="shared" si="1"/>
        <v>6.7542213883677302</v>
      </c>
      <c r="S17" s="16">
        <f t="shared" si="2"/>
        <v>7.5046904315197001</v>
      </c>
      <c r="T17" s="16">
        <f t="shared" si="3"/>
        <v>7.6923076923076925</v>
      </c>
      <c r="U17" s="16">
        <f t="shared" si="4"/>
        <v>8.2551594746716699</v>
      </c>
      <c r="V17" s="16">
        <f t="shared" si="5"/>
        <v>8.6303939962476548</v>
      </c>
      <c r="W17" s="16">
        <f t="shared" si="6"/>
        <v>9.0056285178236397</v>
      </c>
      <c r="X17" s="16">
        <f t="shared" si="7"/>
        <v>9.5684803001876162</v>
      </c>
      <c r="Y17" s="16">
        <f t="shared" si="8"/>
        <v>9.7560975609756095</v>
      </c>
      <c r="Z17" s="16">
        <f t="shared" si="9"/>
        <v>9.7560975609756095</v>
      </c>
      <c r="AA17" s="16">
        <f t="shared" si="10"/>
        <v>9.9437148217636029</v>
      </c>
      <c r="AB17" s="16">
        <f t="shared" si="11"/>
        <v>9.9437148217636029</v>
      </c>
      <c r="AC17" s="16">
        <f t="shared" si="12"/>
        <v>9.9437148217636029</v>
      </c>
    </row>
    <row r="18" spans="1:29" x14ac:dyDescent="0.25">
      <c r="A18" s="16" t="s">
        <v>34</v>
      </c>
      <c r="B18" s="16" t="s">
        <v>6</v>
      </c>
      <c r="C18" s="19">
        <v>5455</v>
      </c>
      <c r="D18" s="19">
        <v>36</v>
      </c>
      <c r="E18" s="19">
        <v>39</v>
      </c>
      <c r="F18" s="19">
        <v>43</v>
      </c>
      <c r="G18" s="19">
        <v>48</v>
      </c>
      <c r="H18" s="19">
        <v>49</v>
      </c>
      <c r="I18" s="19">
        <v>53</v>
      </c>
      <c r="J18" s="19">
        <v>54</v>
      </c>
      <c r="K18" s="19">
        <v>56</v>
      </c>
      <c r="L18" s="19">
        <v>57</v>
      </c>
      <c r="M18" s="19">
        <v>57</v>
      </c>
      <c r="N18" s="19">
        <v>58</v>
      </c>
      <c r="O18" s="19">
        <v>58</v>
      </c>
      <c r="P18" s="19">
        <v>58</v>
      </c>
      <c r="Q18" s="16">
        <f t="shared" si="0"/>
        <v>6.5994500458295144</v>
      </c>
      <c r="R18" s="16">
        <f t="shared" si="1"/>
        <v>7.1494042163153066</v>
      </c>
      <c r="S18" s="16">
        <f t="shared" si="2"/>
        <v>7.8826764436296974</v>
      </c>
      <c r="T18" s="16">
        <f t="shared" si="3"/>
        <v>8.7992667277726859</v>
      </c>
      <c r="U18" s="16">
        <f t="shared" si="4"/>
        <v>8.9825847846012827</v>
      </c>
      <c r="V18" s="16">
        <f t="shared" si="5"/>
        <v>9.7158570119156735</v>
      </c>
      <c r="W18" s="16">
        <f t="shared" si="6"/>
        <v>9.8991750687442721</v>
      </c>
      <c r="X18" s="16">
        <f t="shared" si="7"/>
        <v>10.265811182401468</v>
      </c>
      <c r="Y18" s="16">
        <f t="shared" si="8"/>
        <v>10.449129239230064</v>
      </c>
      <c r="Z18" s="16">
        <f t="shared" si="9"/>
        <v>10.449129239230064</v>
      </c>
      <c r="AA18" s="16">
        <f t="shared" si="10"/>
        <v>10.632447296058661</v>
      </c>
      <c r="AB18" s="16">
        <f t="shared" si="11"/>
        <v>10.632447296058661</v>
      </c>
      <c r="AC18" s="16">
        <f t="shared" si="12"/>
        <v>10.632447296058661</v>
      </c>
    </row>
    <row r="19" spans="1:29" x14ac:dyDescent="0.25">
      <c r="A19" s="16" t="s">
        <v>35</v>
      </c>
      <c r="B19" s="16" t="s">
        <v>6</v>
      </c>
      <c r="C19" s="19">
        <v>6200</v>
      </c>
      <c r="D19" s="19">
        <v>28</v>
      </c>
      <c r="E19" s="19">
        <v>30</v>
      </c>
      <c r="F19" s="19">
        <v>33</v>
      </c>
      <c r="G19" s="19">
        <v>37</v>
      </c>
      <c r="H19" s="19">
        <v>40</v>
      </c>
      <c r="I19" s="19">
        <v>43</v>
      </c>
      <c r="J19" s="19">
        <v>45</v>
      </c>
      <c r="K19" s="19">
        <v>47</v>
      </c>
      <c r="L19" s="19">
        <v>48</v>
      </c>
      <c r="M19" s="19">
        <v>48</v>
      </c>
      <c r="N19" s="19">
        <v>49</v>
      </c>
      <c r="O19" s="19">
        <v>49</v>
      </c>
      <c r="P19" s="19">
        <v>49</v>
      </c>
      <c r="Q19" s="16">
        <f t="shared" si="0"/>
        <v>4.5161290322580649</v>
      </c>
      <c r="R19" s="16">
        <f t="shared" si="1"/>
        <v>4.838709677419355</v>
      </c>
      <c r="S19" s="16">
        <f t="shared" si="2"/>
        <v>5.32258064516129</v>
      </c>
      <c r="T19" s="16">
        <f t="shared" si="3"/>
        <v>5.967741935483871</v>
      </c>
      <c r="U19" s="16">
        <f t="shared" si="4"/>
        <v>6.4516129032258061</v>
      </c>
      <c r="V19" s="16">
        <f t="shared" si="5"/>
        <v>6.935483870967742</v>
      </c>
      <c r="W19" s="16">
        <f t="shared" si="6"/>
        <v>7.2580645161290329</v>
      </c>
      <c r="X19" s="16">
        <f t="shared" si="7"/>
        <v>7.580645161290323</v>
      </c>
      <c r="Y19" s="16">
        <f t="shared" si="8"/>
        <v>7.741935483870968</v>
      </c>
      <c r="Z19" s="16">
        <f t="shared" si="9"/>
        <v>7.741935483870968</v>
      </c>
      <c r="AA19" s="16">
        <f t="shared" si="10"/>
        <v>7.9032258064516139</v>
      </c>
      <c r="AB19" s="16">
        <f t="shared" si="11"/>
        <v>7.9032258064516139</v>
      </c>
      <c r="AC19" s="16">
        <f t="shared" si="12"/>
        <v>7.9032258064516139</v>
      </c>
    </row>
    <row r="20" spans="1:29" x14ac:dyDescent="0.25">
      <c r="A20" s="16" t="s">
        <v>36</v>
      </c>
      <c r="B20" s="16" t="s">
        <v>6</v>
      </c>
      <c r="C20" s="19">
        <v>7100</v>
      </c>
      <c r="D20" s="20">
        <v>32</v>
      </c>
      <c r="E20" s="20">
        <v>35</v>
      </c>
      <c r="F20" s="20">
        <v>39</v>
      </c>
      <c r="G20" s="20">
        <v>44</v>
      </c>
      <c r="H20" s="20">
        <v>45</v>
      </c>
      <c r="I20" s="20">
        <v>49</v>
      </c>
      <c r="J20" s="20">
        <v>50</v>
      </c>
      <c r="K20" s="20">
        <v>52</v>
      </c>
      <c r="L20" s="20">
        <v>53</v>
      </c>
      <c r="M20" s="20">
        <v>53</v>
      </c>
      <c r="N20" s="20">
        <v>54</v>
      </c>
      <c r="O20" s="20">
        <v>54</v>
      </c>
      <c r="P20" s="20">
        <v>54</v>
      </c>
      <c r="Q20" s="16">
        <f t="shared" si="0"/>
        <v>4.507042253521127</v>
      </c>
      <c r="R20" s="16">
        <f t="shared" si="1"/>
        <v>4.9295774647887329</v>
      </c>
      <c r="S20" s="16">
        <f t="shared" si="2"/>
        <v>5.492957746478873</v>
      </c>
      <c r="T20" s="16">
        <f t="shared" si="3"/>
        <v>6.197183098591549</v>
      </c>
      <c r="U20" s="16">
        <f t="shared" si="4"/>
        <v>6.3380281690140849</v>
      </c>
      <c r="V20" s="16">
        <f t="shared" si="5"/>
        <v>6.901408450704225</v>
      </c>
      <c r="W20" s="16">
        <f t="shared" si="6"/>
        <v>7.042253521126761</v>
      </c>
      <c r="X20" s="16">
        <f t="shared" si="7"/>
        <v>7.323943661971831</v>
      </c>
      <c r="Y20" s="16">
        <f t="shared" si="8"/>
        <v>7.4647887323943669</v>
      </c>
      <c r="Z20" s="16">
        <f t="shared" si="9"/>
        <v>7.4647887323943669</v>
      </c>
      <c r="AA20" s="16">
        <f t="shared" si="10"/>
        <v>7.605633802816901</v>
      </c>
      <c r="AB20" s="16">
        <f t="shared" si="11"/>
        <v>7.605633802816901</v>
      </c>
      <c r="AC20" s="16">
        <f t="shared" si="12"/>
        <v>7.605633802816901</v>
      </c>
    </row>
    <row r="21" spans="1:29" x14ac:dyDescent="0.25">
      <c r="A21" s="16" t="s">
        <v>37</v>
      </c>
      <c r="B21" s="16" t="s">
        <v>6</v>
      </c>
      <c r="C21" s="19">
        <v>4204</v>
      </c>
      <c r="D21" s="19">
        <v>24</v>
      </c>
      <c r="E21" s="19">
        <v>26</v>
      </c>
      <c r="F21" s="19">
        <v>29</v>
      </c>
      <c r="G21" s="19">
        <v>33</v>
      </c>
      <c r="H21" s="19">
        <v>36</v>
      </c>
      <c r="I21" s="19">
        <v>39</v>
      </c>
      <c r="J21" s="19">
        <v>41</v>
      </c>
      <c r="K21" s="19">
        <v>43</v>
      </c>
      <c r="L21" s="19">
        <v>44</v>
      </c>
      <c r="M21" s="19">
        <v>44</v>
      </c>
      <c r="N21" s="19">
        <v>45</v>
      </c>
      <c r="O21" s="19">
        <v>45</v>
      </c>
      <c r="P21" s="19">
        <v>45</v>
      </c>
      <c r="Q21" s="16">
        <f t="shared" si="0"/>
        <v>5.7088487155090393</v>
      </c>
      <c r="R21" s="16">
        <f t="shared" si="1"/>
        <v>6.1845861084681255</v>
      </c>
      <c r="S21" s="16">
        <f t="shared" si="2"/>
        <v>6.8981921979067549</v>
      </c>
      <c r="T21" s="16">
        <f t="shared" si="3"/>
        <v>7.8496669838249291</v>
      </c>
      <c r="U21" s="16">
        <f t="shared" si="4"/>
        <v>8.5632730732635576</v>
      </c>
      <c r="V21" s="16">
        <f t="shared" si="5"/>
        <v>9.2768791627021887</v>
      </c>
      <c r="W21" s="16">
        <f t="shared" si="6"/>
        <v>9.7526165556612749</v>
      </c>
      <c r="X21" s="16">
        <f t="shared" si="7"/>
        <v>10.228353948620361</v>
      </c>
      <c r="Y21" s="16">
        <f t="shared" si="8"/>
        <v>10.466222645099904</v>
      </c>
      <c r="Z21" s="16">
        <f t="shared" si="9"/>
        <v>10.466222645099904</v>
      </c>
      <c r="AA21" s="16">
        <f t="shared" si="10"/>
        <v>10.704091341579447</v>
      </c>
      <c r="AB21" s="16">
        <f t="shared" si="11"/>
        <v>10.704091341579447</v>
      </c>
      <c r="AC21" s="16">
        <f t="shared" si="12"/>
        <v>10.704091341579447</v>
      </c>
    </row>
    <row r="22" spans="1:29" x14ac:dyDescent="0.25">
      <c r="A22" s="16" t="s">
        <v>38</v>
      </c>
      <c r="B22" s="16" t="s">
        <v>6</v>
      </c>
      <c r="C22" s="19">
        <v>3200</v>
      </c>
      <c r="D22" s="19">
        <v>48</v>
      </c>
      <c r="E22" s="19">
        <v>55</v>
      </c>
      <c r="F22" s="19">
        <v>69</v>
      </c>
      <c r="G22" s="19">
        <v>79</v>
      </c>
      <c r="H22" s="19">
        <v>84</v>
      </c>
      <c r="I22" s="19">
        <v>86</v>
      </c>
      <c r="J22" s="19">
        <v>87</v>
      </c>
      <c r="K22" s="19">
        <v>89</v>
      </c>
      <c r="L22" s="19">
        <v>90</v>
      </c>
      <c r="M22" s="19">
        <v>90</v>
      </c>
      <c r="N22" s="19">
        <v>90</v>
      </c>
      <c r="O22" s="19">
        <v>90</v>
      </c>
      <c r="P22" s="19">
        <v>90</v>
      </c>
      <c r="Q22" s="16">
        <f t="shared" si="0"/>
        <v>15</v>
      </c>
      <c r="R22" s="16">
        <f t="shared" si="1"/>
        <v>17.1875</v>
      </c>
      <c r="S22" s="16">
        <f t="shared" si="2"/>
        <v>21.5625</v>
      </c>
      <c r="T22" s="16">
        <f t="shared" si="3"/>
        <v>24.6875</v>
      </c>
      <c r="U22" s="16">
        <f t="shared" si="4"/>
        <v>26.25</v>
      </c>
      <c r="V22" s="16">
        <f t="shared" si="5"/>
        <v>26.875</v>
      </c>
      <c r="W22" s="16">
        <f t="shared" si="6"/>
        <v>27.1875</v>
      </c>
      <c r="X22" s="16">
        <f t="shared" si="7"/>
        <v>27.8125</v>
      </c>
      <c r="Y22" s="16">
        <f t="shared" si="8"/>
        <v>28.125</v>
      </c>
      <c r="Z22" s="16">
        <f t="shared" si="9"/>
        <v>28.125</v>
      </c>
      <c r="AA22" s="16">
        <f t="shared" si="10"/>
        <v>28.125</v>
      </c>
      <c r="AB22" s="16">
        <f t="shared" si="11"/>
        <v>28.125</v>
      </c>
      <c r="AC22" s="16">
        <f t="shared" si="12"/>
        <v>28.125</v>
      </c>
    </row>
    <row r="23" spans="1:29" x14ac:dyDescent="0.25">
      <c r="A23" s="16" t="s">
        <v>39</v>
      </c>
      <c r="B23" s="16" t="s">
        <v>6</v>
      </c>
      <c r="C23" s="19">
        <v>5020</v>
      </c>
      <c r="D23" s="19">
        <v>40</v>
      </c>
      <c r="E23" s="19">
        <v>50</v>
      </c>
      <c r="F23" s="19">
        <v>66</v>
      </c>
      <c r="G23" s="19">
        <v>74</v>
      </c>
      <c r="H23" s="19">
        <v>79</v>
      </c>
      <c r="I23" s="19">
        <v>80</v>
      </c>
      <c r="J23" s="19">
        <v>86</v>
      </c>
      <c r="K23" s="19">
        <v>89</v>
      </c>
      <c r="L23" s="19">
        <v>90</v>
      </c>
      <c r="M23" s="19">
        <v>90</v>
      </c>
      <c r="N23" s="19">
        <v>91</v>
      </c>
      <c r="O23" s="19">
        <v>91</v>
      </c>
      <c r="P23" s="19">
        <v>91</v>
      </c>
      <c r="Q23" s="16">
        <f t="shared" si="0"/>
        <v>7.9681274900398407</v>
      </c>
      <c r="R23" s="16">
        <f t="shared" si="1"/>
        <v>9.9601593625498008</v>
      </c>
      <c r="S23" s="16">
        <f t="shared" si="2"/>
        <v>13.147410358565738</v>
      </c>
      <c r="T23" s="16">
        <f t="shared" si="3"/>
        <v>14.741035856573706</v>
      </c>
      <c r="U23" s="16">
        <f t="shared" si="4"/>
        <v>15.737051792828687</v>
      </c>
      <c r="V23" s="16">
        <f t="shared" si="5"/>
        <v>15.936254980079681</v>
      </c>
      <c r="W23" s="16">
        <f t="shared" si="6"/>
        <v>17.131474103585656</v>
      </c>
      <c r="X23" s="16">
        <f t="shared" si="7"/>
        <v>17.729083665338646</v>
      </c>
      <c r="Y23" s="16">
        <f t="shared" si="8"/>
        <v>17.928286852589643</v>
      </c>
      <c r="Z23" s="16">
        <f t="shared" si="9"/>
        <v>17.928286852589643</v>
      </c>
      <c r="AA23" s="16">
        <f t="shared" si="10"/>
        <v>18.127490039840637</v>
      </c>
      <c r="AB23" s="16">
        <f t="shared" si="11"/>
        <v>18.127490039840637</v>
      </c>
      <c r="AC23" s="16">
        <f t="shared" si="12"/>
        <v>18.127490039840637</v>
      </c>
    </row>
    <row r="24" spans="1:29" x14ac:dyDescent="0.25">
      <c r="A24" s="16" t="s">
        <v>40</v>
      </c>
      <c r="B24" s="16" t="s">
        <v>6</v>
      </c>
      <c r="C24" s="19">
        <v>5500</v>
      </c>
      <c r="D24" s="19">
        <v>30</v>
      </c>
      <c r="E24" s="19">
        <v>35</v>
      </c>
      <c r="F24" s="19">
        <v>48</v>
      </c>
      <c r="G24" s="19">
        <v>62</v>
      </c>
      <c r="H24" s="19">
        <v>70</v>
      </c>
      <c r="I24" s="19">
        <v>76</v>
      </c>
      <c r="J24" s="19">
        <v>78</v>
      </c>
      <c r="K24" s="19">
        <v>79</v>
      </c>
      <c r="L24" s="19">
        <v>80</v>
      </c>
      <c r="M24" s="19">
        <v>80</v>
      </c>
      <c r="N24" s="19">
        <v>81</v>
      </c>
      <c r="O24" s="19">
        <v>81</v>
      </c>
      <c r="P24" s="19">
        <v>82</v>
      </c>
      <c r="Q24" s="16">
        <f t="shared" si="0"/>
        <v>5.454545454545455</v>
      </c>
      <c r="R24" s="16">
        <f t="shared" si="1"/>
        <v>6.3636363636363642</v>
      </c>
      <c r="S24" s="16">
        <f t="shared" si="2"/>
        <v>8.7272727272727284</v>
      </c>
      <c r="T24" s="16">
        <f t="shared" si="3"/>
        <v>11.272727272727273</v>
      </c>
      <c r="U24" s="16">
        <f t="shared" si="4"/>
        <v>12.727272727272728</v>
      </c>
      <c r="V24" s="16">
        <f t="shared" si="5"/>
        <v>13.818181818181818</v>
      </c>
      <c r="W24" s="16">
        <f t="shared" si="6"/>
        <v>14.181818181818183</v>
      </c>
      <c r="X24" s="16">
        <f t="shared" si="7"/>
        <v>14.363636363636363</v>
      </c>
      <c r="Y24" s="16">
        <f t="shared" si="8"/>
        <v>14.545454545454545</v>
      </c>
      <c r="Z24" s="16">
        <f t="shared" si="9"/>
        <v>14.545454545454545</v>
      </c>
      <c r="AA24" s="16">
        <f t="shared" si="10"/>
        <v>14.727272727272728</v>
      </c>
      <c r="AB24" s="16">
        <f t="shared" si="11"/>
        <v>14.727272727272728</v>
      </c>
      <c r="AC24" s="16">
        <f t="shared" si="12"/>
        <v>14.909090909090908</v>
      </c>
    </row>
    <row r="25" spans="1:29" x14ac:dyDescent="0.25">
      <c r="A25" s="16" t="s">
        <v>41</v>
      </c>
      <c r="B25" s="16" t="s">
        <v>6</v>
      </c>
      <c r="C25" s="19">
        <v>4500</v>
      </c>
      <c r="D25" s="19">
        <v>33</v>
      </c>
      <c r="E25" s="19">
        <v>37</v>
      </c>
      <c r="F25" s="19">
        <v>49</v>
      </c>
      <c r="G25" s="19">
        <v>58</v>
      </c>
      <c r="H25" s="19">
        <v>61</v>
      </c>
      <c r="I25" s="19">
        <v>63</v>
      </c>
      <c r="J25" s="19">
        <v>64</v>
      </c>
      <c r="K25" s="19">
        <v>67</v>
      </c>
      <c r="L25" s="19">
        <v>67</v>
      </c>
      <c r="M25" s="19">
        <v>67</v>
      </c>
      <c r="N25" s="19">
        <v>68</v>
      </c>
      <c r="O25" s="19">
        <v>70</v>
      </c>
      <c r="P25" s="19">
        <v>71</v>
      </c>
      <c r="Q25" s="16">
        <f t="shared" si="0"/>
        <v>7.333333333333333</v>
      </c>
      <c r="R25" s="16">
        <f t="shared" si="1"/>
        <v>8.2222222222222232</v>
      </c>
      <c r="S25" s="16">
        <f t="shared" si="2"/>
        <v>10.888888888888889</v>
      </c>
      <c r="T25" s="16">
        <f t="shared" si="3"/>
        <v>12.888888888888889</v>
      </c>
      <c r="U25" s="16">
        <f t="shared" si="4"/>
        <v>13.555555555555555</v>
      </c>
      <c r="V25" s="16">
        <f t="shared" si="5"/>
        <v>14</v>
      </c>
      <c r="W25" s="16">
        <f t="shared" si="6"/>
        <v>14.222222222222223</v>
      </c>
      <c r="X25" s="16">
        <f t="shared" si="7"/>
        <v>14.888888888888889</v>
      </c>
      <c r="Y25" s="16">
        <f t="shared" si="8"/>
        <v>14.888888888888889</v>
      </c>
      <c r="Z25" s="16">
        <f t="shared" si="9"/>
        <v>14.888888888888889</v>
      </c>
      <c r="AA25" s="16">
        <f t="shared" si="10"/>
        <v>15.111111111111112</v>
      </c>
      <c r="AB25" s="16">
        <f t="shared" si="11"/>
        <v>15.555555555555555</v>
      </c>
      <c r="AC25" s="16">
        <f t="shared" si="12"/>
        <v>15.777777777777779</v>
      </c>
    </row>
    <row r="26" spans="1:29" x14ac:dyDescent="0.25">
      <c r="A26" s="16" t="s">
        <v>42</v>
      </c>
      <c r="B26" s="16" t="s">
        <v>6</v>
      </c>
      <c r="C26" s="19">
        <v>5600</v>
      </c>
      <c r="D26" s="19">
        <v>45</v>
      </c>
      <c r="E26" s="19">
        <v>52</v>
      </c>
      <c r="F26" s="19">
        <v>66</v>
      </c>
      <c r="G26" s="19">
        <v>76</v>
      </c>
      <c r="H26" s="19">
        <v>81</v>
      </c>
      <c r="I26" s="19">
        <v>83</v>
      </c>
      <c r="J26" s="19">
        <v>84</v>
      </c>
      <c r="K26" s="19">
        <v>86</v>
      </c>
      <c r="L26" s="19">
        <v>87</v>
      </c>
      <c r="M26" s="19">
        <v>87</v>
      </c>
      <c r="N26" s="19">
        <v>87</v>
      </c>
      <c r="O26" s="19">
        <v>87</v>
      </c>
      <c r="P26" s="19">
        <v>87</v>
      </c>
      <c r="Q26" s="16">
        <f t="shared" si="0"/>
        <v>8.0357142857142847</v>
      </c>
      <c r="R26" s="16">
        <f t="shared" si="1"/>
        <v>9.2857142857142865</v>
      </c>
      <c r="S26" s="16">
        <f t="shared" si="2"/>
        <v>11.785714285714286</v>
      </c>
      <c r="T26" s="16">
        <f t="shared" si="3"/>
        <v>13.571428571428571</v>
      </c>
      <c r="U26" s="16">
        <f t="shared" si="4"/>
        <v>14.464285714285714</v>
      </c>
      <c r="V26" s="16">
        <f t="shared" si="5"/>
        <v>14.821428571428573</v>
      </c>
      <c r="W26" s="16">
        <f t="shared" si="6"/>
        <v>15</v>
      </c>
      <c r="X26" s="16">
        <f t="shared" si="7"/>
        <v>15.357142857142858</v>
      </c>
      <c r="Y26" s="16">
        <f t="shared" si="8"/>
        <v>15.535714285714286</v>
      </c>
      <c r="Z26" s="16">
        <f t="shared" si="9"/>
        <v>15.535714285714286</v>
      </c>
      <c r="AA26" s="16">
        <f t="shared" si="10"/>
        <v>15.535714285714286</v>
      </c>
      <c r="AB26" s="16">
        <f t="shared" si="11"/>
        <v>15.535714285714286</v>
      </c>
      <c r="AC26" s="16">
        <f t="shared" si="12"/>
        <v>15.535714285714286</v>
      </c>
    </row>
    <row r="27" spans="1:29" x14ac:dyDescent="0.25">
      <c r="A27" s="16" t="s">
        <v>43</v>
      </c>
      <c r="B27" s="16" t="s">
        <v>6</v>
      </c>
      <c r="C27" s="19">
        <v>5600</v>
      </c>
      <c r="D27" s="19">
        <v>46</v>
      </c>
      <c r="E27" s="19">
        <v>56</v>
      </c>
      <c r="F27" s="19">
        <v>72</v>
      </c>
      <c r="G27" s="19">
        <v>80</v>
      </c>
      <c r="H27" s="19">
        <v>85</v>
      </c>
      <c r="I27" s="19">
        <v>86</v>
      </c>
      <c r="J27" s="19">
        <v>92</v>
      </c>
      <c r="K27" s="19">
        <v>95</v>
      </c>
      <c r="L27" s="19">
        <v>96</v>
      </c>
      <c r="M27" s="19">
        <v>96</v>
      </c>
      <c r="N27" s="19">
        <v>97</v>
      </c>
      <c r="O27" s="19">
        <v>97</v>
      </c>
      <c r="P27" s="19">
        <v>97</v>
      </c>
      <c r="Q27" s="16">
        <f t="shared" si="0"/>
        <v>8.2142857142857135</v>
      </c>
      <c r="R27" s="16">
        <f t="shared" si="1"/>
        <v>10</v>
      </c>
      <c r="S27" s="16">
        <f t="shared" si="2"/>
        <v>12.857142857142858</v>
      </c>
      <c r="T27" s="16">
        <f t="shared" si="3"/>
        <v>14.285714285714285</v>
      </c>
      <c r="U27" s="16">
        <f t="shared" si="4"/>
        <v>15.178571428571429</v>
      </c>
      <c r="V27" s="16">
        <f t="shared" si="5"/>
        <v>15.357142857142858</v>
      </c>
      <c r="W27" s="16">
        <f t="shared" si="6"/>
        <v>16.428571428571427</v>
      </c>
      <c r="X27" s="16">
        <f t="shared" si="7"/>
        <v>16.964285714285712</v>
      </c>
      <c r="Y27" s="16">
        <f t="shared" si="8"/>
        <v>17.142857142857142</v>
      </c>
      <c r="Z27" s="16">
        <f t="shared" si="9"/>
        <v>17.142857142857142</v>
      </c>
      <c r="AA27" s="16">
        <f t="shared" si="10"/>
        <v>17.321428571428569</v>
      </c>
      <c r="AB27" s="16">
        <f t="shared" si="11"/>
        <v>17.321428571428569</v>
      </c>
      <c r="AC27" s="16">
        <f t="shared" si="12"/>
        <v>17.321428571428569</v>
      </c>
    </row>
    <row r="28" spans="1:29" x14ac:dyDescent="0.25">
      <c r="A28" s="16" t="s">
        <v>44</v>
      </c>
      <c r="B28" s="16" t="s">
        <v>6</v>
      </c>
      <c r="C28" s="19">
        <v>6100</v>
      </c>
      <c r="D28" s="19">
        <v>60</v>
      </c>
      <c r="E28" s="19">
        <v>75</v>
      </c>
      <c r="F28" s="19">
        <v>88</v>
      </c>
      <c r="G28" s="19">
        <v>102</v>
      </c>
      <c r="H28" s="19">
        <v>110</v>
      </c>
      <c r="I28" s="19">
        <v>116</v>
      </c>
      <c r="J28" s="19">
        <v>118</v>
      </c>
      <c r="K28" s="19">
        <v>119</v>
      </c>
      <c r="L28" s="19">
        <v>120</v>
      </c>
      <c r="M28" s="19">
        <v>120</v>
      </c>
      <c r="N28" s="19">
        <v>121</v>
      </c>
      <c r="O28" s="19">
        <v>123</v>
      </c>
      <c r="P28" s="19">
        <v>123</v>
      </c>
      <c r="Q28" s="16">
        <f t="shared" si="0"/>
        <v>9.8360655737704921</v>
      </c>
      <c r="R28" s="16">
        <f t="shared" si="1"/>
        <v>12.295081967213115</v>
      </c>
      <c r="S28" s="16">
        <f t="shared" si="2"/>
        <v>14.426229508196721</v>
      </c>
      <c r="T28" s="16">
        <f t="shared" si="3"/>
        <v>16.721311475409834</v>
      </c>
      <c r="U28" s="16">
        <f t="shared" si="4"/>
        <v>18.032786885245901</v>
      </c>
      <c r="V28" s="16">
        <f t="shared" si="5"/>
        <v>19.016393442622952</v>
      </c>
      <c r="W28" s="16">
        <f t="shared" si="6"/>
        <v>19.344262295081968</v>
      </c>
      <c r="X28" s="16">
        <f t="shared" si="7"/>
        <v>19.508196721311474</v>
      </c>
      <c r="Y28" s="16">
        <f t="shared" si="8"/>
        <v>19.672131147540984</v>
      </c>
      <c r="Z28" s="16">
        <f t="shared" si="9"/>
        <v>19.672131147540984</v>
      </c>
      <c r="AA28" s="16">
        <f t="shared" si="10"/>
        <v>19.836065573770494</v>
      </c>
      <c r="AB28" s="16">
        <f t="shared" si="11"/>
        <v>20.16393442622951</v>
      </c>
      <c r="AC28" s="16">
        <f t="shared" si="12"/>
        <v>20.16393442622951</v>
      </c>
    </row>
    <row r="29" spans="1:29" x14ac:dyDescent="0.25">
      <c r="A29" s="16" t="s">
        <v>45</v>
      </c>
      <c r="B29" s="16" t="s">
        <v>6</v>
      </c>
      <c r="C29" s="19">
        <v>6750</v>
      </c>
      <c r="D29" s="19">
        <v>55</v>
      </c>
      <c r="E29" s="19">
        <v>69</v>
      </c>
      <c r="F29" s="19">
        <v>81</v>
      </c>
      <c r="G29" s="19">
        <v>90</v>
      </c>
      <c r="H29" s="19">
        <v>93</v>
      </c>
      <c r="I29" s="19">
        <v>95</v>
      </c>
      <c r="J29" s="19">
        <v>96</v>
      </c>
      <c r="K29" s="19">
        <v>99</v>
      </c>
      <c r="L29" s="19">
        <v>99</v>
      </c>
      <c r="M29" s="19">
        <v>99</v>
      </c>
      <c r="N29" s="19">
        <v>100</v>
      </c>
      <c r="O29" s="19">
        <v>102</v>
      </c>
      <c r="P29" s="19">
        <v>102</v>
      </c>
      <c r="Q29" s="16">
        <f t="shared" si="0"/>
        <v>8.148148148148147</v>
      </c>
      <c r="R29" s="16">
        <f t="shared" si="1"/>
        <v>10.222222222222223</v>
      </c>
      <c r="S29" s="16">
        <f t="shared" si="2"/>
        <v>12</v>
      </c>
      <c r="T29" s="16">
        <f t="shared" si="3"/>
        <v>13.333333333333334</v>
      </c>
      <c r="U29" s="16">
        <f t="shared" si="4"/>
        <v>13.777777777777779</v>
      </c>
      <c r="V29" s="16">
        <f t="shared" si="5"/>
        <v>14.074074074074074</v>
      </c>
      <c r="W29" s="16">
        <f t="shared" si="6"/>
        <v>14.222222222222223</v>
      </c>
      <c r="X29" s="16">
        <f t="shared" si="7"/>
        <v>14.666666666666666</v>
      </c>
      <c r="Y29" s="16">
        <f t="shared" si="8"/>
        <v>14.666666666666666</v>
      </c>
      <c r="Z29" s="16">
        <f t="shared" si="9"/>
        <v>14.666666666666666</v>
      </c>
      <c r="AA29" s="16">
        <f t="shared" si="10"/>
        <v>14.814814814814815</v>
      </c>
      <c r="AB29" s="16">
        <f t="shared" si="11"/>
        <v>15.111111111111112</v>
      </c>
      <c r="AC29" s="16">
        <f t="shared" si="12"/>
        <v>15.111111111111112</v>
      </c>
    </row>
    <row r="30" spans="1:29" x14ac:dyDescent="0.25">
      <c r="A30" s="16" t="s">
        <v>46</v>
      </c>
      <c r="B30" s="16" t="s">
        <v>6</v>
      </c>
      <c r="C30" s="19">
        <v>7504</v>
      </c>
      <c r="D30" s="19">
        <v>50</v>
      </c>
      <c r="E30" s="19">
        <v>60</v>
      </c>
      <c r="F30" s="19">
        <v>76</v>
      </c>
      <c r="G30" s="19">
        <v>84</v>
      </c>
      <c r="H30" s="19">
        <v>89</v>
      </c>
      <c r="I30" s="19">
        <v>90</v>
      </c>
      <c r="J30" s="19">
        <v>96</v>
      </c>
      <c r="K30" s="19">
        <v>99</v>
      </c>
      <c r="L30" s="19">
        <v>100</v>
      </c>
      <c r="M30" s="19">
        <v>100</v>
      </c>
      <c r="N30" s="19">
        <v>101</v>
      </c>
      <c r="O30" s="19">
        <v>101</v>
      </c>
      <c r="P30" s="19">
        <v>101</v>
      </c>
      <c r="Q30" s="16">
        <f t="shared" si="0"/>
        <v>6.6631130063965882</v>
      </c>
      <c r="R30" s="16">
        <f t="shared" si="1"/>
        <v>7.9957356076759067</v>
      </c>
      <c r="S30" s="16">
        <f t="shared" si="2"/>
        <v>10.127931769722816</v>
      </c>
      <c r="T30" s="16">
        <f t="shared" si="3"/>
        <v>11.194029850746269</v>
      </c>
      <c r="U30" s="16">
        <f t="shared" si="4"/>
        <v>11.860341151385928</v>
      </c>
      <c r="V30" s="16">
        <f t="shared" si="5"/>
        <v>11.99360341151386</v>
      </c>
      <c r="W30" s="16">
        <f t="shared" si="6"/>
        <v>12.793176972281449</v>
      </c>
      <c r="X30" s="16">
        <f t="shared" si="7"/>
        <v>13.192963752665245</v>
      </c>
      <c r="Y30" s="16">
        <f t="shared" si="8"/>
        <v>13.326226012793176</v>
      </c>
      <c r="Z30" s="16">
        <f t="shared" si="9"/>
        <v>13.326226012793176</v>
      </c>
      <c r="AA30" s="16">
        <f t="shared" si="10"/>
        <v>13.459488272921108</v>
      </c>
      <c r="AB30" s="16">
        <f t="shared" si="11"/>
        <v>13.459488272921108</v>
      </c>
      <c r="AC30" s="16">
        <f t="shared" si="12"/>
        <v>13.459488272921108</v>
      </c>
    </row>
    <row r="31" spans="1:29" x14ac:dyDescent="0.25">
      <c r="A31" s="16" t="s">
        <v>47</v>
      </c>
      <c r="B31" s="16" t="s">
        <v>6</v>
      </c>
      <c r="C31" s="19">
        <v>4932</v>
      </c>
      <c r="D31" s="19">
        <v>63</v>
      </c>
      <c r="E31" s="19">
        <v>78</v>
      </c>
      <c r="F31" s="19">
        <v>91</v>
      </c>
      <c r="G31" s="19">
        <v>105</v>
      </c>
      <c r="H31" s="19">
        <v>113</v>
      </c>
      <c r="I31" s="19">
        <v>119</v>
      </c>
      <c r="J31" s="19">
        <v>121</v>
      </c>
      <c r="K31" s="19">
        <v>122</v>
      </c>
      <c r="L31" s="19">
        <v>123</v>
      </c>
      <c r="M31" s="19">
        <v>123</v>
      </c>
      <c r="N31" s="19">
        <v>124</v>
      </c>
      <c r="O31" s="19">
        <v>126</v>
      </c>
      <c r="P31" s="19">
        <v>126</v>
      </c>
      <c r="Q31" s="16">
        <f t="shared" si="0"/>
        <v>12.773722627737227</v>
      </c>
      <c r="R31" s="16">
        <f t="shared" si="1"/>
        <v>15.815085158150852</v>
      </c>
      <c r="S31" s="16">
        <f t="shared" si="2"/>
        <v>18.450932684509329</v>
      </c>
      <c r="T31" s="16">
        <f t="shared" si="3"/>
        <v>21.289537712895374</v>
      </c>
      <c r="U31" s="16">
        <f t="shared" si="4"/>
        <v>22.911597729115979</v>
      </c>
      <c r="V31" s="16">
        <f t="shared" si="5"/>
        <v>24.128142741281426</v>
      </c>
      <c r="W31" s="16">
        <f t="shared" si="6"/>
        <v>24.533657745336576</v>
      </c>
      <c r="X31" s="16">
        <f t="shared" si="7"/>
        <v>24.73641524736415</v>
      </c>
      <c r="Y31" s="16">
        <f t="shared" si="8"/>
        <v>24.939172749391727</v>
      </c>
      <c r="Z31" s="16">
        <f t="shared" si="9"/>
        <v>24.939172749391727</v>
      </c>
      <c r="AA31" s="16">
        <f t="shared" si="10"/>
        <v>25.141930251419303</v>
      </c>
      <c r="AB31" s="16">
        <f t="shared" si="11"/>
        <v>25.547445255474454</v>
      </c>
      <c r="AC31" s="16">
        <f t="shared" si="12"/>
        <v>25.547445255474454</v>
      </c>
    </row>
    <row r="32" spans="1:29" x14ac:dyDescent="0.25">
      <c r="A32" s="16" t="s">
        <v>5</v>
      </c>
      <c r="B32" s="16" t="s">
        <v>7</v>
      </c>
      <c r="C32" s="19">
        <v>2400</v>
      </c>
      <c r="D32" s="19">
        <v>45</v>
      </c>
      <c r="E32" s="19">
        <v>43</v>
      </c>
      <c r="F32" s="19">
        <v>41</v>
      </c>
      <c r="G32" s="19">
        <v>38</v>
      </c>
      <c r="H32" s="19">
        <v>34</v>
      </c>
      <c r="I32" s="19">
        <v>37</v>
      </c>
      <c r="J32" s="19">
        <v>35</v>
      </c>
      <c r="K32" s="19">
        <v>29</v>
      </c>
      <c r="L32" s="19">
        <v>18</v>
      </c>
      <c r="M32" s="19">
        <v>13</v>
      </c>
      <c r="N32" s="19">
        <v>8</v>
      </c>
      <c r="O32" s="19">
        <v>4</v>
      </c>
      <c r="P32" s="19">
        <v>5</v>
      </c>
      <c r="Q32" s="16">
        <f t="shared" si="0"/>
        <v>18.75</v>
      </c>
      <c r="R32" s="16">
        <f t="shared" si="1"/>
        <v>17.916666666666668</v>
      </c>
      <c r="S32" s="16">
        <f t="shared" si="2"/>
        <v>17.083333333333332</v>
      </c>
      <c r="T32" s="16">
        <f t="shared" si="3"/>
        <v>15.833333333333334</v>
      </c>
      <c r="U32" s="16">
        <f t="shared" si="4"/>
        <v>14.166666666666666</v>
      </c>
      <c r="V32" s="16">
        <f t="shared" si="5"/>
        <v>15.416666666666668</v>
      </c>
      <c r="W32" s="16">
        <f t="shared" si="6"/>
        <v>14.583333333333334</v>
      </c>
      <c r="X32" s="16">
        <f t="shared" si="7"/>
        <v>12.083333333333334</v>
      </c>
      <c r="Y32" s="16">
        <f t="shared" si="8"/>
        <v>7.5</v>
      </c>
      <c r="Z32" s="16">
        <f t="shared" si="9"/>
        <v>5.416666666666667</v>
      </c>
      <c r="AA32" s="16">
        <f t="shared" si="10"/>
        <v>3.3333333333333335</v>
      </c>
      <c r="AB32" s="16">
        <f t="shared" si="11"/>
        <v>1.6666666666666667</v>
      </c>
      <c r="AC32" s="16">
        <f t="shared" si="12"/>
        <v>2.0833333333333335</v>
      </c>
    </row>
    <row r="33" spans="1:29" x14ac:dyDescent="0.25">
      <c r="A33" s="16" t="s">
        <v>8</v>
      </c>
      <c r="B33" s="16" t="s">
        <v>7</v>
      </c>
      <c r="C33" s="19">
        <v>3780</v>
      </c>
      <c r="D33" s="16">
        <v>38</v>
      </c>
      <c r="E33" s="16">
        <v>40</v>
      </c>
      <c r="F33" s="16">
        <v>40</v>
      </c>
      <c r="G33" s="16">
        <v>39</v>
      </c>
      <c r="H33" s="16">
        <v>37</v>
      </c>
      <c r="I33" s="16">
        <v>36</v>
      </c>
      <c r="J33" s="16">
        <v>30</v>
      </c>
      <c r="K33" s="16">
        <v>27</v>
      </c>
      <c r="L33" s="16">
        <v>17</v>
      </c>
      <c r="M33" s="16">
        <v>11</v>
      </c>
      <c r="N33" s="16">
        <v>5</v>
      </c>
      <c r="O33" s="16">
        <v>2</v>
      </c>
      <c r="P33" s="16">
        <v>2</v>
      </c>
      <c r="Q33" s="16">
        <f t="shared" si="0"/>
        <v>10.052910052910054</v>
      </c>
      <c r="R33" s="16">
        <f t="shared" si="1"/>
        <v>10.582010582010582</v>
      </c>
      <c r="S33" s="16">
        <f t="shared" si="2"/>
        <v>10.582010582010582</v>
      </c>
      <c r="T33" s="16">
        <f t="shared" si="3"/>
        <v>10.317460317460318</v>
      </c>
      <c r="U33" s="16">
        <f t="shared" si="4"/>
        <v>9.7883597883597897</v>
      </c>
      <c r="V33" s="16">
        <f t="shared" si="5"/>
        <v>9.5238095238095255</v>
      </c>
      <c r="W33" s="16">
        <f t="shared" si="6"/>
        <v>7.9365079365079358</v>
      </c>
      <c r="X33" s="16">
        <f t="shared" si="7"/>
        <v>7.1428571428571423</v>
      </c>
      <c r="Y33" s="16">
        <f t="shared" si="8"/>
        <v>4.4973544973544977</v>
      </c>
      <c r="Z33" s="16">
        <f t="shared" si="9"/>
        <v>2.9100529100529098</v>
      </c>
      <c r="AA33" s="16">
        <f t="shared" si="10"/>
        <v>1.3227513227513228</v>
      </c>
      <c r="AB33" s="16">
        <f t="shared" si="11"/>
        <v>0.52910052910052918</v>
      </c>
      <c r="AC33" s="16">
        <f t="shared" si="12"/>
        <v>0.52910052910052918</v>
      </c>
    </row>
    <row r="34" spans="1:29" x14ac:dyDescent="0.25">
      <c r="A34" s="16" t="s">
        <v>7</v>
      </c>
      <c r="B34" s="16" t="s">
        <v>7</v>
      </c>
      <c r="C34" s="19">
        <v>4593</v>
      </c>
      <c r="D34" s="16">
        <v>41</v>
      </c>
      <c r="E34" s="16">
        <v>40</v>
      </c>
      <c r="F34" s="16">
        <v>35</v>
      </c>
      <c r="G34" s="16">
        <v>32</v>
      </c>
      <c r="H34" s="16">
        <v>31</v>
      </c>
      <c r="I34" s="16">
        <v>28</v>
      </c>
      <c r="J34" s="16">
        <v>27</v>
      </c>
      <c r="K34" s="16">
        <v>18</v>
      </c>
      <c r="L34" s="16">
        <v>7</v>
      </c>
      <c r="M34" s="16">
        <v>2</v>
      </c>
      <c r="N34" s="16">
        <v>1</v>
      </c>
      <c r="O34" s="16">
        <v>1</v>
      </c>
      <c r="P34" s="16">
        <v>1</v>
      </c>
      <c r="Q34" s="16">
        <f t="shared" ref="Q34:Q61" si="13">(D34/C34)*1000</f>
        <v>8.9266274765948186</v>
      </c>
      <c r="R34" s="16">
        <f t="shared" ref="R34:R61" si="14">(E34/C34)*1000</f>
        <v>8.7089048552144561</v>
      </c>
      <c r="S34" s="16">
        <f t="shared" ref="S34:S61" si="15">(F34/C34)*1000</f>
        <v>7.62029174831265</v>
      </c>
      <c r="T34" s="16">
        <f t="shared" ref="T34:T61" si="16">(G34/C34)*1000</f>
        <v>6.9671238841715653</v>
      </c>
      <c r="U34" s="16">
        <f t="shared" ref="U34:U61" si="17">(H34/C34)*1000</f>
        <v>6.7494012627912037</v>
      </c>
      <c r="V34" s="16">
        <f t="shared" ref="V34:V61" si="18">(I34/C34)*1000</f>
        <v>6.0962333986501189</v>
      </c>
      <c r="W34" s="16">
        <f t="shared" ref="W34:W61" si="19">(J34/C34)*1000</f>
        <v>5.8785107772697582</v>
      </c>
      <c r="X34" s="16">
        <f t="shared" ref="X34:X61" si="20">(K34/C34)*1000</f>
        <v>3.9190071848465058</v>
      </c>
      <c r="Y34" s="16">
        <f t="shared" ref="Y34:Y61" si="21">(L34/C34)*1000</f>
        <v>1.5240583496625297</v>
      </c>
      <c r="Z34" s="16">
        <f t="shared" ref="Z34:Z61" si="22">(M34/C34)*1000</f>
        <v>0.43544524276072283</v>
      </c>
      <c r="AA34" s="16">
        <f t="shared" ref="AA34:AA61" si="23">(N34/C34)*1000</f>
        <v>0.21772262138036141</v>
      </c>
      <c r="AB34" s="16">
        <f t="shared" ref="AB34:AB61" si="24">(O34/C34)*1000</f>
        <v>0.21772262138036141</v>
      </c>
      <c r="AC34" s="16">
        <f t="shared" ref="AC34:AC61" si="25">(P34/C34)*1000</f>
        <v>0.21772262138036141</v>
      </c>
    </row>
    <row r="35" spans="1:29" x14ac:dyDescent="0.25">
      <c r="A35" s="16" t="s">
        <v>9</v>
      </c>
      <c r="B35" s="16" t="s">
        <v>7</v>
      </c>
      <c r="C35" s="19">
        <v>3690</v>
      </c>
      <c r="D35" s="16">
        <v>33</v>
      </c>
      <c r="E35" s="16">
        <v>29</v>
      </c>
      <c r="F35" s="16">
        <v>27</v>
      </c>
      <c r="G35" s="16">
        <v>28</v>
      </c>
      <c r="H35" s="16">
        <v>25</v>
      </c>
      <c r="I35" s="16">
        <v>24</v>
      </c>
      <c r="J35" s="16">
        <v>18</v>
      </c>
      <c r="K35" s="16">
        <v>13</v>
      </c>
      <c r="L35" s="16">
        <v>6</v>
      </c>
      <c r="M35" s="16">
        <v>2</v>
      </c>
      <c r="N35" s="16">
        <v>1</v>
      </c>
      <c r="O35" s="16">
        <v>0</v>
      </c>
      <c r="P35" s="16">
        <v>0</v>
      </c>
      <c r="Q35" s="16">
        <f t="shared" si="13"/>
        <v>8.9430894308943092</v>
      </c>
      <c r="R35" s="16">
        <f t="shared" si="14"/>
        <v>7.8590785907859084</v>
      </c>
      <c r="S35" s="16">
        <f t="shared" si="15"/>
        <v>7.3170731707317076</v>
      </c>
      <c r="T35" s="16">
        <f t="shared" si="16"/>
        <v>7.588075880758808</v>
      </c>
      <c r="U35" s="16">
        <f t="shared" si="17"/>
        <v>6.7750677506775068</v>
      </c>
      <c r="V35" s="16">
        <f t="shared" si="18"/>
        <v>6.5040650406504064</v>
      </c>
      <c r="W35" s="16">
        <f t="shared" si="19"/>
        <v>4.8780487804878048</v>
      </c>
      <c r="X35" s="16">
        <f t="shared" si="20"/>
        <v>3.5230352303523036</v>
      </c>
      <c r="Y35" s="16">
        <f t="shared" si="21"/>
        <v>1.6260162601626016</v>
      </c>
      <c r="Z35" s="16">
        <f t="shared" si="22"/>
        <v>0.54200542005420049</v>
      </c>
      <c r="AA35" s="16">
        <f t="shared" si="23"/>
        <v>0.27100271002710025</v>
      </c>
      <c r="AB35" s="16">
        <f t="shared" si="24"/>
        <v>0</v>
      </c>
      <c r="AC35" s="16">
        <f t="shared" si="25"/>
        <v>0</v>
      </c>
    </row>
    <row r="36" spans="1:29" x14ac:dyDescent="0.25">
      <c r="A36" s="16" t="s">
        <v>10</v>
      </c>
      <c r="B36" s="16" t="s">
        <v>7</v>
      </c>
      <c r="C36" s="19">
        <v>4400</v>
      </c>
      <c r="D36" s="16">
        <v>55</v>
      </c>
      <c r="E36" s="16">
        <v>50</v>
      </c>
      <c r="F36" s="16">
        <v>48</v>
      </c>
      <c r="G36" s="16">
        <v>42</v>
      </c>
      <c r="H36" s="16">
        <v>38</v>
      </c>
      <c r="I36" s="16">
        <v>39</v>
      </c>
      <c r="J36" s="16">
        <v>37</v>
      </c>
      <c r="K36" s="16">
        <v>31</v>
      </c>
      <c r="L36" s="16">
        <v>20</v>
      </c>
      <c r="M36" s="16">
        <v>15</v>
      </c>
      <c r="N36" s="16">
        <v>10</v>
      </c>
      <c r="O36" s="16">
        <v>6</v>
      </c>
      <c r="P36" s="16">
        <v>6</v>
      </c>
      <c r="Q36" s="16">
        <f t="shared" si="13"/>
        <v>12.5</v>
      </c>
      <c r="R36" s="16">
        <f t="shared" si="14"/>
        <v>11.363636363636363</v>
      </c>
      <c r="S36" s="16">
        <f t="shared" si="15"/>
        <v>10.90909090909091</v>
      </c>
      <c r="T36" s="16">
        <f t="shared" si="16"/>
        <v>9.5454545454545467</v>
      </c>
      <c r="U36" s="16">
        <f t="shared" si="17"/>
        <v>8.6363636363636367</v>
      </c>
      <c r="V36" s="16">
        <f t="shared" si="18"/>
        <v>8.8636363636363633</v>
      </c>
      <c r="W36" s="16">
        <f t="shared" si="19"/>
        <v>8.4090909090909101</v>
      </c>
      <c r="X36" s="16">
        <f t="shared" si="20"/>
        <v>7.0454545454545459</v>
      </c>
      <c r="Y36" s="16">
        <f t="shared" si="21"/>
        <v>4.545454545454545</v>
      </c>
      <c r="Z36" s="16">
        <f t="shared" si="22"/>
        <v>3.4090909090909087</v>
      </c>
      <c r="AA36" s="16">
        <f t="shared" si="23"/>
        <v>2.2727272727272725</v>
      </c>
      <c r="AB36" s="16">
        <f t="shared" si="24"/>
        <v>1.3636363636363638</v>
      </c>
      <c r="AC36" s="16">
        <f t="shared" si="25"/>
        <v>1.3636363636363638</v>
      </c>
    </row>
    <row r="37" spans="1:29" x14ac:dyDescent="0.25">
      <c r="A37" s="16" t="s">
        <v>11</v>
      </c>
      <c r="B37" s="16" t="s">
        <v>7</v>
      </c>
      <c r="C37" s="19">
        <v>4450</v>
      </c>
      <c r="D37" s="16">
        <v>56</v>
      </c>
      <c r="E37" s="16">
        <v>52</v>
      </c>
      <c r="F37" s="16">
        <v>52</v>
      </c>
      <c r="G37" s="16">
        <v>41</v>
      </c>
      <c r="H37" s="16">
        <v>39</v>
      </c>
      <c r="I37" s="16">
        <v>38</v>
      </c>
      <c r="J37" s="16">
        <v>30</v>
      </c>
      <c r="K37" s="16">
        <v>27</v>
      </c>
      <c r="L37" s="16">
        <v>17</v>
      </c>
      <c r="M37" s="16">
        <v>11</v>
      </c>
      <c r="N37" s="16">
        <v>5</v>
      </c>
      <c r="O37" s="16">
        <v>2</v>
      </c>
      <c r="P37" s="16">
        <v>2</v>
      </c>
      <c r="Q37" s="16">
        <f t="shared" si="13"/>
        <v>12.584269662921349</v>
      </c>
      <c r="R37" s="16">
        <f t="shared" si="14"/>
        <v>11.685393258426966</v>
      </c>
      <c r="S37" s="16">
        <f t="shared" si="15"/>
        <v>11.685393258426966</v>
      </c>
      <c r="T37" s="16">
        <f t="shared" si="16"/>
        <v>9.213483146067416</v>
      </c>
      <c r="U37" s="16">
        <f t="shared" si="17"/>
        <v>8.7640449438202257</v>
      </c>
      <c r="V37" s="16">
        <f t="shared" si="18"/>
        <v>8.5393258426966305</v>
      </c>
      <c r="W37" s="16">
        <f t="shared" si="19"/>
        <v>6.7415730337078656</v>
      </c>
      <c r="X37" s="16">
        <f t="shared" si="20"/>
        <v>6.0674157303370784</v>
      </c>
      <c r="Y37" s="16">
        <f t="shared" si="21"/>
        <v>3.8202247191011236</v>
      </c>
      <c r="Z37" s="16">
        <f t="shared" si="22"/>
        <v>2.4719101123595504</v>
      </c>
      <c r="AA37" s="16">
        <f t="shared" si="23"/>
        <v>1.1235955056179776</v>
      </c>
      <c r="AB37" s="16">
        <f t="shared" si="24"/>
        <v>0.44943820224719105</v>
      </c>
      <c r="AC37" s="16">
        <f t="shared" si="25"/>
        <v>0.44943820224719105</v>
      </c>
    </row>
    <row r="38" spans="1:29" x14ac:dyDescent="0.25">
      <c r="A38" s="16" t="s">
        <v>12</v>
      </c>
      <c r="B38" s="16" t="s">
        <v>7</v>
      </c>
      <c r="C38" s="19">
        <v>4925</v>
      </c>
      <c r="D38" s="16">
        <v>44</v>
      </c>
      <c r="E38" s="16">
        <v>42</v>
      </c>
      <c r="F38" s="16">
        <v>37</v>
      </c>
      <c r="G38" s="16">
        <v>35</v>
      </c>
      <c r="H38" s="16">
        <v>33</v>
      </c>
      <c r="I38" s="16">
        <v>29</v>
      </c>
      <c r="J38" s="16">
        <v>26</v>
      </c>
      <c r="K38" s="16">
        <v>17</v>
      </c>
      <c r="L38" s="16">
        <v>7</v>
      </c>
      <c r="M38" s="16">
        <v>2</v>
      </c>
      <c r="N38" s="16">
        <v>1</v>
      </c>
      <c r="O38" s="16">
        <v>1</v>
      </c>
      <c r="P38" s="16">
        <v>1</v>
      </c>
      <c r="Q38" s="16">
        <f t="shared" si="13"/>
        <v>8.9340101522842641</v>
      </c>
      <c r="R38" s="16">
        <f t="shared" si="14"/>
        <v>8.5279187817258872</v>
      </c>
      <c r="S38" s="16">
        <f t="shared" si="15"/>
        <v>7.5126903553299496</v>
      </c>
      <c r="T38" s="16">
        <f t="shared" si="16"/>
        <v>7.1065989847715736</v>
      </c>
      <c r="U38" s="16">
        <f t="shared" si="17"/>
        <v>6.7005076142131985</v>
      </c>
      <c r="V38" s="16">
        <f t="shared" si="18"/>
        <v>5.8883248730964475</v>
      </c>
      <c r="W38" s="16">
        <f t="shared" si="19"/>
        <v>5.2791878172588831</v>
      </c>
      <c r="X38" s="16">
        <f t="shared" si="20"/>
        <v>3.4517766497461926</v>
      </c>
      <c r="Y38" s="16">
        <f t="shared" si="21"/>
        <v>1.4213197969543148</v>
      </c>
      <c r="Z38" s="16">
        <f t="shared" si="22"/>
        <v>0.40609137055837563</v>
      </c>
      <c r="AA38" s="16">
        <f t="shared" si="23"/>
        <v>0.20304568527918782</v>
      </c>
      <c r="AB38" s="16">
        <f t="shared" si="24"/>
        <v>0.20304568527918782</v>
      </c>
      <c r="AC38" s="16">
        <f t="shared" si="25"/>
        <v>0.20304568527918782</v>
      </c>
    </row>
    <row r="39" spans="1:29" x14ac:dyDescent="0.25">
      <c r="A39" s="16" t="s">
        <v>13</v>
      </c>
      <c r="B39" s="16" t="s">
        <v>7</v>
      </c>
      <c r="C39" s="19">
        <v>5645</v>
      </c>
      <c r="D39" s="16">
        <v>43</v>
      </c>
      <c r="E39" s="16">
        <v>37</v>
      </c>
      <c r="F39" s="16">
        <v>35</v>
      </c>
      <c r="G39" s="16">
        <v>34</v>
      </c>
      <c r="H39" s="16">
        <v>33</v>
      </c>
      <c r="I39" s="16">
        <v>30</v>
      </c>
      <c r="J39" s="16">
        <v>24</v>
      </c>
      <c r="K39" s="16">
        <v>19</v>
      </c>
      <c r="L39" s="16">
        <v>12</v>
      </c>
      <c r="M39" s="16">
        <v>6</v>
      </c>
      <c r="N39" s="16">
        <v>4</v>
      </c>
      <c r="O39" s="16">
        <v>2</v>
      </c>
      <c r="P39" s="16">
        <v>2</v>
      </c>
      <c r="Q39" s="16">
        <f t="shared" si="13"/>
        <v>7.6173604960141716</v>
      </c>
      <c r="R39" s="16">
        <f t="shared" si="14"/>
        <v>6.5544729849424268</v>
      </c>
      <c r="S39" s="16">
        <f t="shared" si="15"/>
        <v>6.2001771479185122</v>
      </c>
      <c r="T39" s="16">
        <f t="shared" si="16"/>
        <v>6.0230292294065544</v>
      </c>
      <c r="U39" s="16">
        <f t="shared" si="17"/>
        <v>5.8458813108945975</v>
      </c>
      <c r="V39" s="16">
        <f t="shared" si="18"/>
        <v>5.3144375553587242</v>
      </c>
      <c r="W39" s="16">
        <f t="shared" si="19"/>
        <v>4.2515500442869794</v>
      </c>
      <c r="X39" s="16">
        <f t="shared" si="20"/>
        <v>3.3658104517271918</v>
      </c>
      <c r="Y39" s="16">
        <f t="shared" si="21"/>
        <v>2.1257750221434897</v>
      </c>
      <c r="Z39" s="16">
        <f t="shared" si="22"/>
        <v>1.0628875110717448</v>
      </c>
      <c r="AA39" s="16">
        <f t="shared" si="23"/>
        <v>0.70859167404782997</v>
      </c>
      <c r="AB39" s="16">
        <f t="shared" si="24"/>
        <v>0.35429583702391498</v>
      </c>
      <c r="AC39" s="16">
        <f t="shared" si="25"/>
        <v>0.35429583702391498</v>
      </c>
    </row>
    <row r="40" spans="1:29" x14ac:dyDescent="0.25">
      <c r="A40" s="16" t="s">
        <v>15</v>
      </c>
      <c r="B40" s="16" t="s">
        <v>7</v>
      </c>
      <c r="C40" s="19">
        <v>6323</v>
      </c>
      <c r="D40" s="16">
        <v>38</v>
      </c>
      <c r="E40" s="16">
        <v>36</v>
      </c>
      <c r="F40" s="16">
        <v>33</v>
      </c>
      <c r="G40" s="16">
        <v>31</v>
      </c>
      <c r="H40" s="16">
        <v>29</v>
      </c>
      <c r="I40" s="16">
        <v>25</v>
      </c>
      <c r="J40" s="16">
        <v>22</v>
      </c>
      <c r="K40" s="16">
        <v>17</v>
      </c>
      <c r="L40" s="16">
        <v>7</v>
      </c>
      <c r="M40" s="16">
        <v>2</v>
      </c>
      <c r="N40" s="16">
        <v>1</v>
      </c>
      <c r="O40" s="16">
        <v>1</v>
      </c>
      <c r="P40" s="16">
        <v>1</v>
      </c>
      <c r="Q40" s="16">
        <f t="shared" si="13"/>
        <v>6.0098054720860352</v>
      </c>
      <c r="R40" s="16">
        <f t="shared" si="14"/>
        <v>5.6934999209236121</v>
      </c>
      <c r="S40" s="16">
        <f t="shared" si="15"/>
        <v>5.2190415941799779</v>
      </c>
      <c r="T40" s="16">
        <f t="shared" si="16"/>
        <v>4.9027360430175548</v>
      </c>
      <c r="U40" s="16">
        <f t="shared" si="17"/>
        <v>4.5864304918551317</v>
      </c>
      <c r="V40" s="16">
        <f t="shared" si="18"/>
        <v>3.9538193895302864</v>
      </c>
      <c r="W40" s="16">
        <f t="shared" si="19"/>
        <v>3.4793610627866518</v>
      </c>
      <c r="X40" s="16">
        <f t="shared" si="20"/>
        <v>2.688597184880595</v>
      </c>
      <c r="Y40" s="16">
        <f t="shared" si="21"/>
        <v>1.1070694290684802</v>
      </c>
      <c r="Z40" s="16">
        <f t="shared" si="22"/>
        <v>0.31630555116242293</v>
      </c>
      <c r="AA40" s="16">
        <f t="shared" si="23"/>
        <v>0.15815277558121146</v>
      </c>
      <c r="AB40" s="16">
        <f t="shared" si="24"/>
        <v>0.15815277558121146</v>
      </c>
      <c r="AC40" s="16">
        <f t="shared" si="25"/>
        <v>0.15815277558121146</v>
      </c>
    </row>
    <row r="41" spans="1:29" x14ac:dyDescent="0.25">
      <c r="A41" s="16" t="s">
        <v>16</v>
      </c>
      <c r="B41" s="16" t="s">
        <v>7</v>
      </c>
      <c r="C41" s="19">
        <v>3809</v>
      </c>
      <c r="D41" s="16">
        <v>42</v>
      </c>
      <c r="E41" s="16">
        <v>36</v>
      </c>
      <c r="F41" s="16">
        <v>34</v>
      </c>
      <c r="G41" s="16">
        <v>33</v>
      </c>
      <c r="H41" s="16">
        <v>32</v>
      </c>
      <c r="I41" s="16">
        <v>29</v>
      </c>
      <c r="J41" s="16">
        <v>23</v>
      </c>
      <c r="K41" s="16">
        <v>18</v>
      </c>
      <c r="L41" s="16">
        <v>12</v>
      </c>
      <c r="M41" s="16">
        <v>6</v>
      </c>
      <c r="N41" s="16">
        <v>4</v>
      </c>
      <c r="O41" s="16">
        <v>2</v>
      </c>
      <c r="P41" s="16">
        <v>2</v>
      </c>
      <c r="Q41" s="16">
        <f t="shared" si="13"/>
        <v>11.026516145970071</v>
      </c>
      <c r="R41" s="16">
        <f t="shared" si="14"/>
        <v>9.4512995536886333</v>
      </c>
      <c r="S41" s="16">
        <f t="shared" si="15"/>
        <v>8.9262273562614851</v>
      </c>
      <c r="T41" s="16">
        <f t="shared" si="16"/>
        <v>8.6636912575479137</v>
      </c>
      <c r="U41" s="16">
        <f t="shared" si="17"/>
        <v>8.4011551588343405</v>
      </c>
      <c r="V41" s="16">
        <f t="shared" si="18"/>
        <v>7.61354686269362</v>
      </c>
      <c r="W41" s="16">
        <f t="shared" si="19"/>
        <v>6.0383302704121817</v>
      </c>
      <c r="X41" s="16">
        <f t="shared" si="20"/>
        <v>4.7256497768443166</v>
      </c>
      <c r="Y41" s="16">
        <f t="shared" si="21"/>
        <v>3.1504331845628775</v>
      </c>
      <c r="Z41" s="16">
        <f t="shared" si="22"/>
        <v>1.5752165922814387</v>
      </c>
      <c r="AA41" s="16">
        <f t="shared" si="23"/>
        <v>1.0501443948542926</v>
      </c>
      <c r="AB41" s="16">
        <f t="shared" si="24"/>
        <v>0.52507219742714628</v>
      </c>
      <c r="AC41" s="16">
        <f t="shared" si="25"/>
        <v>0.52507219742714628</v>
      </c>
    </row>
    <row r="42" spans="1:29" x14ac:dyDescent="0.25">
      <c r="A42" s="16" t="s">
        <v>29</v>
      </c>
      <c r="B42" s="16" t="s">
        <v>7</v>
      </c>
      <c r="C42" s="19">
        <v>2900</v>
      </c>
      <c r="D42" s="16">
        <v>40</v>
      </c>
      <c r="E42" s="16">
        <v>37</v>
      </c>
      <c r="F42" s="16">
        <v>39</v>
      </c>
      <c r="G42" s="16">
        <v>35</v>
      </c>
      <c r="H42" s="16">
        <v>29</v>
      </c>
      <c r="I42" s="16">
        <v>28</v>
      </c>
      <c r="J42" s="16">
        <v>29</v>
      </c>
      <c r="K42" s="16">
        <v>22</v>
      </c>
      <c r="L42" s="16">
        <v>15</v>
      </c>
      <c r="M42" s="16">
        <v>10</v>
      </c>
      <c r="N42" s="16">
        <v>5</v>
      </c>
      <c r="O42" s="16">
        <v>1</v>
      </c>
      <c r="P42" s="16">
        <v>2</v>
      </c>
      <c r="Q42" s="16">
        <f t="shared" si="13"/>
        <v>13.793103448275861</v>
      </c>
      <c r="R42" s="16">
        <f t="shared" si="14"/>
        <v>12.758620689655173</v>
      </c>
      <c r="S42" s="16">
        <f t="shared" si="15"/>
        <v>13.448275862068966</v>
      </c>
      <c r="T42" s="16">
        <f t="shared" si="16"/>
        <v>12.068965517241379</v>
      </c>
      <c r="U42" s="16">
        <f t="shared" si="17"/>
        <v>10</v>
      </c>
      <c r="V42" s="16">
        <f t="shared" si="18"/>
        <v>9.6551724137931032</v>
      </c>
      <c r="W42" s="16">
        <f t="shared" si="19"/>
        <v>10</v>
      </c>
      <c r="X42" s="16">
        <f t="shared" si="20"/>
        <v>7.5862068965517242</v>
      </c>
      <c r="Y42" s="16">
        <f t="shared" si="21"/>
        <v>5.1724137931034484</v>
      </c>
      <c r="Z42" s="16">
        <f t="shared" si="22"/>
        <v>3.4482758620689653</v>
      </c>
      <c r="AA42" s="16">
        <f t="shared" si="23"/>
        <v>1.7241379310344827</v>
      </c>
      <c r="AB42" s="16">
        <f t="shared" si="24"/>
        <v>0.34482758620689652</v>
      </c>
      <c r="AC42" s="16">
        <f t="shared" si="25"/>
        <v>0.68965517241379304</v>
      </c>
    </row>
    <row r="43" spans="1:29" x14ac:dyDescent="0.25">
      <c r="A43" s="16" t="s">
        <v>30</v>
      </c>
      <c r="B43" s="16" t="s">
        <v>7</v>
      </c>
      <c r="C43" s="19">
        <v>3800</v>
      </c>
      <c r="D43" s="16">
        <v>25</v>
      </c>
      <c r="E43" s="16">
        <v>25</v>
      </c>
      <c r="F43" s="16">
        <v>23</v>
      </c>
      <c r="G43" s="16">
        <v>23</v>
      </c>
      <c r="H43" s="16">
        <v>19</v>
      </c>
      <c r="I43" s="16">
        <v>16</v>
      </c>
      <c r="J43" s="16">
        <v>11</v>
      </c>
      <c r="K43" s="16">
        <v>6</v>
      </c>
      <c r="L43" s="16">
        <v>1</v>
      </c>
      <c r="M43" s="16">
        <v>0</v>
      </c>
      <c r="N43" s="16">
        <v>1</v>
      </c>
      <c r="O43" s="16">
        <v>0</v>
      </c>
      <c r="P43" s="16">
        <v>0</v>
      </c>
      <c r="Q43" s="16">
        <f t="shared" si="13"/>
        <v>6.5789473684210522</v>
      </c>
      <c r="R43" s="16">
        <f t="shared" si="14"/>
        <v>6.5789473684210522</v>
      </c>
      <c r="S43" s="16">
        <f t="shared" si="15"/>
        <v>6.0526315789473681</v>
      </c>
      <c r="T43" s="16">
        <f t="shared" si="16"/>
        <v>6.0526315789473681</v>
      </c>
      <c r="U43" s="16">
        <f t="shared" si="17"/>
        <v>5</v>
      </c>
      <c r="V43" s="16">
        <f t="shared" si="18"/>
        <v>4.2105263157894735</v>
      </c>
      <c r="W43" s="16">
        <f t="shared" si="19"/>
        <v>2.8947368421052633</v>
      </c>
      <c r="X43" s="16">
        <f t="shared" si="20"/>
        <v>1.5789473684210527</v>
      </c>
      <c r="Y43" s="16">
        <f t="shared" si="21"/>
        <v>0.26315789473684209</v>
      </c>
      <c r="Z43" s="16">
        <f t="shared" si="22"/>
        <v>0</v>
      </c>
      <c r="AA43" s="16">
        <f t="shared" si="23"/>
        <v>0.26315789473684209</v>
      </c>
      <c r="AB43" s="16">
        <f t="shared" si="24"/>
        <v>0</v>
      </c>
      <c r="AC43" s="16">
        <f t="shared" si="25"/>
        <v>0</v>
      </c>
    </row>
    <row r="44" spans="1:29" x14ac:dyDescent="0.25">
      <c r="A44" s="16" t="s">
        <v>31</v>
      </c>
      <c r="B44" s="16" t="s">
        <v>7</v>
      </c>
      <c r="C44" s="19">
        <v>5215</v>
      </c>
      <c r="D44" s="16">
        <v>36</v>
      </c>
      <c r="E44" s="16">
        <v>33</v>
      </c>
      <c r="F44" s="16">
        <v>30</v>
      </c>
      <c r="G44" s="16">
        <v>30</v>
      </c>
      <c r="H44" s="16">
        <v>27</v>
      </c>
      <c r="I44" s="16">
        <v>25</v>
      </c>
      <c r="J44" s="16">
        <v>23</v>
      </c>
      <c r="K44" s="16">
        <v>15</v>
      </c>
      <c r="L44" s="16">
        <v>6</v>
      </c>
      <c r="M44" s="16">
        <v>1</v>
      </c>
      <c r="N44" s="16">
        <v>0</v>
      </c>
      <c r="O44" s="16">
        <v>0</v>
      </c>
      <c r="P44" s="16">
        <v>0</v>
      </c>
      <c r="Q44" s="16">
        <f t="shared" si="13"/>
        <v>6.9031639501438153</v>
      </c>
      <c r="R44" s="16">
        <f t="shared" si="14"/>
        <v>6.3279002876318318</v>
      </c>
      <c r="S44" s="16">
        <f t="shared" si="15"/>
        <v>5.7526366251198464</v>
      </c>
      <c r="T44" s="16">
        <f t="shared" si="16"/>
        <v>5.7526366251198464</v>
      </c>
      <c r="U44" s="16">
        <f t="shared" si="17"/>
        <v>5.177372962607862</v>
      </c>
      <c r="V44" s="16">
        <f t="shared" si="18"/>
        <v>4.7938638542665393</v>
      </c>
      <c r="W44" s="16">
        <f t="shared" si="19"/>
        <v>4.4103547459252157</v>
      </c>
      <c r="X44" s="16">
        <f t="shared" si="20"/>
        <v>2.8763183125599232</v>
      </c>
      <c r="Y44" s="16">
        <f t="shared" si="21"/>
        <v>1.1505273250239691</v>
      </c>
      <c r="Z44" s="16">
        <f t="shared" si="22"/>
        <v>0.19175455417066153</v>
      </c>
      <c r="AA44" s="16">
        <f t="shared" si="23"/>
        <v>0</v>
      </c>
      <c r="AB44" s="16">
        <f t="shared" si="24"/>
        <v>0</v>
      </c>
      <c r="AC44" s="16">
        <f t="shared" si="25"/>
        <v>0</v>
      </c>
    </row>
    <row r="45" spans="1:29" x14ac:dyDescent="0.25">
      <c r="A45" s="16" t="s">
        <v>6</v>
      </c>
      <c r="B45" s="16" t="s">
        <v>7</v>
      </c>
      <c r="C45" s="19">
        <v>3900</v>
      </c>
      <c r="D45" s="16">
        <v>28</v>
      </c>
      <c r="E45" s="16">
        <v>22</v>
      </c>
      <c r="F45" s="16">
        <v>21</v>
      </c>
      <c r="G45" s="16">
        <v>21</v>
      </c>
      <c r="H45" s="16">
        <v>19</v>
      </c>
      <c r="I45" s="16">
        <v>17</v>
      </c>
      <c r="J45" s="16">
        <v>12</v>
      </c>
      <c r="K45" s="16">
        <v>6</v>
      </c>
      <c r="L45" s="16">
        <v>3</v>
      </c>
      <c r="M45" s="16">
        <v>2</v>
      </c>
      <c r="N45" s="16">
        <v>1</v>
      </c>
      <c r="O45" s="16">
        <v>0</v>
      </c>
      <c r="P45" s="16">
        <v>0</v>
      </c>
      <c r="Q45" s="16">
        <f t="shared" si="13"/>
        <v>7.1794871794871797</v>
      </c>
      <c r="R45" s="16">
        <f t="shared" si="14"/>
        <v>5.6410256410256414</v>
      </c>
      <c r="S45" s="16">
        <f t="shared" si="15"/>
        <v>5.3846153846153841</v>
      </c>
      <c r="T45" s="16">
        <f t="shared" si="16"/>
        <v>5.3846153846153841</v>
      </c>
      <c r="U45" s="16">
        <f t="shared" si="17"/>
        <v>4.8717948717948723</v>
      </c>
      <c r="V45" s="16">
        <f t="shared" si="18"/>
        <v>4.3589743589743586</v>
      </c>
      <c r="W45" s="16">
        <f t="shared" si="19"/>
        <v>3.0769230769230771</v>
      </c>
      <c r="X45" s="16">
        <f t="shared" si="20"/>
        <v>1.5384615384615385</v>
      </c>
      <c r="Y45" s="16">
        <f t="shared" si="21"/>
        <v>0.76923076923076927</v>
      </c>
      <c r="Z45" s="16">
        <f t="shared" si="22"/>
        <v>0.51282051282051277</v>
      </c>
      <c r="AA45" s="16">
        <f t="shared" si="23"/>
        <v>0.25641025641025639</v>
      </c>
      <c r="AB45" s="16">
        <f t="shared" si="24"/>
        <v>0</v>
      </c>
      <c r="AC45" s="16">
        <f t="shared" si="25"/>
        <v>0</v>
      </c>
    </row>
    <row r="46" spans="1:29" x14ac:dyDescent="0.25">
      <c r="A46" s="16" t="s">
        <v>32</v>
      </c>
      <c r="B46" s="16" t="s">
        <v>7</v>
      </c>
      <c r="C46" s="19">
        <v>5100</v>
      </c>
      <c r="D46" s="16">
        <v>43</v>
      </c>
      <c r="E46" s="16">
        <v>40</v>
      </c>
      <c r="F46" s="16">
        <v>42</v>
      </c>
      <c r="G46" s="16">
        <v>38</v>
      </c>
      <c r="H46" s="16">
        <v>32</v>
      </c>
      <c r="I46" s="16">
        <v>31</v>
      </c>
      <c r="J46" s="16">
        <v>29</v>
      </c>
      <c r="K46" s="16">
        <v>22</v>
      </c>
      <c r="L46" s="16">
        <v>15</v>
      </c>
      <c r="M46" s="16">
        <v>10</v>
      </c>
      <c r="N46" s="16">
        <v>5</v>
      </c>
      <c r="O46" s="16">
        <v>1</v>
      </c>
      <c r="P46" s="16">
        <v>1</v>
      </c>
      <c r="Q46" s="16">
        <f t="shared" si="13"/>
        <v>8.4313725490196063</v>
      </c>
      <c r="R46" s="16">
        <f t="shared" si="14"/>
        <v>7.8431372549019605</v>
      </c>
      <c r="S46" s="16">
        <f t="shared" si="15"/>
        <v>8.2352941176470598</v>
      </c>
      <c r="T46" s="16">
        <f t="shared" si="16"/>
        <v>7.4509803921568629</v>
      </c>
      <c r="U46" s="16">
        <f t="shared" si="17"/>
        <v>6.2745098039215685</v>
      </c>
      <c r="V46" s="16">
        <f t="shared" si="18"/>
        <v>6.0784313725490202</v>
      </c>
      <c r="W46" s="16">
        <f t="shared" si="19"/>
        <v>5.6862745098039209</v>
      </c>
      <c r="X46" s="16">
        <f t="shared" si="20"/>
        <v>4.3137254901960782</v>
      </c>
      <c r="Y46" s="16">
        <f t="shared" si="21"/>
        <v>2.9411764705882351</v>
      </c>
      <c r="Z46" s="16">
        <f t="shared" si="22"/>
        <v>1.9607843137254901</v>
      </c>
      <c r="AA46" s="16">
        <f t="shared" si="23"/>
        <v>0.98039215686274506</v>
      </c>
      <c r="AB46" s="16">
        <f t="shared" si="24"/>
        <v>0.19607843137254902</v>
      </c>
      <c r="AC46" s="16">
        <f t="shared" si="25"/>
        <v>0.19607843137254902</v>
      </c>
    </row>
    <row r="47" spans="1:29" x14ac:dyDescent="0.25">
      <c r="A47" s="16" t="s">
        <v>33</v>
      </c>
      <c r="B47" s="16" t="s">
        <v>7</v>
      </c>
      <c r="C47" s="19">
        <v>5330</v>
      </c>
      <c r="D47" s="16">
        <v>30</v>
      </c>
      <c r="E47" s="16">
        <v>32</v>
      </c>
      <c r="F47" s="16">
        <v>28</v>
      </c>
      <c r="G47" s="16">
        <v>23</v>
      </c>
      <c r="H47" s="16">
        <v>18</v>
      </c>
      <c r="I47" s="16">
        <v>15</v>
      </c>
      <c r="J47" s="16">
        <v>10</v>
      </c>
      <c r="K47" s="16">
        <v>7</v>
      </c>
      <c r="L47" s="16">
        <v>1</v>
      </c>
      <c r="M47" s="16">
        <v>0</v>
      </c>
      <c r="N47" s="16">
        <v>1</v>
      </c>
      <c r="O47" s="16">
        <v>0</v>
      </c>
      <c r="P47" s="16">
        <v>0</v>
      </c>
      <c r="Q47" s="16">
        <f t="shared" si="13"/>
        <v>5.6285178236397746</v>
      </c>
      <c r="R47" s="16">
        <f t="shared" si="14"/>
        <v>6.0037523452157595</v>
      </c>
      <c r="S47" s="16">
        <f t="shared" si="15"/>
        <v>5.2532833020637897</v>
      </c>
      <c r="T47" s="16">
        <f t="shared" si="16"/>
        <v>4.3151969981238274</v>
      </c>
      <c r="U47" s="16">
        <f t="shared" si="17"/>
        <v>3.3771106941838651</v>
      </c>
      <c r="V47" s="16">
        <f t="shared" si="18"/>
        <v>2.8142589118198873</v>
      </c>
      <c r="W47" s="16">
        <f t="shared" si="19"/>
        <v>1.876172607879925</v>
      </c>
      <c r="X47" s="16">
        <f t="shared" si="20"/>
        <v>1.3133208255159474</v>
      </c>
      <c r="Y47" s="16">
        <f t="shared" si="21"/>
        <v>0.18761726078799248</v>
      </c>
      <c r="Z47" s="16">
        <f t="shared" si="22"/>
        <v>0</v>
      </c>
      <c r="AA47" s="16">
        <f t="shared" si="23"/>
        <v>0.18761726078799248</v>
      </c>
      <c r="AB47" s="16">
        <f t="shared" si="24"/>
        <v>0</v>
      </c>
      <c r="AC47" s="16">
        <f t="shared" si="25"/>
        <v>0</v>
      </c>
    </row>
    <row r="48" spans="1:29" x14ac:dyDescent="0.25">
      <c r="A48" s="16" t="s">
        <v>34</v>
      </c>
      <c r="B48" s="16" t="s">
        <v>7</v>
      </c>
      <c r="C48" s="19">
        <v>5455</v>
      </c>
      <c r="D48" s="16">
        <v>36</v>
      </c>
      <c r="E48" s="16">
        <v>33</v>
      </c>
      <c r="F48" s="16">
        <v>30</v>
      </c>
      <c r="G48" s="16">
        <v>30</v>
      </c>
      <c r="H48" s="16">
        <v>27</v>
      </c>
      <c r="I48" s="16">
        <v>25</v>
      </c>
      <c r="J48" s="16">
        <v>23</v>
      </c>
      <c r="K48" s="16">
        <v>15</v>
      </c>
      <c r="L48" s="16">
        <v>6</v>
      </c>
      <c r="M48" s="16">
        <v>1</v>
      </c>
      <c r="N48" s="16">
        <v>0</v>
      </c>
      <c r="O48" s="16">
        <v>0</v>
      </c>
      <c r="P48" s="16">
        <v>0</v>
      </c>
      <c r="Q48" s="16">
        <f t="shared" si="13"/>
        <v>6.5994500458295144</v>
      </c>
      <c r="R48" s="16">
        <f t="shared" si="14"/>
        <v>6.0494958753437214</v>
      </c>
      <c r="S48" s="16">
        <f t="shared" si="15"/>
        <v>5.4995417048579283</v>
      </c>
      <c r="T48" s="16">
        <f t="shared" si="16"/>
        <v>5.4995417048579283</v>
      </c>
      <c r="U48" s="16">
        <f t="shared" si="17"/>
        <v>4.9495875343721361</v>
      </c>
      <c r="V48" s="16">
        <f t="shared" si="18"/>
        <v>4.5829514207149407</v>
      </c>
      <c r="W48" s="16">
        <f t="shared" si="19"/>
        <v>4.2163153070577453</v>
      </c>
      <c r="X48" s="16">
        <f t="shared" si="20"/>
        <v>2.7497708524289641</v>
      </c>
      <c r="Y48" s="16">
        <f t="shared" si="21"/>
        <v>1.0999083409715857</v>
      </c>
      <c r="Z48" s="16">
        <f t="shared" si="22"/>
        <v>0.18331805682859761</v>
      </c>
      <c r="AA48" s="16">
        <f t="shared" si="23"/>
        <v>0</v>
      </c>
      <c r="AB48" s="16">
        <f t="shared" si="24"/>
        <v>0</v>
      </c>
      <c r="AC48" s="16">
        <f t="shared" si="25"/>
        <v>0</v>
      </c>
    </row>
    <row r="49" spans="1:29" x14ac:dyDescent="0.25">
      <c r="A49" s="16" t="s">
        <v>35</v>
      </c>
      <c r="B49" s="16" t="s">
        <v>7</v>
      </c>
      <c r="C49" s="19">
        <v>6200</v>
      </c>
      <c r="D49" s="16">
        <v>28</v>
      </c>
      <c r="E49" s="16">
        <v>22</v>
      </c>
      <c r="F49" s="16">
        <v>21</v>
      </c>
      <c r="G49" s="16">
        <v>21</v>
      </c>
      <c r="H49" s="16">
        <v>19</v>
      </c>
      <c r="I49" s="16">
        <v>17</v>
      </c>
      <c r="J49" s="16">
        <v>12</v>
      </c>
      <c r="K49" s="16">
        <v>6</v>
      </c>
      <c r="L49" s="16">
        <v>3</v>
      </c>
      <c r="M49" s="16">
        <v>2</v>
      </c>
      <c r="N49" s="16">
        <v>1</v>
      </c>
      <c r="O49" s="16">
        <v>0</v>
      </c>
      <c r="P49" s="16">
        <v>0</v>
      </c>
      <c r="Q49" s="16">
        <f t="shared" si="13"/>
        <v>4.5161290322580649</v>
      </c>
      <c r="R49" s="16">
        <f t="shared" si="14"/>
        <v>3.5483870967741939</v>
      </c>
      <c r="S49" s="16">
        <f t="shared" si="15"/>
        <v>3.3870967741935485</v>
      </c>
      <c r="T49" s="16">
        <f t="shared" si="16"/>
        <v>3.3870967741935485</v>
      </c>
      <c r="U49" s="16">
        <f t="shared" si="17"/>
        <v>3.064516129032258</v>
      </c>
      <c r="V49" s="16">
        <f t="shared" si="18"/>
        <v>2.7419354838709675</v>
      </c>
      <c r="W49" s="16">
        <f t="shared" si="19"/>
        <v>1.935483870967742</v>
      </c>
      <c r="X49" s="16">
        <f t="shared" si="20"/>
        <v>0.967741935483871</v>
      </c>
      <c r="Y49" s="16">
        <f t="shared" si="21"/>
        <v>0.4838709677419355</v>
      </c>
      <c r="Z49" s="16">
        <f t="shared" si="22"/>
        <v>0.32258064516129031</v>
      </c>
      <c r="AA49" s="16">
        <f t="shared" si="23"/>
        <v>0.16129032258064516</v>
      </c>
      <c r="AB49" s="16">
        <f t="shared" si="24"/>
        <v>0</v>
      </c>
      <c r="AC49" s="16">
        <f t="shared" si="25"/>
        <v>0</v>
      </c>
    </row>
    <row r="50" spans="1:29" x14ac:dyDescent="0.25">
      <c r="A50" s="16" t="s">
        <v>36</v>
      </c>
      <c r="B50" s="16" t="s">
        <v>7</v>
      </c>
      <c r="C50" s="19">
        <v>7100</v>
      </c>
      <c r="D50" s="16">
        <v>32</v>
      </c>
      <c r="E50" s="16">
        <v>29</v>
      </c>
      <c r="F50" s="16">
        <v>26</v>
      </c>
      <c r="G50" s="16">
        <v>26</v>
      </c>
      <c r="H50" s="16">
        <v>23</v>
      </c>
      <c r="I50" s="16">
        <v>21</v>
      </c>
      <c r="J50" s="16">
        <v>19</v>
      </c>
      <c r="K50" s="16">
        <v>13</v>
      </c>
      <c r="L50" s="16">
        <v>6</v>
      </c>
      <c r="M50" s="16">
        <v>1</v>
      </c>
      <c r="N50" s="16">
        <v>0</v>
      </c>
      <c r="O50" s="16">
        <v>0</v>
      </c>
      <c r="P50" s="16">
        <v>0</v>
      </c>
      <c r="Q50" s="16">
        <f t="shared" si="13"/>
        <v>4.507042253521127</v>
      </c>
      <c r="R50" s="16">
        <f t="shared" si="14"/>
        <v>4.084507042253521</v>
      </c>
      <c r="S50" s="16">
        <f t="shared" si="15"/>
        <v>3.6619718309859155</v>
      </c>
      <c r="T50" s="16">
        <f t="shared" si="16"/>
        <v>3.6619718309859155</v>
      </c>
      <c r="U50" s="16">
        <f t="shared" si="17"/>
        <v>3.2394366197183095</v>
      </c>
      <c r="V50" s="16">
        <f t="shared" si="18"/>
        <v>2.9577464788732395</v>
      </c>
      <c r="W50" s="16">
        <f t="shared" si="19"/>
        <v>2.676056338028169</v>
      </c>
      <c r="X50" s="16">
        <f t="shared" si="20"/>
        <v>1.8309859154929577</v>
      </c>
      <c r="Y50" s="16">
        <f t="shared" si="21"/>
        <v>0.84507042253521136</v>
      </c>
      <c r="Z50" s="16">
        <f t="shared" si="22"/>
        <v>0.14084507042253522</v>
      </c>
      <c r="AA50" s="16">
        <f t="shared" si="23"/>
        <v>0</v>
      </c>
      <c r="AB50" s="16">
        <f t="shared" si="24"/>
        <v>0</v>
      </c>
      <c r="AC50" s="16">
        <f t="shared" si="25"/>
        <v>0</v>
      </c>
    </row>
    <row r="51" spans="1:29" x14ac:dyDescent="0.25">
      <c r="A51" s="16" t="s">
        <v>37</v>
      </c>
      <c r="B51" s="16" t="s">
        <v>7</v>
      </c>
      <c r="C51" s="19">
        <v>4204</v>
      </c>
      <c r="D51" s="16">
        <v>24</v>
      </c>
      <c r="E51" s="16">
        <v>18</v>
      </c>
      <c r="F51" s="16">
        <v>17</v>
      </c>
      <c r="G51" s="16">
        <v>17</v>
      </c>
      <c r="H51" s="16">
        <v>15</v>
      </c>
      <c r="I51" s="16">
        <v>13</v>
      </c>
      <c r="J51" s="16">
        <v>8</v>
      </c>
      <c r="K51" s="16">
        <v>4</v>
      </c>
      <c r="L51" s="16">
        <v>3</v>
      </c>
      <c r="M51" s="16">
        <v>2</v>
      </c>
      <c r="N51" s="16">
        <v>1</v>
      </c>
      <c r="O51" s="16">
        <v>0</v>
      </c>
      <c r="P51" s="16">
        <v>0</v>
      </c>
      <c r="Q51" s="16">
        <f t="shared" si="13"/>
        <v>5.7088487155090393</v>
      </c>
      <c r="R51" s="16">
        <f t="shared" si="14"/>
        <v>4.2816365366317788</v>
      </c>
      <c r="S51" s="16">
        <f t="shared" si="15"/>
        <v>4.0437678401522366</v>
      </c>
      <c r="T51" s="16">
        <f t="shared" si="16"/>
        <v>4.0437678401522366</v>
      </c>
      <c r="U51" s="16">
        <f t="shared" si="17"/>
        <v>3.5680304471931494</v>
      </c>
      <c r="V51" s="16">
        <f t="shared" si="18"/>
        <v>3.0922930542340628</v>
      </c>
      <c r="W51" s="16">
        <f t="shared" si="19"/>
        <v>1.9029495718363465</v>
      </c>
      <c r="X51" s="16">
        <f t="shared" si="20"/>
        <v>0.95147478591817325</v>
      </c>
      <c r="Y51" s="16">
        <f t="shared" si="21"/>
        <v>0.71360608943862991</v>
      </c>
      <c r="Z51" s="16">
        <f t="shared" si="22"/>
        <v>0.47573739295908662</v>
      </c>
      <c r="AA51" s="16">
        <f t="shared" si="23"/>
        <v>0.23786869647954331</v>
      </c>
      <c r="AB51" s="16">
        <f t="shared" si="24"/>
        <v>0</v>
      </c>
      <c r="AC51" s="16">
        <f t="shared" si="25"/>
        <v>0</v>
      </c>
    </row>
    <row r="52" spans="1:29" x14ac:dyDescent="0.25">
      <c r="A52" s="16" t="s">
        <v>38</v>
      </c>
      <c r="B52" s="16" t="s">
        <v>7</v>
      </c>
      <c r="C52" s="19">
        <v>3200</v>
      </c>
      <c r="D52" s="16">
        <v>48</v>
      </c>
      <c r="E52" s="16">
        <v>50</v>
      </c>
      <c r="F52" s="16">
        <v>57</v>
      </c>
      <c r="G52" s="16">
        <v>61</v>
      </c>
      <c r="H52" s="16">
        <v>60</v>
      </c>
      <c r="I52" s="16">
        <v>55</v>
      </c>
      <c r="J52" s="16">
        <v>51</v>
      </c>
      <c r="K52" s="16">
        <v>45</v>
      </c>
      <c r="L52" s="16">
        <v>34</v>
      </c>
      <c r="M52" s="16">
        <v>29</v>
      </c>
      <c r="N52" s="16">
        <v>21</v>
      </c>
      <c r="O52" s="16">
        <v>16</v>
      </c>
      <c r="P52" s="16">
        <v>16</v>
      </c>
      <c r="Q52" s="16">
        <f t="shared" si="13"/>
        <v>15</v>
      </c>
      <c r="R52" s="16">
        <f t="shared" si="14"/>
        <v>15.625</v>
      </c>
      <c r="S52" s="16">
        <f t="shared" si="15"/>
        <v>17.8125</v>
      </c>
      <c r="T52" s="16">
        <f t="shared" si="16"/>
        <v>19.0625</v>
      </c>
      <c r="U52" s="16">
        <f t="shared" si="17"/>
        <v>18.75</v>
      </c>
      <c r="V52" s="16">
        <f t="shared" si="18"/>
        <v>17.1875</v>
      </c>
      <c r="W52" s="16">
        <f t="shared" si="19"/>
        <v>15.9375</v>
      </c>
      <c r="X52" s="16">
        <f t="shared" si="20"/>
        <v>14.0625</v>
      </c>
      <c r="Y52" s="16">
        <f t="shared" si="21"/>
        <v>10.625</v>
      </c>
      <c r="Z52" s="16">
        <f t="shared" si="22"/>
        <v>9.0625</v>
      </c>
      <c r="AA52" s="16">
        <f t="shared" si="23"/>
        <v>6.5625</v>
      </c>
      <c r="AB52" s="16">
        <f t="shared" si="24"/>
        <v>5</v>
      </c>
      <c r="AC52" s="16">
        <f t="shared" si="25"/>
        <v>5</v>
      </c>
    </row>
    <row r="53" spans="1:29" x14ac:dyDescent="0.25">
      <c r="A53" s="16" t="s">
        <v>39</v>
      </c>
      <c r="B53" s="16" t="s">
        <v>7</v>
      </c>
      <c r="C53" s="19">
        <v>5020</v>
      </c>
      <c r="D53" s="16">
        <v>40</v>
      </c>
      <c r="E53" s="16">
        <v>46</v>
      </c>
      <c r="F53" s="16">
        <v>51</v>
      </c>
      <c r="G53" s="16">
        <v>54</v>
      </c>
      <c r="H53" s="16">
        <v>55</v>
      </c>
      <c r="I53" s="16">
        <v>50</v>
      </c>
      <c r="J53" s="16">
        <v>52</v>
      </c>
      <c r="K53" s="16">
        <v>49</v>
      </c>
      <c r="L53" s="16">
        <v>44</v>
      </c>
      <c r="M53" s="16">
        <v>41</v>
      </c>
      <c r="N53" s="16">
        <v>37</v>
      </c>
      <c r="O53" s="16">
        <v>28</v>
      </c>
      <c r="P53" s="16">
        <v>28</v>
      </c>
      <c r="Q53" s="16">
        <f t="shared" si="13"/>
        <v>7.9681274900398407</v>
      </c>
      <c r="R53" s="16">
        <f t="shared" si="14"/>
        <v>9.1633466135458157</v>
      </c>
      <c r="S53" s="16">
        <f t="shared" si="15"/>
        <v>10.159362549800797</v>
      </c>
      <c r="T53" s="16">
        <f t="shared" si="16"/>
        <v>10.756972111553786</v>
      </c>
      <c r="U53" s="16">
        <f t="shared" si="17"/>
        <v>10.956175298804782</v>
      </c>
      <c r="V53" s="16">
        <f t="shared" si="18"/>
        <v>9.9601593625498008</v>
      </c>
      <c r="W53" s="16">
        <f t="shared" si="19"/>
        <v>10.358565737051793</v>
      </c>
      <c r="X53" s="16">
        <f t="shared" si="20"/>
        <v>9.760956175298805</v>
      </c>
      <c r="Y53" s="16">
        <f t="shared" si="21"/>
        <v>8.7649402390438258</v>
      </c>
      <c r="Z53" s="16">
        <f t="shared" si="22"/>
        <v>8.1673306772908365</v>
      </c>
      <c r="AA53" s="16">
        <f t="shared" si="23"/>
        <v>7.3705179282868531</v>
      </c>
      <c r="AB53" s="16">
        <f t="shared" si="24"/>
        <v>5.5776892430278888</v>
      </c>
      <c r="AC53" s="16">
        <f t="shared" si="25"/>
        <v>5.5776892430278888</v>
      </c>
    </row>
    <row r="54" spans="1:29" x14ac:dyDescent="0.25">
      <c r="A54" s="16" t="s">
        <v>40</v>
      </c>
      <c r="B54" s="16" t="s">
        <v>7</v>
      </c>
      <c r="C54" s="19">
        <v>5500</v>
      </c>
      <c r="D54" s="16">
        <v>30</v>
      </c>
      <c r="E54" s="16">
        <v>29</v>
      </c>
      <c r="F54" s="16">
        <v>34</v>
      </c>
      <c r="G54" s="16">
        <v>41</v>
      </c>
      <c r="H54" s="16">
        <v>42</v>
      </c>
      <c r="I54" s="16">
        <v>42</v>
      </c>
      <c r="J54" s="16">
        <v>41</v>
      </c>
      <c r="K54" s="16">
        <v>32</v>
      </c>
      <c r="L54" s="16">
        <v>21</v>
      </c>
      <c r="M54" s="16">
        <v>16</v>
      </c>
      <c r="N54" s="16">
        <v>11</v>
      </c>
      <c r="O54" s="16">
        <v>7</v>
      </c>
      <c r="P54" s="16">
        <v>8</v>
      </c>
      <c r="Q54" s="16">
        <f t="shared" si="13"/>
        <v>5.454545454545455</v>
      </c>
      <c r="R54" s="16">
        <f t="shared" si="14"/>
        <v>5.2727272727272725</v>
      </c>
      <c r="S54" s="16">
        <f t="shared" si="15"/>
        <v>6.1818181818181817</v>
      </c>
      <c r="T54" s="16">
        <f t="shared" si="16"/>
        <v>7.4545454545454541</v>
      </c>
      <c r="U54" s="16">
        <f t="shared" si="17"/>
        <v>7.6363636363636367</v>
      </c>
      <c r="V54" s="16">
        <f t="shared" si="18"/>
        <v>7.6363636363636367</v>
      </c>
      <c r="W54" s="16">
        <f t="shared" si="19"/>
        <v>7.4545454545454541</v>
      </c>
      <c r="X54" s="16">
        <f t="shared" si="20"/>
        <v>5.8181818181818175</v>
      </c>
      <c r="Y54" s="16">
        <f t="shared" si="21"/>
        <v>3.8181818181818183</v>
      </c>
      <c r="Z54" s="16">
        <f t="shared" si="22"/>
        <v>2.9090909090909087</v>
      </c>
      <c r="AA54" s="16">
        <f t="shared" si="23"/>
        <v>2</v>
      </c>
      <c r="AB54" s="16">
        <f t="shared" si="24"/>
        <v>1.2727272727272727</v>
      </c>
      <c r="AC54" s="16">
        <f t="shared" si="25"/>
        <v>1.4545454545454544</v>
      </c>
    </row>
    <row r="55" spans="1:29" x14ac:dyDescent="0.25">
      <c r="A55" s="16" t="s">
        <v>41</v>
      </c>
      <c r="B55" s="16" t="s">
        <v>7</v>
      </c>
      <c r="C55" s="19">
        <v>4500</v>
      </c>
      <c r="D55" s="16">
        <v>33</v>
      </c>
      <c r="E55" s="16">
        <v>29</v>
      </c>
      <c r="F55" s="16">
        <v>33</v>
      </c>
      <c r="G55" s="16">
        <v>36</v>
      </c>
      <c r="H55" s="16">
        <v>34</v>
      </c>
      <c r="I55" s="16">
        <v>29</v>
      </c>
      <c r="J55" s="16">
        <v>23</v>
      </c>
      <c r="K55" s="16">
        <v>24</v>
      </c>
      <c r="L55" s="16">
        <v>17</v>
      </c>
      <c r="M55" s="16">
        <v>11</v>
      </c>
      <c r="N55" s="16">
        <v>5</v>
      </c>
      <c r="O55" s="16">
        <v>6</v>
      </c>
      <c r="P55" s="16">
        <v>7</v>
      </c>
      <c r="Q55" s="16">
        <f t="shared" si="13"/>
        <v>7.333333333333333</v>
      </c>
      <c r="R55" s="16">
        <f t="shared" si="14"/>
        <v>6.4444444444444446</v>
      </c>
      <c r="S55" s="16">
        <f t="shared" si="15"/>
        <v>7.333333333333333</v>
      </c>
      <c r="T55" s="16">
        <f t="shared" si="16"/>
        <v>8</v>
      </c>
      <c r="U55" s="16">
        <f t="shared" si="17"/>
        <v>7.5555555555555562</v>
      </c>
      <c r="V55" s="16">
        <f t="shared" si="18"/>
        <v>6.4444444444444446</v>
      </c>
      <c r="W55" s="16">
        <f t="shared" si="19"/>
        <v>5.1111111111111116</v>
      </c>
      <c r="X55" s="16">
        <f t="shared" si="20"/>
        <v>5.333333333333333</v>
      </c>
      <c r="Y55" s="16">
        <f t="shared" si="21"/>
        <v>3.7777777777777781</v>
      </c>
      <c r="Z55" s="16">
        <f t="shared" si="22"/>
        <v>2.4444444444444442</v>
      </c>
      <c r="AA55" s="16">
        <f t="shared" si="23"/>
        <v>1.1111111111111112</v>
      </c>
      <c r="AB55" s="16">
        <f t="shared" si="24"/>
        <v>1.3333333333333333</v>
      </c>
      <c r="AC55" s="16">
        <f t="shared" si="25"/>
        <v>1.5555555555555554</v>
      </c>
    </row>
    <row r="56" spans="1:29" x14ac:dyDescent="0.25">
      <c r="A56" s="16" t="s">
        <v>42</v>
      </c>
      <c r="B56" s="16" t="s">
        <v>7</v>
      </c>
      <c r="C56" s="19">
        <v>5600</v>
      </c>
      <c r="D56" s="16">
        <v>45</v>
      </c>
      <c r="E56" s="16">
        <v>47</v>
      </c>
      <c r="F56" s="16">
        <v>54</v>
      </c>
      <c r="G56" s="16">
        <v>58</v>
      </c>
      <c r="H56" s="16">
        <v>57</v>
      </c>
      <c r="I56" s="16">
        <v>52</v>
      </c>
      <c r="J56" s="16">
        <v>48</v>
      </c>
      <c r="K56" s="16">
        <v>42</v>
      </c>
      <c r="L56" s="16">
        <v>31</v>
      </c>
      <c r="M56" s="16">
        <v>26</v>
      </c>
      <c r="N56" s="16">
        <v>20</v>
      </c>
      <c r="O56" s="16">
        <v>15</v>
      </c>
      <c r="P56" s="16">
        <v>15</v>
      </c>
      <c r="Q56" s="16">
        <f t="shared" si="13"/>
        <v>8.0357142857142847</v>
      </c>
      <c r="R56" s="16">
        <f t="shared" si="14"/>
        <v>8.3928571428571423</v>
      </c>
      <c r="S56" s="16">
        <f t="shared" si="15"/>
        <v>9.6428571428571423</v>
      </c>
      <c r="T56" s="16">
        <f t="shared" si="16"/>
        <v>10.357142857142856</v>
      </c>
      <c r="U56" s="16">
        <f t="shared" si="17"/>
        <v>10.178571428571429</v>
      </c>
      <c r="V56" s="16">
        <f t="shared" si="18"/>
        <v>9.2857142857142865</v>
      </c>
      <c r="W56" s="16">
        <f t="shared" si="19"/>
        <v>8.5714285714285712</v>
      </c>
      <c r="X56" s="16">
        <f t="shared" si="20"/>
        <v>7.5</v>
      </c>
      <c r="Y56" s="16">
        <f t="shared" si="21"/>
        <v>5.5357142857142856</v>
      </c>
      <c r="Z56" s="16">
        <f t="shared" si="22"/>
        <v>4.6428571428571432</v>
      </c>
      <c r="AA56" s="16">
        <f t="shared" si="23"/>
        <v>3.5714285714285712</v>
      </c>
      <c r="AB56" s="16">
        <f t="shared" si="24"/>
        <v>2.6785714285714284</v>
      </c>
      <c r="AC56" s="16">
        <f t="shared" si="25"/>
        <v>2.6785714285714284</v>
      </c>
    </row>
    <row r="57" spans="1:29" x14ac:dyDescent="0.25">
      <c r="A57" s="16" t="s">
        <v>43</v>
      </c>
      <c r="B57" s="16" t="s">
        <v>7</v>
      </c>
      <c r="C57" s="19">
        <v>5600</v>
      </c>
      <c r="D57" s="16">
        <v>46</v>
      </c>
      <c r="E57" s="16">
        <v>52</v>
      </c>
      <c r="F57" s="16">
        <v>57</v>
      </c>
      <c r="G57" s="16">
        <v>60</v>
      </c>
      <c r="H57" s="16">
        <v>57</v>
      </c>
      <c r="I57" s="16">
        <v>52</v>
      </c>
      <c r="J57" s="16">
        <v>54</v>
      </c>
      <c r="K57" s="16">
        <v>51</v>
      </c>
      <c r="L57" s="16">
        <v>44</v>
      </c>
      <c r="M57" s="16">
        <v>41</v>
      </c>
      <c r="N57" s="16">
        <v>37</v>
      </c>
      <c r="O57" s="16">
        <v>28</v>
      </c>
      <c r="P57" s="16">
        <v>28</v>
      </c>
      <c r="Q57" s="16">
        <f t="shared" si="13"/>
        <v>8.2142857142857135</v>
      </c>
      <c r="R57" s="16">
        <f t="shared" si="14"/>
        <v>9.2857142857142865</v>
      </c>
      <c r="S57" s="16">
        <f t="shared" si="15"/>
        <v>10.178571428571429</v>
      </c>
      <c r="T57" s="16">
        <f t="shared" si="16"/>
        <v>10.714285714285714</v>
      </c>
      <c r="U57" s="16">
        <f t="shared" si="17"/>
        <v>10.178571428571429</v>
      </c>
      <c r="V57" s="16">
        <f t="shared" si="18"/>
        <v>9.2857142857142865</v>
      </c>
      <c r="W57" s="16">
        <f t="shared" si="19"/>
        <v>9.6428571428571423</v>
      </c>
      <c r="X57" s="16">
        <f t="shared" si="20"/>
        <v>9.1071428571428577</v>
      </c>
      <c r="Y57" s="16">
        <f t="shared" si="21"/>
        <v>7.8571428571428577</v>
      </c>
      <c r="Z57" s="16">
        <f t="shared" si="22"/>
        <v>7.3214285714285712</v>
      </c>
      <c r="AA57" s="16">
        <f t="shared" si="23"/>
        <v>6.6071428571428577</v>
      </c>
      <c r="AB57" s="16">
        <f t="shared" si="24"/>
        <v>5</v>
      </c>
      <c r="AC57" s="16">
        <f t="shared" si="25"/>
        <v>5</v>
      </c>
    </row>
    <row r="58" spans="1:29" x14ac:dyDescent="0.25">
      <c r="A58" s="16" t="s">
        <v>44</v>
      </c>
      <c r="B58" s="16" t="s">
        <v>7</v>
      </c>
      <c r="C58" s="19">
        <v>6100</v>
      </c>
      <c r="D58" s="16">
        <v>60</v>
      </c>
      <c r="E58" s="16">
        <v>69</v>
      </c>
      <c r="F58" s="16">
        <v>74</v>
      </c>
      <c r="G58" s="16">
        <v>81</v>
      </c>
      <c r="H58" s="16">
        <v>82</v>
      </c>
      <c r="I58" s="16">
        <v>82</v>
      </c>
      <c r="J58" s="16">
        <v>79</v>
      </c>
      <c r="K58" s="16">
        <v>70</v>
      </c>
      <c r="L58" s="16">
        <v>59</v>
      </c>
      <c r="M58" s="16">
        <v>44</v>
      </c>
      <c r="N58" s="16">
        <v>29</v>
      </c>
      <c r="O58" s="16">
        <v>24</v>
      </c>
      <c r="P58" s="16">
        <v>24</v>
      </c>
      <c r="Q58" s="16">
        <f t="shared" si="13"/>
        <v>9.8360655737704921</v>
      </c>
      <c r="R58" s="16">
        <f t="shared" si="14"/>
        <v>11.311475409836065</v>
      </c>
      <c r="S58" s="16">
        <f t="shared" si="15"/>
        <v>12.131147540983607</v>
      </c>
      <c r="T58" s="16">
        <f t="shared" si="16"/>
        <v>13.278688524590164</v>
      </c>
      <c r="U58" s="16">
        <f t="shared" si="17"/>
        <v>13.442622950819672</v>
      </c>
      <c r="V58" s="16">
        <f t="shared" si="18"/>
        <v>13.442622950819672</v>
      </c>
      <c r="W58" s="16">
        <f t="shared" si="19"/>
        <v>12.950819672131148</v>
      </c>
      <c r="X58" s="16">
        <f t="shared" si="20"/>
        <v>11.475409836065573</v>
      </c>
      <c r="Y58" s="16">
        <f t="shared" si="21"/>
        <v>9.6721311475409841</v>
      </c>
      <c r="Z58" s="16">
        <f t="shared" si="22"/>
        <v>7.2131147540983607</v>
      </c>
      <c r="AA58" s="16">
        <f t="shared" si="23"/>
        <v>4.7540983606557381</v>
      </c>
      <c r="AB58" s="16">
        <f t="shared" si="24"/>
        <v>3.9344262295081966</v>
      </c>
      <c r="AC58" s="16">
        <f t="shared" si="25"/>
        <v>3.9344262295081966</v>
      </c>
    </row>
    <row r="59" spans="1:29" x14ac:dyDescent="0.25">
      <c r="A59" s="16" t="s">
        <v>45</v>
      </c>
      <c r="B59" s="16" t="s">
        <v>7</v>
      </c>
      <c r="C59" s="19">
        <v>6750</v>
      </c>
      <c r="D59" s="16">
        <v>55</v>
      </c>
      <c r="E59" s="16">
        <v>61</v>
      </c>
      <c r="F59" s="16">
        <v>65</v>
      </c>
      <c r="G59" s="16">
        <v>58</v>
      </c>
      <c r="H59" s="16">
        <v>52</v>
      </c>
      <c r="I59" s="16">
        <v>47</v>
      </c>
      <c r="J59" s="16">
        <v>41</v>
      </c>
      <c r="K59" s="16">
        <v>42</v>
      </c>
      <c r="L59" s="16">
        <v>25</v>
      </c>
      <c r="M59" s="16">
        <v>19</v>
      </c>
      <c r="N59" s="16">
        <v>13</v>
      </c>
      <c r="O59" s="16">
        <v>14</v>
      </c>
      <c r="P59" s="16">
        <v>14</v>
      </c>
      <c r="Q59" s="16">
        <f t="shared" si="13"/>
        <v>8.148148148148147</v>
      </c>
      <c r="R59" s="16">
        <f t="shared" si="14"/>
        <v>9.0370370370370381</v>
      </c>
      <c r="S59" s="16">
        <f t="shared" si="15"/>
        <v>9.6296296296296298</v>
      </c>
      <c r="T59" s="16">
        <f t="shared" si="16"/>
        <v>8.5925925925925934</v>
      </c>
      <c r="U59" s="16">
        <f t="shared" si="17"/>
        <v>7.7037037037037042</v>
      </c>
      <c r="V59" s="16">
        <f t="shared" si="18"/>
        <v>6.9629629629629637</v>
      </c>
      <c r="W59" s="16">
        <f t="shared" si="19"/>
        <v>6.0740740740740735</v>
      </c>
      <c r="X59" s="16">
        <f t="shared" si="20"/>
        <v>6.2222222222222214</v>
      </c>
      <c r="Y59" s="16">
        <f t="shared" si="21"/>
        <v>3.7037037037037037</v>
      </c>
      <c r="Z59" s="16">
        <f t="shared" si="22"/>
        <v>2.8148148148148149</v>
      </c>
      <c r="AA59" s="16">
        <f t="shared" si="23"/>
        <v>1.925925925925926</v>
      </c>
      <c r="AB59" s="16">
        <f t="shared" si="24"/>
        <v>2.074074074074074</v>
      </c>
      <c r="AC59" s="16">
        <f t="shared" si="25"/>
        <v>2.074074074074074</v>
      </c>
    </row>
    <row r="60" spans="1:29" x14ac:dyDescent="0.25">
      <c r="A60" s="16" t="s">
        <v>46</v>
      </c>
      <c r="B60" s="16" t="s">
        <v>7</v>
      </c>
      <c r="C60" s="19">
        <v>7504</v>
      </c>
      <c r="D60" s="16">
        <v>50</v>
      </c>
      <c r="E60" s="16">
        <v>56</v>
      </c>
      <c r="F60" s="16">
        <v>61</v>
      </c>
      <c r="G60" s="16">
        <v>64</v>
      </c>
      <c r="H60" s="16">
        <v>61</v>
      </c>
      <c r="I60" s="16">
        <v>56</v>
      </c>
      <c r="J60" s="16">
        <v>58</v>
      </c>
      <c r="K60" s="16">
        <v>55</v>
      </c>
      <c r="L60" s="16">
        <v>48</v>
      </c>
      <c r="M60" s="16">
        <v>45</v>
      </c>
      <c r="N60" s="16">
        <v>41</v>
      </c>
      <c r="O60" s="16">
        <v>32</v>
      </c>
      <c r="P60" s="16">
        <v>32</v>
      </c>
      <c r="Q60" s="16">
        <f t="shared" si="13"/>
        <v>6.6631130063965882</v>
      </c>
      <c r="R60" s="16">
        <f t="shared" si="14"/>
        <v>7.4626865671641793</v>
      </c>
      <c r="S60" s="16">
        <f t="shared" si="15"/>
        <v>8.1289978678038377</v>
      </c>
      <c r="T60" s="16">
        <f t="shared" si="16"/>
        <v>8.5287846481876333</v>
      </c>
      <c r="U60" s="16">
        <f t="shared" si="17"/>
        <v>8.1289978678038377</v>
      </c>
      <c r="V60" s="16">
        <f t="shared" si="18"/>
        <v>7.4626865671641793</v>
      </c>
      <c r="W60" s="16">
        <f t="shared" si="19"/>
        <v>7.7292110874200421</v>
      </c>
      <c r="X60" s="16">
        <f t="shared" si="20"/>
        <v>7.3294243070362475</v>
      </c>
      <c r="Y60" s="16">
        <f t="shared" si="21"/>
        <v>6.3965884861407245</v>
      </c>
      <c r="Z60" s="16">
        <f t="shared" si="22"/>
        <v>5.9968017057569298</v>
      </c>
      <c r="AA60" s="16">
        <f t="shared" si="23"/>
        <v>5.4637526652452024</v>
      </c>
      <c r="AB60" s="16">
        <f t="shared" si="24"/>
        <v>4.2643923240938166</v>
      </c>
      <c r="AC60" s="16">
        <f t="shared" si="25"/>
        <v>4.2643923240938166</v>
      </c>
    </row>
    <row r="61" spans="1:29" x14ac:dyDescent="0.25">
      <c r="A61" s="16" t="s">
        <v>47</v>
      </c>
      <c r="B61" s="16" t="s">
        <v>7</v>
      </c>
      <c r="C61" s="19">
        <v>4932</v>
      </c>
      <c r="D61" s="16">
        <v>63</v>
      </c>
      <c r="E61" s="16">
        <v>72</v>
      </c>
      <c r="F61" s="16">
        <v>77</v>
      </c>
      <c r="G61" s="16">
        <v>84</v>
      </c>
      <c r="H61" s="16">
        <v>85</v>
      </c>
      <c r="I61" s="16">
        <v>85</v>
      </c>
      <c r="J61" s="16">
        <v>82</v>
      </c>
      <c r="K61" s="16">
        <v>73</v>
      </c>
      <c r="L61" s="16">
        <v>62</v>
      </c>
      <c r="M61" s="16">
        <v>47</v>
      </c>
      <c r="N61" s="16">
        <v>32</v>
      </c>
      <c r="O61" s="16">
        <v>27</v>
      </c>
      <c r="P61" s="16">
        <v>27</v>
      </c>
      <c r="Q61" s="16">
        <f t="shared" si="13"/>
        <v>12.773722627737227</v>
      </c>
      <c r="R61" s="16">
        <f t="shared" si="14"/>
        <v>14.598540145985401</v>
      </c>
      <c r="S61" s="16">
        <f t="shared" si="15"/>
        <v>15.612327656123275</v>
      </c>
      <c r="T61" s="16">
        <f t="shared" si="16"/>
        <v>17.031630170316301</v>
      </c>
      <c r="U61" s="16">
        <f t="shared" si="17"/>
        <v>17.234387672343875</v>
      </c>
      <c r="V61" s="16">
        <f t="shared" si="18"/>
        <v>17.234387672343875</v>
      </c>
      <c r="W61" s="16">
        <f t="shared" si="19"/>
        <v>16.626115166261151</v>
      </c>
      <c r="X61" s="16">
        <f t="shared" si="20"/>
        <v>14.801297648012977</v>
      </c>
      <c r="Y61" s="16">
        <f t="shared" si="21"/>
        <v>12.570965125709652</v>
      </c>
      <c r="Z61" s="16">
        <f t="shared" si="22"/>
        <v>9.5296025952960264</v>
      </c>
      <c r="AA61" s="16">
        <f t="shared" si="23"/>
        <v>6.488240064882401</v>
      </c>
      <c r="AB61" s="16">
        <f t="shared" si="24"/>
        <v>5.4744525547445262</v>
      </c>
      <c r="AC61" s="16">
        <f t="shared" si="25"/>
        <v>5.4744525547445262</v>
      </c>
    </row>
    <row r="62" spans="1:29" x14ac:dyDescent="0.25">
      <c r="P62" s="59" t="s">
        <v>97</v>
      </c>
      <c r="Q62" s="57">
        <f>AVERAGEIF(B2:B61,"=N",Q2:Q61)</f>
        <v>8.8205902296583751</v>
      </c>
      <c r="R62" s="57">
        <f>AVERAGEIF(B2:B61,"=N",R2:R61)</f>
        <v>9.934042247332318</v>
      </c>
      <c r="S62" s="57">
        <f>AVERAGEIF(B2:B61,"=N",S2:S61)</f>
        <v>11.514150700350427</v>
      </c>
      <c r="T62" s="57">
        <f>AVERAGEIF(B2:B61,"=N",T2:T61)</f>
        <v>12.698602632405551</v>
      </c>
      <c r="U62" s="57">
        <f>AVERAGEIF(B2:B61,"=N",U2:U61)</f>
        <v>13.391644894957357</v>
      </c>
      <c r="V62" s="57">
        <f>AVERAGEIF(B2:B61,"=N",V2:V61)</f>
        <v>14.068306559583075</v>
      </c>
      <c r="W62" s="57">
        <f>AVERAGEIF(B2:B61,"=N",W2:W61)</f>
        <v>14.523827369922127</v>
      </c>
      <c r="X62" s="57">
        <f>AVERAGEIF(B2:B61,"=N",X2:X61)</f>
        <v>15.037067136653622</v>
      </c>
      <c r="Y62" s="57">
        <f>AVERAGEIF(B2:B61,"=N",Y2:Y61)</f>
        <v>15.20162203734608</v>
      </c>
      <c r="Z62" s="57">
        <f>AVERAGEIF(B2:B61,"=N",Z2:Z61)</f>
        <v>15.20162203734608</v>
      </c>
      <c r="AA62" s="57">
        <f>AVERAGEIF(B2:B61,"=N",AA2:AA61)</f>
        <v>15.402152105862715</v>
      </c>
      <c r="AB62" s="57">
        <f>AVERAGEIF(B2:B61,"=N",AB2:AB61)</f>
        <v>15.451289592437877</v>
      </c>
      <c r="AC62" s="57">
        <f>AVERAGEIF(B2:B61,"=N",AC2:AC61)</f>
        <v>15.536354729600211</v>
      </c>
    </row>
    <row r="63" spans="1:29" x14ac:dyDescent="0.25">
      <c r="P63" s="59" t="s">
        <v>98</v>
      </c>
      <c r="Q63" s="18">
        <f>AVERAGEIF(B3:B62,"=C",Q3:Q62)</f>
        <v>8.8205902296583751</v>
      </c>
      <c r="R63" s="18">
        <f>AVERAGEIF(B3:B62,"=C",R3:R62)</f>
        <v>8.6018040205062611</v>
      </c>
      <c r="S63" s="18">
        <f>AVERAGEIF(B3:B62,"=C",S3:S62)</f>
        <v>8.6861663269056439</v>
      </c>
      <c r="T63" s="18">
        <f>AVERAGEIF(B3:B62,"=C",T3:T62)</f>
        <v>8.5851844447199461</v>
      </c>
      <c r="U63" s="18">
        <f>AVERAGEIF(B3:B62,"=C",U3:U62)</f>
        <v>8.0567062409946057</v>
      </c>
      <c r="V63" s="18">
        <f>AVERAGEIF(B3:B62,"=C",V3:V62)</f>
        <v>7.5967525116583827</v>
      </c>
      <c r="W63" s="18">
        <f>AVERAGEIF(B3:B62,"=C",W3:W62)</f>
        <v>6.8868996284183419</v>
      </c>
      <c r="X63" s="18">
        <f>AVERAGEIF(B3:B62,"=C",X3:X62)</f>
        <v>5.7043453116234426</v>
      </c>
      <c r="Y63" s="18">
        <f>AVERAGEIF(B3:B62,"=C",Y3:Y62)</f>
        <v>3.9222143526526239</v>
      </c>
      <c r="Z63" s="18">
        <f>AVERAGEIF(B3:B62,"=C",Z3:Z62)</f>
        <v>2.8627924769764705</v>
      </c>
      <c r="AA63" s="18">
        <f>AVERAGEIF(B3:B62,"=C",AA3:AA62)</f>
        <v>2.0108886433057021</v>
      </c>
      <c r="AB63" s="18">
        <f>AVERAGEIF(B3:B62,"=C",AB3:AB62)</f>
        <v>1.4205901118667519</v>
      </c>
      <c r="AC63" s="18">
        <f>AVERAGEIF(B3:B62,"=C",AC3:AC62)</f>
        <v>1.4594412670972174</v>
      </c>
    </row>
    <row r="64" spans="1:29" x14ac:dyDescent="0.25">
      <c r="P64" s="59" t="s">
        <v>118</v>
      </c>
      <c r="Q64" s="56">
        <v>8.148148148148147</v>
      </c>
      <c r="R64" s="56">
        <v>10.222222222222223</v>
      </c>
      <c r="S64" s="56">
        <v>12</v>
      </c>
      <c r="T64" s="56">
        <v>13.333333333333334</v>
      </c>
      <c r="U64" s="56">
        <v>13.777777777777779</v>
      </c>
      <c r="V64" s="56">
        <v>14.074074074074074</v>
      </c>
      <c r="W64" s="56">
        <v>14.222222222222223</v>
      </c>
      <c r="X64" s="56">
        <v>14.666666666666666</v>
      </c>
      <c r="Y64" s="56">
        <v>14.666666666666666</v>
      </c>
      <c r="Z64" s="56">
        <v>14.666666666666666</v>
      </c>
      <c r="AA64" s="56">
        <v>14.814814814814815</v>
      </c>
      <c r="AB64" s="56">
        <v>15.111111111111112</v>
      </c>
      <c r="AC64" s="56">
        <v>15.111111111111112</v>
      </c>
    </row>
    <row r="65" spans="1:29" x14ac:dyDescent="0.25">
      <c r="P65" s="59" t="s">
        <v>119</v>
      </c>
      <c r="Q65" s="58">
        <v>8.148148148148147</v>
      </c>
      <c r="R65" s="58">
        <v>9.0370370370370381</v>
      </c>
      <c r="S65" s="58">
        <v>9.6296296296296298</v>
      </c>
      <c r="T65" s="58">
        <v>8.5925925925925934</v>
      </c>
      <c r="U65" s="58">
        <v>7.7037037037037042</v>
      </c>
      <c r="V65" s="58">
        <v>6.9629629629629637</v>
      </c>
      <c r="W65" s="58">
        <v>6.0740740740740735</v>
      </c>
      <c r="X65" s="58">
        <v>6.2222222222222214</v>
      </c>
      <c r="Y65" s="58">
        <v>3.7037037037037037</v>
      </c>
      <c r="Z65" s="58">
        <v>2.8148148148148149</v>
      </c>
      <c r="AA65" s="58">
        <v>1.925925925925926</v>
      </c>
      <c r="AB65" s="58">
        <v>2.074074074074074</v>
      </c>
      <c r="AC65" s="58">
        <v>2.074074074074074</v>
      </c>
    </row>
    <row r="67" spans="1:29" ht="13.8" thickBot="1" x14ac:dyDescent="0.3"/>
    <row r="68" spans="1:29" ht="16.2" thickBot="1" x14ac:dyDescent="0.4">
      <c r="A68" s="81" t="s">
        <v>81</v>
      </c>
      <c r="B68" s="82" t="s">
        <v>153</v>
      </c>
      <c r="C68" s="83" t="s">
        <v>154</v>
      </c>
      <c r="D68" s="54" t="s">
        <v>136</v>
      </c>
      <c r="E68" s="84" t="s">
        <v>137</v>
      </c>
    </row>
    <row r="69" spans="1:29" ht="13.8" thickBot="1" x14ac:dyDescent="0.3">
      <c r="A69" s="15">
        <v>0</v>
      </c>
      <c r="B69" s="15">
        <v>8.8205902296583751</v>
      </c>
      <c r="C69" s="17">
        <v>8.8205902296583751</v>
      </c>
      <c r="D69" s="67">
        <v>8.148148148148147</v>
      </c>
      <c r="E69" s="68">
        <v>8.148148148148147</v>
      </c>
    </row>
    <row r="70" spans="1:29" ht="13.8" thickBot="1" x14ac:dyDescent="0.3">
      <c r="A70" s="15">
        <v>1</v>
      </c>
      <c r="B70" s="15">
        <v>9.934042247332318</v>
      </c>
      <c r="C70" s="17">
        <v>8.6018040205062611</v>
      </c>
      <c r="D70" s="67">
        <v>10.222222222222223</v>
      </c>
      <c r="E70" s="68">
        <v>9.0370370370370381</v>
      </c>
    </row>
    <row r="71" spans="1:29" ht="13.8" thickBot="1" x14ac:dyDescent="0.3">
      <c r="A71" s="15">
        <v>2</v>
      </c>
      <c r="B71" s="15">
        <v>11.514150700350427</v>
      </c>
      <c r="C71" s="17">
        <v>8.6861663269056439</v>
      </c>
      <c r="D71" s="67">
        <v>12</v>
      </c>
      <c r="E71" s="68">
        <v>9.6296296296296298</v>
      </c>
    </row>
    <row r="72" spans="1:29" ht="13.8" thickBot="1" x14ac:dyDescent="0.3">
      <c r="A72" s="15">
        <v>3</v>
      </c>
      <c r="B72" s="15">
        <v>12.698602632405551</v>
      </c>
      <c r="C72" s="17">
        <v>8.5851844447199461</v>
      </c>
      <c r="D72" s="67">
        <v>13.333333333333334</v>
      </c>
      <c r="E72" s="68">
        <v>8.5925925925925934</v>
      </c>
    </row>
    <row r="73" spans="1:29" ht="13.8" thickBot="1" x14ac:dyDescent="0.3">
      <c r="A73" s="15">
        <v>4</v>
      </c>
      <c r="B73" s="15">
        <v>13.391644894957357</v>
      </c>
      <c r="C73" s="17">
        <v>8.0567062409946057</v>
      </c>
      <c r="D73" s="67">
        <v>13.777777777777779</v>
      </c>
      <c r="E73" s="68">
        <v>7.7037037037037042</v>
      </c>
    </row>
    <row r="74" spans="1:29" ht="13.8" thickBot="1" x14ac:dyDescent="0.3">
      <c r="A74" s="15">
        <v>5</v>
      </c>
      <c r="B74" s="15">
        <v>14.068306559583075</v>
      </c>
      <c r="C74" s="17">
        <v>7.5967525116583827</v>
      </c>
      <c r="D74" s="67">
        <v>14.074074074074074</v>
      </c>
      <c r="E74" s="68">
        <v>6.9629629629629637</v>
      </c>
    </row>
    <row r="75" spans="1:29" ht="13.8" thickBot="1" x14ac:dyDescent="0.3">
      <c r="A75" s="15">
        <v>6</v>
      </c>
      <c r="B75" s="15">
        <v>14.523827369922127</v>
      </c>
      <c r="C75" s="17">
        <v>6.8868996284183419</v>
      </c>
      <c r="D75" s="67">
        <v>14.222222222222223</v>
      </c>
      <c r="E75" s="68">
        <v>6.0740740740740735</v>
      </c>
    </row>
    <row r="76" spans="1:29" ht="13.8" thickBot="1" x14ac:dyDescent="0.3">
      <c r="A76" s="15">
        <v>7</v>
      </c>
      <c r="B76" s="15">
        <v>15.037067136653622</v>
      </c>
      <c r="C76" s="17">
        <v>5.7043453116234426</v>
      </c>
      <c r="D76" s="67">
        <v>14.666666666666666</v>
      </c>
      <c r="E76" s="68">
        <v>6.2222222222222214</v>
      </c>
    </row>
    <row r="77" spans="1:29" ht="13.8" thickBot="1" x14ac:dyDescent="0.3">
      <c r="A77" s="15">
        <v>8</v>
      </c>
      <c r="B77" s="15">
        <v>15.20162203734608</v>
      </c>
      <c r="C77" s="17">
        <v>3.9222143526526239</v>
      </c>
      <c r="D77" s="67">
        <v>14.666666666666666</v>
      </c>
      <c r="E77" s="68">
        <v>3.7037037037037037</v>
      </c>
    </row>
    <row r="78" spans="1:29" ht="13.8" thickBot="1" x14ac:dyDescent="0.3">
      <c r="A78" s="15">
        <v>9</v>
      </c>
      <c r="B78" s="15">
        <v>15.20162203734608</v>
      </c>
      <c r="C78" s="17">
        <v>2.8627924769764705</v>
      </c>
      <c r="D78" s="67">
        <v>14.666666666666666</v>
      </c>
      <c r="E78" s="68">
        <v>2.8148148148148149</v>
      </c>
    </row>
    <row r="79" spans="1:29" ht="13.8" thickBot="1" x14ac:dyDescent="0.3">
      <c r="A79" s="15">
        <v>10</v>
      </c>
      <c r="B79" s="15">
        <v>15.402152105862715</v>
      </c>
      <c r="C79" s="17">
        <v>2.0108886433057021</v>
      </c>
      <c r="D79" s="67">
        <v>14.814814814814815</v>
      </c>
      <c r="E79" s="68">
        <v>1.925925925925926</v>
      </c>
    </row>
    <row r="80" spans="1:29" ht="13.8" thickBot="1" x14ac:dyDescent="0.3">
      <c r="A80" s="15">
        <v>11</v>
      </c>
      <c r="B80" s="15">
        <v>15.451289592437877</v>
      </c>
      <c r="C80" s="17">
        <v>1.4205901118667519</v>
      </c>
      <c r="D80" s="67">
        <v>15.111111111111112</v>
      </c>
      <c r="E80" s="68">
        <v>2.074074074074074</v>
      </c>
    </row>
    <row r="81" spans="1:5" ht="13.8" thickBot="1" x14ac:dyDescent="0.3">
      <c r="A81" s="15">
        <v>12</v>
      </c>
      <c r="B81" s="15">
        <v>15.536354729600211</v>
      </c>
      <c r="C81" s="17">
        <v>1.4594412670972174</v>
      </c>
      <c r="D81" s="67">
        <v>15.111111111111112</v>
      </c>
      <c r="E81" s="68">
        <v>2.074074074074074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4E03-4608-3247-BF0F-119209645E36}">
  <dimension ref="A1:AD104"/>
  <sheetViews>
    <sheetView topLeftCell="A102" zoomScale="88" zoomScaleNormal="88" workbookViewId="0">
      <selection activeCell="E109" sqref="E109"/>
    </sheetView>
  </sheetViews>
  <sheetFormatPr defaultColWidth="8.77734375" defaultRowHeight="13.2" x14ac:dyDescent="0.25"/>
  <cols>
    <col min="1" max="1" width="8.77734375" style="29"/>
    <col min="2" max="2" width="28.77734375" style="29" customWidth="1"/>
    <col min="3" max="3" width="42.44140625" style="29" customWidth="1"/>
    <col min="4" max="4" width="53.33203125" style="29" customWidth="1"/>
    <col min="5" max="5" width="59" style="29" customWidth="1"/>
    <col min="6" max="6" width="15.109375" style="29" customWidth="1"/>
    <col min="7" max="7" width="23.6640625" style="29" customWidth="1"/>
    <col min="8" max="8" width="24.109375" style="29" customWidth="1"/>
    <col min="9" max="16" width="8.77734375" style="29"/>
    <col min="17" max="17" width="18.77734375" style="29" customWidth="1"/>
    <col min="18" max="18" width="14.33203125" style="29" customWidth="1"/>
    <col min="19" max="19" width="16.44140625" style="29" customWidth="1"/>
    <col min="20" max="20" width="16.6640625" style="29" customWidth="1"/>
    <col min="21" max="21" width="14.77734375" style="29" customWidth="1"/>
    <col min="22" max="22" width="13.44140625" style="29" customWidth="1"/>
    <col min="23" max="23" width="18.77734375" style="29" customWidth="1"/>
    <col min="24" max="24" width="15.109375" style="29" customWidth="1"/>
    <col min="25" max="25" width="12.77734375" style="29" customWidth="1"/>
    <col min="26" max="26" width="12.44140625" style="29" customWidth="1"/>
    <col min="27" max="27" width="15.44140625" style="29" customWidth="1"/>
    <col min="28" max="28" width="12.77734375" style="29" customWidth="1"/>
    <col min="29" max="29" width="12" style="29" customWidth="1"/>
    <col min="30" max="30" width="14.6640625" style="29" customWidth="1"/>
    <col min="31" max="16384" width="8.77734375" style="29"/>
  </cols>
  <sheetData>
    <row r="1" spans="1:30" s="140" customFormat="1" x14ac:dyDescent="0.25">
      <c r="A1" s="138" t="s">
        <v>2</v>
      </c>
      <c r="B1" s="139" t="s">
        <v>49</v>
      </c>
      <c r="C1" s="138" t="s">
        <v>80</v>
      </c>
      <c r="D1" s="138" t="s">
        <v>3</v>
      </c>
      <c r="E1" s="138" t="s">
        <v>54</v>
      </c>
      <c r="F1" s="138" t="s">
        <v>55</v>
      </c>
      <c r="G1" s="138" t="s">
        <v>56</v>
      </c>
      <c r="H1" s="138" t="s">
        <v>57</v>
      </c>
      <c r="I1" s="138" t="s">
        <v>58</v>
      </c>
      <c r="J1" s="138" t="s">
        <v>59</v>
      </c>
      <c r="K1" s="138" t="s">
        <v>60</v>
      </c>
      <c r="L1" s="138" t="s">
        <v>61</v>
      </c>
      <c r="M1" s="138" t="s">
        <v>62</v>
      </c>
      <c r="N1" s="138" t="s">
        <v>63</v>
      </c>
      <c r="O1" s="138" t="s">
        <v>64</v>
      </c>
      <c r="P1" s="138" t="s">
        <v>65</v>
      </c>
      <c r="Q1" s="138" t="s">
        <v>66</v>
      </c>
      <c r="R1" s="138" t="s">
        <v>67</v>
      </c>
      <c r="S1" s="138" t="s">
        <v>68</v>
      </c>
      <c r="T1" s="138" t="s">
        <v>69</v>
      </c>
      <c r="U1" s="138" t="s">
        <v>70</v>
      </c>
      <c r="V1" s="138" t="s">
        <v>71</v>
      </c>
      <c r="W1" s="138" t="s">
        <v>72</v>
      </c>
      <c r="X1" s="138" t="s">
        <v>73</v>
      </c>
      <c r="Y1" s="138" t="s">
        <v>74</v>
      </c>
      <c r="Z1" s="138" t="s">
        <v>75</v>
      </c>
      <c r="AA1" s="138" t="s">
        <v>76</v>
      </c>
      <c r="AB1" s="138" t="s">
        <v>77</v>
      </c>
      <c r="AC1" s="138" t="s">
        <v>78</v>
      </c>
      <c r="AD1" s="138" t="s">
        <v>79</v>
      </c>
    </row>
    <row r="2" spans="1:30" x14ac:dyDescent="0.25">
      <c r="A2" s="32" t="s">
        <v>5</v>
      </c>
      <c r="B2" s="35" t="s">
        <v>53</v>
      </c>
      <c r="C2" s="32" t="s">
        <v>6</v>
      </c>
      <c r="D2" s="34">
        <v>2400</v>
      </c>
      <c r="E2" s="36">
        <v>45</v>
      </c>
      <c r="F2" s="36">
        <v>48</v>
      </c>
      <c r="G2" s="36">
        <v>53</v>
      </c>
      <c r="H2" s="36">
        <v>56</v>
      </c>
      <c r="I2" s="36">
        <v>58</v>
      </c>
      <c r="J2" s="36">
        <v>64</v>
      </c>
      <c r="K2" s="36">
        <v>67</v>
      </c>
      <c r="L2" s="36">
        <v>69</v>
      </c>
      <c r="M2" s="36">
        <v>70</v>
      </c>
      <c r="N2" s="36">
        <v>70</v>
      </c>
      <c r="O2" s="36">
        <v>71</v>
      </c>
      <c r="P2" s="36">
        <v>71</v>
      </c>
      <c r="Q2" s="36">
        <v>72</v>
      </c>
      <c r="R2" s="32">
        <f t="shared" ref="R2:R33" si="0">(E2/D2)*1000</f>
        <v>18.75</v>
      </c>
      <c r="S2" s="32">
        <f t="shared" ref="S2:S33" si="1">(F2/D2)*1000</f>
        <v>20</v>
      </c>
      <c r="T2" s="32">
        <f t="shared" ref="T2:T33" si="2">(G2/D2)*1000</f>
        <v>22.083333333333332</v>
      </c>
      <c r="U2" s="32">
        <f t="shared" ref="U2:U33" si="3">(H2/D2)*1000</f>
        <v>23.333333333333336</v>
      </c>
      <c r="V2" s="32">
        <f t="shared" ref="V2:V33" si="4">(I2/D2)*1000</f>
        <v>24.166666666666668</v>
      </c>
      <c r="W2" s="32">
        <f t="shared" ref="W2:W33" si="5">(J2/D2)*1000</f>
        <v>26.666666666666668</v>
      </c>
      <c r="X2" s="32">
        <f t="shared" ref="X2:X33" si="6">(K2/D2)*1000</f>
        <v>27.916666666666664</v>
      </c>
      <c r="Y2" s="32">
        <f t="shared" ref="Y2:Y33" si="7">(L2/D2)*1000</f>
        <v>28.75</v>
      </c>
      <c r="Z2" s="32">
        <f t="shared" ref="Z2:Z33" si="8">(M2/D2)*1000</f>
        <v>29.166666666666668</v>
      </c>
      <c r="AA2" s="32">
        <f t="shared" ref="AA2:AA33" si="9">(N2/D2)*1000</f>
        <v>29.166666666666668</v>
      </c>
      <c r="AB2" s="32">
        <f t="shared" ref="AB2:AB33" si="10">(O2/D2)*1000</f>
        <v>29.583333333333332</v>
      </c>
      <c r="AC2" s="32">
        <f t="shared" ref="AC2:AC33" si="11">(P2/D2)*1000</f>
        <v>29.583333333333332</v>
      </c>
      <c r="AD2" s="32">
        <f t="shared" ref="AD2:AD33" si="12">(Q2/D2)*1000</f>
        <v>30</v>
      </c>
    </row>
    <row r="3" spans="1:30" x14ac:dyDescent="0.25">
      <c r="A3" s="32" t="s">
        <v>8</v>
      </c>
      <c r="B3" s="35" t="s">
        <v>50</v>
      </c>
      <c r="C3" s="32" t="s">
        <v>6</v>
      </c>
      <c r="D3" s="34">
        <v>3780</v>
      </c>
      <c r="E3" s="34">
        <v>38</v>
      </c>
      <c r="F3" s="34">
        <v>44</v>
      </c>
      <c r="G3" s="34">
        <v>52</v>
      </c>
      <c r="H3" s="34">
        <v>54</v>
      </c>
      <c r="I3" s="34">
        <v>57</v>
      </c>
      <c r="J3" s="34">
        <v>61</v>
      </c>
      <c r="K3" s="34">
        <v>62</v>
      </c>
      <c r="L3" s="34">
        <v>67</v>
      </c>
      <c r="M3" s="34">
        <v>67</v>
      </c>
      <c r="N3" s="34">
        <v>67</v>
      </c>
      <c r="O3" s="34">
        <v>68</v>
      </c>
      <c r="P3" s="34">
        <v>68</v>
      </c>
      <c r="Q3" s="34">
        <v>69</v>
      </c>
      <c r="R3" s="32">
        <f t="shared" si="0"/>
        <v>10.052910052910054</v>
      </c>
      <c r="S3" s="32">
        <f t="shared" si="1"/>
        <v>11.640211640211639</v>
      </c>
      <c r="T3" s="32">
        <f t="shared" si="2"/>
        <v>13.756613756613756</v>
      </c>
      <c r="U3" s="32">
        <f t="shared" si="3"/>
        <v>14.285714285714285</v>
      </c>
      <c r="V3" s="32">
        <f t="shared" si="4"/>
        <v>15.079365079365079</v>
      </c>
      <c r="W3" s="32">
        <f t="shared" si="5"/>
        <v>16.137566137566139</v>
      </c>
      <c r="X3" s="32">
        <f t="shared" si="6"/>
        <v>16.402116402116402</v>
      </c>
      <c r="Y3" s="32">
        <f t="shared" si="7"/>
        <v>17.724867724867725</v>
      </c>
      <c r="Z3" s="32">
        <f t="shared" si="8"/>
        <v>17.724867724867725</v>
      </c>
      <c r="AA3" s="32">
        <f t="shared" si="9"/>
        <v>17.724867724867725</v>
      </c>
      <c r="AB3" s="32">
        <f t="shared" si="10"/>
        <v>17.989417989417991</v>
      </c>
      <c r="AC3" s="32">
        <f t="shared" si="11"/>
        <v>17.989417989417991</v>
      </c>
      <c r="AD3" s="32">
        <f t="shared" si="12"/>
        <v>18.253968253968257</v>
      </c>
    </row>
    <row r="4" spans="1:30" x14ac:dyDescent="0.25">
      <c r="A4" s="32" t="s">
        <v>7</v>
      </c>
      <c r="B4" s="35" t="s">
        <v>53</v>
      </c>
      <c r="C4" s="32" t="s">
        <v>6</v>
      </c>
      <c r="D4" s="34">
        <v>4593</v>
      </c>
      <c r="E4" s="34">
        <v>41</v>
      </c>
      <c r="F4" s="34">
        <v>46</v>
      </c>
      <c r="G4" s="34">
        <v>49</v>
      </c>
      <c r="H4" s="34">
        <v>53</v>
      </c>
      <c r="I4" s="34">
        <v>56</v>
      </c>
      <c r="J4" s="34">
        <v>58</v>
      </c>
      <c r="K4" s="34">
        <v>60</v>
      </c>
      <c r="L4" s="34">
        <v>61</v>
      </c>
      <c r="M4" s="34">
        <v>62</v>
      </c>
      <c r="N4" s="34">
        <v>62</v>
      </c>
      <c r="O4" s="34">
        <v>63</v>
      </c>
      <c r="P4" s="34">
        <v>63</v>
      </c>
      <c r="Q4" s="34">
        <v>63</v>
      </c>
      <c r="R4" s="32">
        <f t="shared" si="0"/>
        <v>8.9266274765948186</v>
      </c>
      <c r="S4" s="32">
        <f t="shared" si="1"/>
        <v>10.015240583496626</v>
      </c>
      <c r="T4" s="32">
        <f t="shared" si="2"/>
        <v>10.668408447637709</v>
      </c>
      <c r="U4" s="32">
        <f t="shared" si="3"/>
        <v>11.539298933159156</v>
      </c>
      <c r="V4" s="32">
        <f t="shared" si="4"/>
        <v>12.192466797300238</v>
      </c>
      <c r="W4" s="32">
        <f t="shared" si="5"/>
        <v>12.627912040060963</v>
      </c>
      <c r="X4" s="32">
        <f t="shared" si="6"/>
        <v>13.063357282821686</v>
      </c>
      <c r="Y4" s="32">
        <f t="shared" si="7"/>
        <v>13.281079904202047</v>
      </c>
      <c r="Z4" s="32">
        <f t="shared" si="8"/>
        <v>13.498802525582407</v>
      </c>
      <c r="AA4" s="32">
        <f t="shared" si="9"/>
        <v>13.498802525582407</v>
      </c>
      <c r="AB4" s="32">
        <f t="shared" si="10"/>
        <v>13.716525146962768</v>
      </c>
      <c r="AC4" s="32">
        <f t="shared" si="11"/>
        <v>13.716525146962768</v>
      </c>
      <c r="AD4" s="32">
        <f t="shared" si="12"/>
        <v>13.716525146962768</v>
      </c>
    </row>
    <row r="5" spans="1:30" x14ac:dyDescent="0.25">
      <c r="A5" s="32" t="s">
        <v>9</v>
      </c>
      <c r="B5" s="35" t="s">
        <v>53</v>
      </c>
      <c r="C5" s="32" t="s">
        <v>6</v>
      </c>
      <c r="D5" s="34">
        <v>3690</v>
      </c>
      <c r="E5" s="34">
        <v>33</v>
      </c>
      <c r="F5" s="34">
        <v>37</v>
      </c>
      <c r="G5" s="34">
        <v>39</v>
      </c>
      <c r="H5" s="34">
        <v>44</v>
      </c>
      <c r="I5" s="34">
        <v>46</v>
      </c>
      <c r="J5" s="34">
        <v>48</v>
      </c>
      <c r="K5" s="34">
        <v>49</v>
      </c>
      <c r="L5" s="34">
        <v>52</v>
      </c>
      <c r="M5" s="34">
        <v>52</v>
      </c>
      <c r="N5" s="34">
        <v>52</v>
      </c>
      <c r="O5" s="34">
        <v>53</v>
      </c>
      <c r="P5" s="34">
        <v>53</v>
      </c>
      <c r="Q5" s="34">
        <v>53</v>
      </c>
      <c r="R5" s="32">
        <f t="shared" si="0"/>
        <v>8.9430894308943092</v>
      </c>
      <c r="S5" s="32">
        <f t="shared" si="1"/>
        <v>10.027100271002711</v>
      </c>
      <c r="T5" s="32">
        <f t="shared" si="2"/>
        <v>10.56910569105691</v>
      </c>
      <c r="U5" s="32">
        <f t="shared" si="3"/>
        <v>11.924119241192411</v>
      </c>
      <c r="V5" s="32">
        <f t="shared" si="4"/>
        <v>12.466124661246614</v>
      </c>
      <c r="W5" s="32">
        <f t="shared" si="5"/>
        <v>13.008130081300813</v>
      </c>
      <c r="X5" s="32">
        <f t="shared" si="6"/>
        <v>13.279132791327914</v>
      </c>
      <c r="Y5" s="32">
        <f t="shared" si="7"/>
        <v>14.092140921409214</v>
      </c>
      <c r="Z5" s="32">
        <f t="shared" si="8"/>
        <v>14.092140921409214</v>
      </c>
      <c r="AA5" s="32">
        <f t="shared" si="9"/>
        <v>14.092140921409214</v>
      </c>
      <c r="AB5" s="32">
        <f t="shared" si="10"/>
        <v>14.363143631436316</v>
      </c>
      <c r="AC5" s="32">
        <f t="shared" si="11"/>
        <v>14.363143631436316</v>
      </c>
      <c r="AD5" s="32">
        <f t="shared" si="12"/>
        <v>14.363143631436316</v>
      </c>
    </row>
    <row r="6" spans="1:30" x14ac:dyDescent="0.25">
      <c r="A6" s="32" t="s">
        <v>10</v>
      </c>
      <c r="B6" s="35" t="s">
        <v>53</v>
      </c>
      <c r="C6" s="32" t="s">
        <v>6</v>
      </c>
      <c r="D6" s="34">
        <v>4400</v>
      </c>
      <c r="E6" s="34">
        <v>55</v>
      </c>
      <c r="F6" s="34">
        <v>58</v>
      </c>
      <c r="G6" s="34">
        <v>63</v>
      </c>
      <c r="H6" s="34">
        <v>66</v>
      </c>
      <c r="I6" s="34">
        <v>68</v>
      </c>
      <c r="J6" s="34">
        <v>74</v>
      </c>
      <c r="K6" s="34">
        <v>77</v>
      </c>
      <c r="L6" s="34">
        <v>79</v>
      </c>
      <c r="M6" s="34">
        <v>80</v>
      </c>
      <c r="N6" s="34">
        <v>80</v>
      </c>
      <c r="O6" s="34">
        <v>81</v>
      </c>
      <c r="P6" s="34">
        <v>81</v>
      </c>
      <c r="Q6" s="34">
        <v>82</v>
      </c>
      <c r="R6" s="32">
        <f t="shared" si="0"/>
        <v>12.5</v>
      </c>
      <c r="S6" s="32">
        <f t="shared" si="1"/>
        <v>13.181818181818182</v>
      </c>
      <c r="T6" s="32">
        <f t="shared" si="2"/>
        <v>14.318181818181818</v>
      </c>
      <c r="U6" s="32">
        <f t="shared" si="3"/>
        <v>15</v>
      </c>
      <c r="V6" s="32">
        <f t="shared" si="4"/>
        <v>15.454545454545455</v>
      </c>
      <c r="W6" s="32">
        <f t="shared" si="5"/>
        <v>16.81818181818182</v>
      </c>
      <c r="X6" s="32">
        <f t="shared" si="6"/>
        <v>17.5</v>
      </c>
      <c r="Y6" s="32">
        <f t="shared" si="7"/>
        <v>17.954545454545457</v>
      </c>
      <c r="Z6" s="32">
        <f t="shared" si="8"/>
        <v>18.18181818181818</v>
      </c>
      <c r="AA6" s="32">
        <f t="shared" si="9"/>
        <v>18.18181818181818</v>
      </c>
      <c r="AB6" s="32">
        <f t="shared" si="10"/>
        <v>18.40909090909091</v>
      </c>
      <c r="AC6" s="32">
        <f t="shared" si="11"/>
        <v>18.40909090909091</v>
      </c>
      <c r="AD6" s="32">
        <f t="shared" si="12"/>
        <v>18.636363636363637</v>
      </c>
    </row>
    <row r="7" spans="1:30" x14ac:dyDescent="0.25">
      <c r="A7" s="32" t="s">
        <v>11</v>
      </c>
      <c r="B7" s="35" t="s">
        <v>53</v>
      </c>
      <c r="C7" s="32" t="s">
        <v>6</v>
      </c>
      <c r="D7" s="34">
        <v>4450</v>
      </c>
      <c r="E7" s="34">
        <v>56</v>
      </c>
      <c r="F7" s="34">
        <v>62</v>
      </c>
      <c r="G7" s="34">
        <v>70</v>
      </c>
      <c r="H7" s="34">
        <v>72</v>
      </c>
      <c r="I7" s="34">
        <v>75</v>
      </c>
      <c r="J7" s="34">
        <v>79</v>
      </c>
      <c r="K7" s="34">
        <v>80</v>
      </c>
      <c r="L7" s="34">
        <v>85</v>
      </c>
      <c r="M7" s="34">
        <v>85</v>
      </c>
      <c r="N7" s="34">
        <v>85</v>
      </c>
      <c r="O7" s="34">
        <v>86</v>
      </c>
      <c r="P7" s="34">
        <v>86</v>
      </c>
      <c r="Q7" s="34">
        <v>86</v>
      </c>
      <c r="R7" s="32">
        <f t="shared" si="0"/>
        <v>12.584269662921349</v>
      </c>
      <c r="S7" s="32">
        <f t="shared" si="1"/>
        <v>13.932584269662922</v>
      </c>
      <c r="T7" s="32">
        <f t="shared" si="2"/>
        <v>15.730337078651687</v>
      </c>
      <c r="U7" s="32">
        <f t="shared" si="3"/>
        <v>16.179775280898877</v>
      </c>
      <c r="V7" s="32">
        <f t="shared" si="4"/>
        <v>16.853932584269664</v>
      </c>
      <c r="W7" s="32">
        <f t="shared" si="5"/>
        <v>17.752808988764045</v>
      </c>
      <c r="X7" s="32">
        <f t="shared" si="6"/>
        <v>17.977528089887642</v>
      </c>
      <c r="Y7" s="32">
        <f t="shared" si="7"/>
        <v>19.101123595505619</v>
      </c>
      <c r="Z7" s="32">
        <f t="shared" si="8"/>
        <v>19.101123595505619</v>
      </c>
      <c r="AA7" s="32">
        <f t="shared" si="9"/>
        <v>19.101123595505619</v>
      </c>
      <c r="AB7" s="32">
        <f t="shared" si="10"/>
        <v>19.325842696629213</v>
      </c>
      <c r="AC7" s="32">
        <f t="shared" si="11"/>
        <v>19.325842696629213</v>
      </c>
      <c r="AD7" s="32">
        <f t="shared" si="12"/>
        <v>19.325842696629213</v>
      </c>
    </row>
    <row r="8" spans="1:30" x14ac:dyDescent="0.25">
      <c r="A8" s="32" t="s">
        <v>12</v>
      </c>
      <c r="B8" s="35" t="s">
        <v>50</v>
      </c>
      <c r="C8" s="32" t="s">
        <v>6</v>
      </c>
      <c r="D8" s="34">
        <v>4925</v>
      </c>
      <c r="E8" s="34">
        <v>44</v>
      </c>
      <c r="F8" s="34">
        <v>48</v>
      </c>
      <c r="G8" s="34">
        <v>51</v>
      </c>
      <c r="H8" s="34">
        <v>56</v>
      </c>
      <c r="I8" s="34">
        <v>58</v>
      </c>
      <c r="J8" s="34">
        <v>61</v>
      </c>
      <c r="K8" s="34">
        <v>63</v>
      </c>
      <c r="L8" s="34">
        <v>64</v>
      </c>
      <c r="M8" s="34">
        <v>65</v>
      </c>
      <c r="N8" s="34">
        <v>65</v>
      </c>
      <c r="O8" s="34">
        <v>66</v>
      </c>
      <c r="P8" s="34">
        <v>66</v>
      </c>
      <c r="Q8" s="34">
        <v>66</v>
      </c>
      <c r="R8" s="32">
        <f t="shared" si="0"/>
        <v>8.9340101522842641</v>
      </c>
      <c r="S8" s="32">
        <f t="shared" si="1"/>
        <v>9.746192893401016</v>
      </c>
      <c r="T8" s="32">
        <f t="shared" si="2"/>
        <v>10.355329949238579</v>
      </c>
      <c r="U8" s="32">
        <f t="shared" si="3"/>
        <v>11.370558375634518</v>
      </c>
      <c r="V8" s="32">
        <f t="shared" si="4"/>
        <v>11.776649746192895</v>
      </c>
      <c r="W8" s="32">
        <f t="shared" si="5"/>
        <v>12.385786802030458</v>
      </c>
      <c r="X8" s="32">
        <f t="shared" si="6"/>
        <v>12.791878172588831</v>
      </c>
      <c r="Y8" s="32">
        <f t="shared" si="7"/>
        <v>12.99492385786802</v>
      </c>
      <c r="Z8" s="32">
        <f t="shared" si="8"/>
        <v>13.197969543147208</v>
      </c>
      <c r="AA8" s="32">
        <f t="shared" si="9"/>
        <v>13.197969543147208</v>
      </c>
      <c r="AB8" s="32">
        <f t="shared" si="10"/>
        <v>13.401015228426397</v>
      </c>
      <c r="AC8" s="32">
        <f t="shared" si="11"/>
        <v>13.401015228426397</v>
      </c>
      <c r="AD8" s="32">
        <f t="shared" si="12"/>
        <v>13.401015228426397</v>
      </c>
    </row>
    <row r="9" spans="1:30" x14ac:dyDescent="0.25">
      <c r="A9" s="32" t="s">
        <v>13</v>
      </c>
      <c r="B9" s="35" t="s">
        <v>50</v>
      </c>
      <c r="C9" s="32" t="s">
        <v>6</v>
      </c>
      <c r="D9" s="34">
        <v>5645</v>
      </c>
      <c r="E9" s="34">
        <v>43</v>
      </c>
      <c r="F9" s="34">
        <v>45</v>
      </c>
      <c r="G9" s="34">
        <v>49</v>
      </c>
      <c r="H9" s="34">
        <v>52</v>
      </c>
      <c r="I9" s="34">
        <v>56</v>
      </c>
      <c r="J9" s="34">
        <v>58</v>
      </c>
      <c r="K9" s="34">
        <v>59</v>
      </c>
      <c r="L9" s="34">
        <v>62</v>
      </c>
      <c r="M9" s="34">
        <v>62</v>
      </c>
      <c r="N9" s="34">
        <v>62</v>
      </c>
      <c r="O9" s="34">
        <v>63</v>
      </c>
      <c r="P9" s="34">
        <v>63</v>
      </c>
      <c r="Q9" s="34">
        <v>64</v>
      </c>
      <c r="R9" s="32">
        <f t="shared" si="0"/>
        <v>7.6173604960141716</v>
      </c>
      <c r="S9" s="32">
        <f t="shared" si="1"/>
        <v>7.9716563330380872</v>
      </c>
      <c r="T9" s="32">
        <f t="shared" si="2"/>
        <v>8.6802480070859165</v>
      </c>
      <c r="U9" s="32">
        <f t="shared" si="3"/>
        <v>9.2116917626217898</v>
      </c>
      <c r="V9" s="32">
        <f t="shared" si="4"/>
        <v>9.9202834366696191</v>
      </c>
      <c r="W9" s="32">
        <f t="shared" si="5"/>
        <v>10.274579273693535</v>
      </c>
      <c r="X9" s="32">
        <f t="shared" si="6"/>
        <v>10.451727192205492</v>
      </c>
      <c r="Y9" s="32">
        <f t="shared" si="7"/>
        <v>10.983170947741364</v>
      </c>
      <c r="Z9" s="32">
        <f t="shared" si="8"/>
        <v>10.983170947741364</v>
      </c>
      <c r="AA9" s="32">
        <f t="shared" si="9"/>
        <v>10.983170947741364</v>
      </c>
      <c r="AB9" s="32">
        <f t="shared" si="10"/>
        <v>11.160318866253322</v>
      </c>
      <c r="AC9" s="32">
        <f t="shared" si="11"/>
        <v>11.160318866253322</v>
      </c>
      <c r="AD9" s="32">
        <f t="shared" si="12"/>
        <v>11.337466784765279</v>
      </c>
    </row>
    <row r="10" spans="1:30" x14ac:dyDescent="0.25">
      <c r="A10" s="32" t="s">
        <v>15</v>
      </c>
      <c r="B10" s="35" t="s">
        <v>50</v>
      </c>
      <c r="C10" s="32" t="s">
        <v>6</v>
      </c>
      <c r="D10" s="34">
        <v>6323</v>
      </c>
      <c r="E10" s="34">
        <v>38</v>
      </c>
      <c r="F10" s="34">
        <v>42</v>
      </c>
      <c r="G10" s="34">
        <v>45</v>
      </c>
      <c r="H10" s="34">
        <v>50</v>
      </c>
      <c r="I10" s="34">
        <v>52</v>
      </c>
      <c r="J10" s="34">
        <v>55</v>
      </c>
      <c r="K10" s="34">
        <v>57</v>
      </c>
      <c r="L10" s="34">
        <v>58</v>
      </c>
      <c r="M10" s="34">
        <v>59</v>
      </c>
      <c r="N10" s="34">
        <v>59</v>
      </c>
      <c r="O10" s="34">
        <v>60</v>
      </c>
      <c r="P10" s="34">
        <v>60</v>
      </c>
      <c r="Q10" s="34">
        <v>60</v>
      </c>
      <c r="R10" s="32">
        <f t="shared" si="0"/>
        <v>6.0098054720860352</v>
      </c>
      <c r="S10" s="32">
        <f t="shared" si="1"/>
        <v>6.6424165744108805</v>
      </c>
      <c r="T10" s="32">
        <f t="shared" si="2"/>
        <v>7.1168749011545156</v>
      </c>
      <c r="U10" s="32">
        <f t="shared" si="3"/>
        <v>7.9076387790605729</v>
      </c>
      <c r="V10" s="32">
        <f t="shared" si="4"/>
        <v>8.2239443302229951</v>
      </c>
      <c r="W10" s="32">
        <f t="shared" si="5"/>
        <v>8.6984026569666302</v>
      </c>
      <c r="X10" s="32">
        <f t="shared" si="6"/>
        <v>9.0147082081290524</v>
      </c>
      <c r="Y10" s="32">
        <f t="shared" si="7"/>
        <v>9.1728609837102635</v>
      </c>
      <c r="Z10" s="32">
        <f t="shared" si="8"/>
        <v>9.3310137592914764</v>
      </c>
      <c r="AA10" s="32">
        <f t="shared" si="9"/>
        <v>9.3310137592914764</v>
      </c>
      <c r="AB10" s="32">
        <f t="shared" si="10"/>
        <v>9.4891665348726857</v>
      </c>
      <c r="AC10" s="32">
        <f t="shared" si="11"/>
        <v>9.4891665348726857</v>
      </c>
      <c r="AD10" s="32">
        <f t="shared" si="12"/>
        <v>9.4891665348726857</v>
      </c>
    </row>
    <row r="11" spans="1:30" x14ac:dyDescent="0.25">
      <c r="A11" s="32" t="s">
        <v>16</v>
      </c>
      <c r="B11" s="35" t="s">
        <v>50</v>
      </c>
      <c r="C11" s="32" t="s">
        <v>6</v>
      </c>
      <c r="D11" s="34">
        <v>3809</v>
      </c>
      <c r="E11" s="34">
        <v>42</v>
      </c>
      <c r="F11" s="34">
        <v>44</v>
      </c>
      <c r="G11" s="34">
        <v>48</v>
      </c>
      <c r="H11" s="34">
        <v>51</v>
      </c>
      <c r="I11" s="34">
        <v>55</v>
      </c>
      <c r="J11" s="34">
        <v>57</v>
      </c>
      <c r="K11" s="34">
        <v>58</v>
      </c>
      <c r="L11" s="34">
        <v>61</v>
      </c>
      <c r="M11" s="34">
        <v>61</v>
      </c>
      <c r="N11" s="34">
        <v>61</v>
      </c>
      <c r="O11" s="34">
        <v>62</v>
      </c>
      <c r="P11" s="34">
        <v>62</v>
      </c>
      <c r="Q11" s="34">
        <v>63</v>
      </c>
      <c r="R11" s="32">
        <f t="shared" si="0"/>
        <v>11.026516145970071</v>
      </c>
      <c r="S11" s="32">
        <f t="shared" si="1"/>
        <v>11.551588343397217</v>
      </c>
      <c r="T11" s="32">
        <f t="shared" si="2"/>
        <v>12.60173273825151</v>
      </c>
      <c r="U11" s="32">
        <f t="shared" si="3"/>
        <v>13.389341034392229</v>
      </c>
      <c r="V11" s="32">
        <f t="shared" si="4"/>
        <v>14.439485429246522</v>
      </c>
      <c r="W11" s="32">
        <f t="shared" si="5"/>
        <v>14.964557626673667</v>
      </c>
      <c r="X11" s="32">
        <f t="shared" si="6"/>
        <v>15.22709372538724</v>
      </c>
      <c r="Y11" s="32">
        <f t="shared" si="7"/>
        <v>16.01470202152796</v>
      </c>
      <c r="Z11" s="32">
        <f t="shared" si="8"/>
        <v>16.01470202152796</v>
      </c>
      <c r="AA11" s="32">
        <f t="shared" si="9"/>
        <v>16.01470202152796</v>
      </c>
      <c r="AB11" s="32">
        <f t="shared" si="10"/>
        <v>16.277238120241535</v>
      </c>
      <c r="AC11" s="32">
        <f t="shared" si="11"/>
        <v>16.277238120241535</v>
      </c>
      <c r="AD11" s="32">
        <f t="shared" si="12"/>
        <v>16.539774218955106</v>
      </c>
    </row>
    <row r="12" spans="1:30" x14ac:dyDescent="0.25">
      <c r="A12" s="32" t="s">
        <v>29</v>
      </c>
      <c r="B12" s="35" t="s">
        <v>53</v>
      </c>
      <c r="C12" s="32" t="s">
        <v>6</v>
      </c>
      <c r="D12" s="34">
        <v>2900</v>
      </c>
      <c r="E12" s="34">
        <v>40</v>
      </c>
      <c r="F12" s="34">
        <v>42</v>
      </c>
      <c r="G12" s="34">
        <v>48</v>
      </c>
      <c r="H12" s="34">
        <v>50</v>
      </c>
      <c r="I12" s="34">
        <v>51</v>
      </c>
      <c r="J12" s="34">
        <v>53</v>
      </c>
      <c r="K12" s="34">
        <v>56</v>
      </c>
      <c r="L12" s="34">
        <v>58</v>
      </c>
      <c r="M12" s="34">
        <v>59</v>
      </c>
      <c r="N12" s="34">
        <v>59</v>
      </c>
      <c r="O12" s="34">
        <v>60</v>
      </c>
      <c r="P12" s="34">
        <v>60</v>
      </c>
      <c r="Q12" s="34">
        <v>61</v>
      </c>
      <c r="R12" s="32">
        <f t="shared" si="0"/>
        <v>13.793103448275861</v>
      </c>
      <c r="S12" s="32">
        <f t="shared" si="1"/>
        <v>14.482758620689657</v>
      </c>
      <c r="T12" s="32">
        <f t="shared" si="2"/>
        <v>16.551724137931036</v>
      </c>
      <c r="U12" s="32">
        <f t="shared" si="3"/>
        <v>17.241379310344826</v>
      </c>
      <c r="V12" s="32">
        <f t="shared" si="4"/>
        <v>17.586206896551726</v>
      </c>
      <c r="W12" s="32">
        <f t="shared" si="5"/>
        <v>18.275862068965516</v>
      </c>
      <c r="X12" s="32">
        <f t="shared" si="6"/>
        <v>19.310344827586206</v>
      </c>
      <c r="Y12" s="32">
        <f t="shared" si="7"/>
        <v>20</v>
      </c>
      <c r="Z12" s="32">
        <f t="shared" si="8"/>
        <v>20.344827586206893</v>
      </c>
      <c r="AA12" s="32">
        <f t="shared" si="9"/>
        <v>20.344827586206893</v>
      </c>
      <c r="AB12" s="32">
        <f t="shared" si="10"/>
        <v>20.689655172413794</v>
      </c>
      <c r="AC12" s="32">
        <f t="shared" si="11"/>
        <v>20.689655172413794</v>
      </c>
      <c r="AD12" s="32">
        <f t="shared" si="12"/>
        <v>21.03448275862069</v>
      </c>
    </row>
    <row r="13" spans="1:30" x14ac:dyDescent="0.25">
      <c r="A13" s="32" t="s">
        <v>30</v>
      </c>
      <c r="B13" s="35" t="s">
        <v>53</v>
      </c>
      <c r="C13" s="32" t="s">
        <v>6</v>
      </c>
      <c r="D13" s="34">
        <v>3800</v>
      </c>
      <c r="E13" s="34">
        <v>25</v>
      </c>
      <c r="F13" s="34">
        <v>29</v>
      </c>
      <c r="G13" s="34">
        <v>35</v>
      </c>
      <c r="H13" s="34">
        <v>38</v>
      </c>
      <c r="I13" s="34">
        <v>39</v>
      </c>
      <c r="J13" s="34">
        <v>41</v>
      </c>
      <c r="K13" s="34">
        <v>43</v>
      </c>
      <c r="L13" s="34">
        <v>46</v>
      </c>
      <c r="M13" s="34">
        <v>47</v>
      </c>
      <c r="N13" s="34">
        <v>47</v>
      </c>
      <c r="O13" s="34">
        <v>48</v>
      </c>
      <c r="P13" s="34">
        <v>48</v>
      </c>
      <c r="Q13" s="34">
        <v>49</v>
      </c>
      <c r="R13" s="32">
        <f t="shared" si="0"/>
        <v>6.5789473684210522</v>
      </c>
      <c r="S13" s="32">
        <f t="shared" si="1"/>
        <v>7.6315789473684204</v>
      </c>
      <c r="T13" s="32">
        <f t="shared" si="2"/>
        <v>9.2105263157894726</v>
      </c>
      <c r="U13" s="32">
        <f t="shared" si="3"/>
        <v>10</v>
      </c>
      <c r="V13" s="32">
        <f t="shared" si="4"/>
        <v>10.263157894736842</v>
      </c>
      <c r="W13" s="32">
        <f t="shared" si="5"/>
        <v>10.789473684210526</v>
      </c>
      <c r="X13" s="32">
        <f t="shared" si="6"/>
        <v>11.315789473684211</v>
      </c>
      <c r="Y13" s="32">
        <f t="shared" si="7"/>
        <v>12.105263157894736</v>
      </c>
      <c r="Z13" s="32">
        <f t="shared" si="8"/>
        <v>12.368421052631579</v>
      </c>
      <c r="AA13" s="32">
        <f t="shared" si="9"/>
        <v>12.368421052631579</v>
      </c>
      <c r="AB13" s="32">
        <f t="shared" si="10"/>
        <v>12.631578947368421</v>
      </c>
      <c r="AC13" s="32">
        <f t="shared" si="11"/>
        <v>12.631578947368421</v>
      </c>
      <c r="AD13" s="32">
        <f t="shared" si="12"/>
        <v>12.894736842105262</v>
      </c>
    </row>
    <row r="14" spans="1:30" x14ac:dyDescent="0.25">
      <c r="A14" s="32" t="s">
        <v>31</v>
      </c>
      <c r="B14" s="35" t="s">
        <v>50</v>
      </c>
      <c r="C14" s="32" t="s">
        <v>6</v>
      </c>
      <c r="D14" s="34">
        <v>5215</v>
      </c>
      <c r="E14" s="34">
        <v>36</v>
      </c>
      <c r="F14" s="34">
        <v>39</v>
      </c>
      <c r="G14" s="34">
        <v>43</v>
      </c>
      <c r="H14" s="34">
        <v>48</v>
      </c>
      <c r="I14" s="34">
        <v>49</v>
      </c>
      <c r="J14" s="34">
        <v>53</v>
      </c>
      <c r="K14" s="34">
        <v>54</v>
      </c>
      <c r="L14" s="34">
        <v>56</v>
      </c>
      <c r="M14" s="34">
        <v>57</v>
      </c>
      <c r="N14" s="34">
        <v>57</v>
      </c>
      <c r="O14" s="34">
        <v>58</v>
      </c>
      <c r="P14" s="34">
        <v>58</v>
      </c>
      <c r="Q14" s="34">
        <v>59</v>
      </c>
      <c r="R14" s="32">
        <f t="shared" si="0"/>
        <v>6.9031639501438153</v>
      </c>
      <c r="S14" s="32">
        <f t="shared" si="1"/>
        <v>7.4784276126558007</v>
      </c>
      <c r="T14" s="32">
        <f t="shared" si="2"/>
        <v>8.2454458293384469</v>
      </c>
      <c r="U14" s="32">
        <f t="shared" si="3"/>
        <v>9.2042186001917532</v>
      </c>
      <c r="V14" s="32">
        <f t="shared" si="4"/>
        <v>9.3959731543624159</v>
      </c>
      <c r="W14" s="32">
        <f t="shared" si="5"/>
        <v>10.162991371045063</v>
      </c>
      <c r="X14" s="32">
        <f t="shared" si="6"/>
        <v>10.354745925215724</v>
      </c>
      <c r="Y14" s="32">
        <f t="shared" si="7"/>
        <v>10.738255033557046</v>
      </c>
      <c r="Z14" s="32">
        <f t="shared" si="8"/>
        <v>10.930009587727708</v>
      </c>
      <c r="AA14" s="32">
        <f t="shared" si="9"/>
        <v>10.930009587727708</v>
      </c>
      <c r="AB14" s="32">
        <f t="shared" si="10"/>
        <v>11.121764141898371</v>
      </c>
      <c r="AC14" s="32">
        <f t="shared" si="11"/>
        <v>11.121764141898371</v>
      </c>
      <c r="AD14" s="32">
        <f t="shared" si="12"/>
        <v>11.313518696069032</v>
      </c>
    </row>
    <row r="15" spans="1:30" x14ac:dyDescent="0.25">
      <c r="A15" s="32" t="s">
        <v>6</v>
      </c>
      <c r="B15" s="35" t="s">
        <v>50</v>
      </c>
      <c r="C15" s="32" t="s">
        <v>6</v>
      </c>
      <c r="D15" s="34">
        <v>3900</v>
      </c>
      <c r="E15" s="34">
        <v>28</v>
      </c>
      <c r="F15" s="34">
        <v>30</v>
      </c>
      <c r="G15" s="34">
        <v>33</v>
      </c>
      <c r="H15" s="34">
        <v>37</v>
      </c>
      <c r="I15" s="34">
        <v>40</v>
      </c>
      <c r="J15" s="34">
        <v>43</v>
      </c>
      <c r="K15" s="34">
        <v>45</v>
      </c>
      <c r="L15" s="34">
        <v>47</v>
      </c>
      <c r="M15" s="34">
        <v>48</v>
      </c>
      <c r="N15" s="34">
        <v>48</v>
      </c>
      <c r="O15" s="34">
        <v>49</v>
      </c>
      <c r="P15" s="34">
        <v>49</v>
      </c>
      <c r="Q15" s="34">
        <v>49</v>
      </c>
      <c r="R15" s="32">
        <f t="shared" si="0"/>
        <v>7.1794871794871797</v>
      </c>
      <c r="S15" s="32">
        <f t="shared" si="1"/>
        <v>7.6923076923076925</v>
      </c>
      <c r="T15" s="32">
        <f t="shared" si="2"/>
        <v>8.4615384615384617</v>
      </c>
      <c r="U15" s="32">
        <f t="shared" si="3"/>
        <v>9.4871794871794872</v>
      </c>
      <c r="V15" s="32">
        <f t="shared" si="4"/>
        <v>10.256410256410257</v>
      </c>
      <c r="W15" s="32">
        <f t="shared" si="5"/>
        <v>11.025641025641026</v>
      </c>
      <c r="X15" s="32">
        <f t="shared" si="6"/>
        <v>11.538461538461538</v>
      </c>
      <c r="Y15" s="32">
        <f t="shared" si="7"/>
        <v>12.051282051282051</v>
      </c>
      <c r="Z15" s="32">
        <f t="shared" si="8"/>
        <v>12.307692307692308</v>
      </c>
      <c r="AA15" s="32">
        <f t="shared" si="9"/>
        <v>12.307692307692308</v>
      </c>
      <c r="AB15" s="32">
        <f t="shared" si="10"/>
        <v>12.564102564102564</v>
      </c>
      <c r="AC15" s="32">
        <f t="shared" si="11"/>
        <v>12.564102564102564</v>
      </c>
      <c r="AD15" s="32">
        <f t="shared" si="12"/>
        <v>12.564102564102564</v>
      </c>
    </row>
    <row r="16" spans="1:30" x14ac:dyDescent="0.25">
      <c r="A16" s="32" t="s">
        <v>32</v>
      </c>
      <c r="B16" s="35" t="s">
        <v>53</v>
      </c>
      <c r="C16" s="32" t="s">
        <v>6</v>
      </c>
      <c r="D16" s="34">
        <v>5100</v>
      </c>
      <c r="E16" s="34">
        <v>43</v>
      </c>
      <c r="F16" s="34">
        <v>45</v>
      </c>
      <c r="G16" s="34">
        <v>51</v>
      </c>
      <c r="H16" s="34">
        <v>53</v>
      </c>
      <c r="I16" s="34">
        <v>54</v>
      </c>
      <c r="J16" s="34">
        <v>56</v>
      </c>
      <c r="K16" s="34">
        <v>59</v>
      </c>
      <c r="L16" s="34">
        <v>61</v>
      </c>
      <c r="M16" s="34">
        <v>62</v>
      </c>
      <c r="N16" s="34">
        <v>62</v>
      </c>
      <c r="O16" s="34">
        <v>63</v>
      </c>
      <c r="P16" s="34">
        <v>63</v>
      </c>
      <c r="Q16" s="34">
        <v>63</v>
      </c>
      <c r="R16" s="32">
        <f t="shared" si="0"/>
        <v>8.4313725490196063</v>
      </c>
      <c r="S16" s="32">
        <f t="shared" si="1"/>
        <v>8.8235294117647065</v>
      </c>
      <c r="T16" s="32">
        <f t="shared" si="2"/>
        <v>10</v>
      </c>
      <c r="U16" s="32">
        <f t="shared" si="3"/>
        <v>10.392156862745097</v>
      </c>
      <c r="V16" s="32">
        <f t="shared" si="4"/>
        <v>10.588235294117647</v>
      </c>
      <c r="W16" s="32">
        <f t="shared" si="5"/>
        <v>10.980392156862745</v>
      </c>
      <c r="X16" s="32">
        <f t="shared" si="6"/>
        <v>11.568627450980392</v>
      </c>
      <c r="Y16" s="32">
        <f t="shared" si="7"/>
        <v>11.96078431372549</v>
      </c>
      <c r="Z16" s="32">
        <f t="shared" si="8"/>
        <v>12.15686274509804</v>
      </c>
      <c r="AA16" s="32">
        <f t="shared" si="9"/>
        <v>12.15686274509804</v>
      </c>
      <c r="AB16" s="32">
        <f t="shared" si="10"/>
        <v>12.352941176470587</v>
      </c>
      <c r="AC16" s="32">
        <f t="shared" si="11"/>
        <v>12.352941176470587</v>
      </c>
      <c r="AD16" s="32">
        <f t="shared" si="12"/>
        <v>12.352941176470587</v>
      </c>
    </row>
    <row r="17" spans="1:30" x14ac:dyDescent="0.25">
      <c r="A17" s="32" t="s">
        <v>33</v>
      </c>
      <c r="B17" s="35" t="s">
        <v>50</v>
      </c>
      <c r="C17" s="32" t="s">
        <v>6</v>
      </c>
      <c r="D17" s="34">
        <v>5330</v>
      </c>
      <c r="E17" s="34">
        <v>30</v>
      </c>
      <c r="F17" s="34">
        <v>36</v>
      </c>
      <c r="G17" s="34">
        <v>40</v>
      </c>
      <c r="H17" s="34">
        <v>41</v>
      </c>
      <c r="I17" s="34">
        <v>44</v>
      </c>
      <c r="J17" s="34">
        <v>46</v>
      </c>
      <c r="K17" s="34">
        <v>48</v>
      </c>
      <c r="L17" s="34">
        <v>51</v>
      </c>
      <c r="M17" s="34">
        <v>52</v>
      </c>
      <c r="N17" s="34">
        <v>52</v>
      </c>
      <c r="O17" s="34">
        <v>53</v>
      </c>
      <c r="P17" s="34">
        <v>53</v>
      </c>
      <c r="Q17" s="34">
        <v>53</v>
      </c>
      <c r="R17" s="32">
        <f t="shared" si="0"/>
        <v>5.6285178236397746</v>
      </c>
      <c r="S17" s="32">
        <f t="shared" si="1"/>
        <v>6.7542213883677302</v>
      </c>
      <c r="T17" s="32">
        <f t="shared" si="2"/>
        <v>7.5046904315197001</v>
      </c>
      <c r="U17" s="32">
        <f t="shared" si="3"/>
        <v>7.6923076923076925</v>
      </c>
      <c r="V17" s="32">
        <f t="shared" si="4"/>
        <v>8.2551594746716699</v>
      </c>
      <c r="W17" s="32">
        <f t="shared" si="5"/>
        <v>8.6303939962476548</v>
      </c>
      <c r="X17" s="32">
        <f t="shared" si="6"/>
        <v>9.0056285178236397</v>
      </c>
      <c r="Y17" s="32">
        <f t="shared" si="7"/>
        <v>9.5684803001876162</v>
      </c>
      <c r="Z17" s="32">
        <f t="shared" si="8"/>
        <v>9.7560975609756095</v>
      </c>
      <c r="AA17" s="32">
        <f t="shared" si="9"/>
        <v>9.7560975609756095</v>
      </c>
      <c r="AB17" s="32">
        <f t="shared" si="10"/>
        <v>9.9437148217636029</v>
      </c>
      <c r="AC17" s="32">
        <f t="shared" si="11"/>
        <v>9.9437148217636029</v>
      </c>
      <c r="AD17" s="32">
        <f t="shared" si="12"/>
        <v>9.9437148217636029</v>
      </c>
    </row>
    <row r="18" spans="1:30" x14ac:dyDescent="0.25">
      <c r="A18" s="32" t="s">
        <v>34</v>
      </c>
      <c r="B18" s="35" t="s">
        <v>50</v>
      </c>
      <c r="C18" s="32" t="s">
        <v>6</v>
      </c>
      <c r="D18" s="34">
        <v>5455</v>
      </c>
      <c r="E18" s="34">
        <v>36</v>
      </c>
      <c r="F18" s="34">
        <v>39</v>
      </c>
      <c r="G18" s="34">
        <v>43</v>
      </c>
      <c r="H18" s="34">
        <v>48</v>
      </c>
      <c r="I18" s="34">
        <v>49</v>
      </c>
      <c r="J18" s="34">
        <v>53</v>
      </c>
      <c r="K18" s="34">
        <v>54</v>
      </c>
      <c r="L18" s="34">
        <v>56</v>
      </c>
      <c r="M18" s="34">
        <v>57</v>
      </c>
      <c r="N18" s="34">
        <v>57</v>
      </c>
      <c r="O18" s="34">
        <v>58</v>
      </c>
      <c r="P18" s="34">
        <v>58</v>
      </c>
      <c r="Q18" s="34">
        <v>58</v>
      </c>
      <c r="R18" s="32">
        <f t="shared" si="0"/>
        <v>6.5994500458295144</v>
      </c>
      <c r="S18" s="32">
        <f t="shared" si="1"/>
        <v>7.1494042163153066</v>
      </c>
      <c r="T18" s="32">
        <f t="shared" si="2"/>
        <v>7.8826764436296974</v>
      </c>
      <c r="U18" s="32">
        <f t="shared" si="3"/>
        <v>8.7992667277726859</v>
      </c>
      <c r="V18" s="32">
        <f t="shared" si="4"/>
        <v>8.9825847846012827</v>
      </c>
      <c r="W18" s="32">
        <f t="shared" si="5"/>
        <v>9.7158570119156735</v>
      </c>
      <c r="X18" s="32">
        <f t="shared" si="6"/>
        <v>9.8991750687442721</v>
      </c>
      <c r="Y18" s="32">
        <f t="shared" si="7"/>
        <v>10.265811182401468</v>
      </c>
      <c r="Z18" s="32">
        <f t="shared" si="8"/>
        <v>10.449129239230064</v>
      </c>
      <c r="AA18" s="32">
        <f t="shared" si="9"/>
        <v>10.449129239230064</v>
      </c>
      <c r="AB18" s="32">
        <f t="shared" si="10"/>
        <v>10.632447296058661</v>
      </c>
      <c r="AC18" s="32">
        <f t="shared" si="11"/>
        <v>10.632447296058661</v>
      </c>
      <c r="AD18" s="32">
        <f t="shared" si="12"/>
        <v>10.632447296058661</v>
      </c>
    </row>
    <row r="19" spans="1:30" x14ac:dyDescent="0.25">
      <c r="A19" s="32" t="s">
        <v>35</v>
      </c>
      <c r="B19" s="35" t="s">
        <v>50</v>
      </c>
      <c r="C19" s="32" t="s">
        <v>6</v>
      </c>
      <c r="D19" s="34">
        <v>6200</v>
      </c>
      <c r="E19" s="34">
        <v>28</v>
      </c>
      <c r="F19" s="34">
        <v>30</v>
      </c>
      <c r="G19" s="34">
        <v>33</v>
      </c>
      <c r="H19" s="34">
        <v>37</v>
      </c>
      <c r="I19" s="34">
        <v>40</v>
      </c>
      <c r="J19" s="34">
        <v>43</v>
      </c>
      <c r="K19" s="34">
        <v>45</v>
      </c>
      <c r="L19" s="34">
        <v>47</v>
      </c>
      <c r="M19" s="34">
        <v>48</v>
      </c>
      <c r="N19" s="34">
        <v>48</v>
      </c>
      <c r="O19" s="34">
        <v>49</v>
      </c>
      <c r="P19" s="34">
        <v>49</v>
      </c>
      <c r="Q19" s="34">
        <v>49</v>
      </c>
      <c r="R19" s="32">
        <f t="shared" si="0"/>
        <v>4.5161290322580649</v>
      </c>
      <c r="S19" s="32">
        <f t="shared" si="1"/>
        <v>4.838709677419355</v>
      </c>
      <c r="T19" s="32">
        <f t="shared" si="2"/>
        <v>5.32258064516129</v>
      </c>
      <c r="U19" s="32">
        <f t="shared" si="3"/>
        <v>5.967741935483871</v>
      </c>
      <c r="V19" s="32">
        <f t="shared" si="4"/>
        <v>6.4516129032258061</v>
      </c>
      <c r="W19" s="32">
        <f t="shared" si="5"/>
        <v>6.935483870967742</v>
      </c>
      <c r="X19" s="32">
        <f t="shared" si="6"/>
        <v>7.2580645161290329</v>
      </c>
      <c r="Y19" s="32">
        <f t="shared" si="7"/>
        <v>7.580645161290323</v>
      </c>
      <c r="Z19" s="32">
        <f t="shared" si="8"/>
        <v>7.741935483870968</v>
      </c>
      <c r="AA19" s="32">
        <f t="shared" si="9"/>
        <v>7.741935483870968</v>
      </c>
      <c r="AB19" s="32">
        <f t="shared" si="10"/>
        <v>7.9032258064516139</v>
      </c>
      <c r="AC19" s="32">
        <f t="shared" si="11"/>
        <v>7.9032258064516139</v>
      </c>
      <c r="AD19" s="32">
        <f t="shared" si="12"/>
        <v>7.9032258064516139</v>
      </c>
    </row>
    <row r="20" spans="1:30" x14ac:dyDescent="0.25">
      <c r="A20" s="32" t="s">
        <v>36</v>
      </c>
      <c r="B20" s="35" t="s">
        <v>50</v>
      </c>
      <c r="C20" s="32" t="s">
        <v>6</v>
      </c>
      <c r="D20" s="34">
        <v>7100</v>
      </c>
      <c r="E20" s="36">
        <v>32</v>
      </c>
      <c r="F20" s="36">
        <v>35</v>
      </c>
      <c r="G20" s="36">
        <v>39</v>
      </c>
      <c r="H20" s="36">
        <v>44</v>
      </c>
      <c r="I20" s="36">
        <v>45</v>
      </c>
      <c r="J20" s="36">
        <v>49</v>
      </c>
      <c r="K20" s="36">
        <v>50</v>
      </c>
      <c r="L20" s="36">
        <v>52</v>
      </c>
      <c r="M20" s="36">
        <v>53</v>
      </c>
      <c r="N20" s="36">
        <v>53</v>
      </c>
      <c r="O20" s="36">
        <v>54</v>
      </c>
      <c r="P20" s="36">
        <v>54</v>
      </c>
      <c r="Q20" s="36">
        <v>54</v>
      </c>
      <c r="R20" s="32">
        <f t="shared" si="0"/>
        <v>4.507042253521127</v>
      </c>
      <c r="S20" s="32">
        <f t="shared" si="1"/>
        <v>4.9295774647887329</v>
      </c>
      <c r="T20" s="32">
        <f t="shared" si="2"/>
        <v>5.492957746478873</v>
      </c>
      <c r="U20" s="32">
        <f t="shared" si="3"/>
        <v>6.197183098591549</v>
      </c>
      <c r="V20" s="32">
        <f t="shared" si="4"/>
        <v>6.3380281690140849</v>
      </c>
      <c r="W20" s="32">
        <f t="shared" si="5"/>
        <v>6.901408450704225</v>
      </c>
      <c r="X20" s="32">
        <f t="shared" si="6"/>
        <v>7.042253521126761</v>
      </c>
      <c r="Y20" s="32">
        <f t="shared" si="7"/>
        <v>7.323943661971831</v>
      </c>
      <c r="Z20" s="32">
        <f t="shared" si="8"/>
        <v>7.4647887323943669</v>
      </c>
      <c r="AA20" s="32">
        <f t="shared" si="9"/>
        <v>7.4647887323943669</v>
      </c>
      <c r="AB20" s="32">
        <f t="shared" si="10"/>
        <v>7.605633802816901</v>
      </c>
      <c r="AC20" s="32">
        <f t="shared" si="11"/>
        <v>7.605633802816901</v>
      </c>
      <c r="AD20" s="32">
        <f t="shared" si="12"/>
        <v>7.605633802816901</v>
      </c>
    </row>
    <row r="21" spans="1:30" x14ac:dyDescent="0.25">
      <c r="A21" s="32" t="s">
        <v>37</v>
      </c>
      <c r="B21" s="35" t="s">
        <v>50</v>
      </c>
      <c r="C21" s="32" t="s">
        <v>6</v>
      </c>
      <c r="D21" s="34">
        <v>4204</v>
      </c>
      <c r="E21" s="34">
        <v>24</v>
      </c>
      <c r="F21" s="34">
        <v>26</v>
      </c>
      <c r="G21" s="34">
        <v>29</v>
      </c>
      <c r="H21" s="34">
        <v>33</v>
      </c>
      <c r="I21" s="34">
        <v>36</v>
      </c>
      <c r="J21" s="34">
        <v>39</v>
      </c>
      <c r="K21" s="34">
        <v>41</v>
      </c>
      <c r="L21" s="34">
        <v>43</v>
      </c>
      <c r="M21" s="34">
        <v>44</v>
      </c>
      <c r="N21" s="34">
        <v>44</v>
      </c>
      <c r="O21" s="34">
        <v>45</v>
      </c>
      <c r="P21" s="34">
        <v>45</v>
      </c>
      <c r="Q21" s="34">
        <v>45</v>
      </c>
      <c r="R21" s="32">
        <f t="shared" si="0"/>
        <v>5.7088487155090393</v>
      </c>
      <c r="S21" s="32">
        <f t="shared" si="1"/>
        <v>6.1845861084681255</v>
      </c>
      <c r="T21" s="32">
        <f t="shared" si="2"/>
        <v>6.8981921979067549</v>
      </c>
      <c r="U21" s="32">
        <f t="shared" si="3"/>
        <v>7.8496669838249291</v>
      </c>
      <c r="V21" s="32">
        <f t="shared" si="4"/>
        <v>8.5632730732635576</v>
      </c>
      <c r="W21" s="32">
        <f t="shared" si="5"/>
        <v>9.2768791627021887</v>
      </c>
      <c r="X21" s="32">
        <f t="shared" si="6"/>
        <v>9.7526165556612749</v>
      </c>
      <c r="Y21" s="32">
        <f t="shared" si="7"/>
        <v>10.228353948620361</v>
      </c>
      <c r="Z21" s="32">
        <f t="shared" si="8"/>
        <v>10.466222645099904</v>
      </c>
      <c r="AA21" s="32">
        <f t="shared" si="9"/>
        <v>10.466222645099904</v>
      </c>
      <c r="AB21" s="32">
        <f t="shared" si="10"/>
        <v>10.704091341579447</v>
      </c>
      <c r="AC21" s="32">
        <f t="shared" si="11"/>
        <v>10.704091341579447</v>
      </c>
      <c r="AD21" s="32">
        <f t="shared" si="12"/>
        <v>10.704091341579447</v>
      </c>
    </row>
    <row r="22" spans="1:30" x14ac:dyDescent="0.25">
      <c r="A22" s="32" t="s">
        <v>38</v>
      </c>
      <c r="B22" s="35" t="s">
        <v>53</v>
      </c>
      <c r="C22" s="32" t="s">
        <v>6</v>
      </c>
      <c r="D22" s="34">
        <v>3200</v>
      </c>
      <c r="E22" s="34">
        <v>48</v>
      </c>
      <c r="F22" s="34">
        <v>55</v>
      </c>
      <c r="G22" s="34">
        <v>69</v>
      </c>
      <c r="H22" s="34">
        <v>79</v>
      </c>
      <c r="I22" s="34">
        <v>84</v>
      </c>
      <c r="J22" s="34">
        <v>86</v>
      </c>
      <c r="K22" s="34">
        <v>87</v>
      </c>
      <c r="L22" s="34">
        <v>89</v>
      </c>
      <c r="M22" s="34">
        <v>90</v>
      </c>
      <c r="N22" s="34">
        <v>90</v>
      </c>
      <c r="O22" s="34">
        <v>90</v>
      </c>
      <c r="P22" s="34">
        <v>90</v>
      </c>
      <c r="Q22" s="34">
        <v>90</v>
      </c>
      <c r="R22" s="32">
        <f t="shared" si="0"/>
        <v>15</v>
      </c>
      <c r="S22" s="32">
        <f t="shared" si="1"/>
        <v>17.1875</v>
      </c>
      <c r="T22" s="32">
        <f t="shared" si="2"/>
        <v>21.5625</v>
      </c>
      <c r="U22" s="32">
        <f t="shared" si="3"/>
        <v>24.6875</v>
      </c>
      <c r="V22" s="32">
        <f t="shared" si="4"/>
        <v>26.25</v>
      </c>
      <c r="W22" s="32">
        <f t="shared" si="5"/>
        <v>26.875</v>
      </c>
      <c r="X22" s="32">
        <f t="shared" si="6"/>
        <v>27.1875</v>
      </c>
      <c r="Y22" s="32">
        <f t="shared" si="7"/>
        <v>27.8125</v>
      </c>
      <c r="Z22" s="32">
        <f t="shared" si="8"/>
        <v>28.125</v>
      </c>
      <c r="AA22" s="32">
        <f t="shared" si="9"/>
        <v>28.125</v>
      </c>
      <c r="AB22" s="32">
        <f t="shared" si="10"/>
        <v>28.125</v>
      </c>
      <c r="AC22" s="32">
        <f t="shared" si="11"/>
        <v>28.125</v>
      </c>
      <c r="AD22" s="32">
        <f t="shared" si="12"/>
        <v>28.125</v>
      </c>
    </row>
    <row r="23" spans="1:30" x14ac:dyDescent="0.25">
      <c r="A23" s="32" t="s">
        <v>39</v>
      </c>
      <c r="B23" s="35" t="s">
        <v>53</v>
      </c>
      <c r="C23" s="32" t="s">
        <v>6</v>
      </c>
      <c r="D23" s="34">
        <v>5020</v>
      </c>
      <c r="E23" s="34">
        <v>40</v>
      </c>
      <c r="F23" s="34">
        <v>50</v>
      </c>
      <c r="G23" s="34">
        <v>66</v>
      </c>
      <c r="H23" s="34">
        <v>74</v>
      </c>
      <c r="I23" s="34">
        <v>79</v>
      </c>
      <c r="J23" s="34">
        <v>80</v>
      </c>
      <c r="K23" s="34">
        <v>86</v>
      </c>
      <c r="L23" s="34">
        <v>89</v>
      </c>
      <c r="M23" s="34">
        <v>90</v>
      </c>
      <c r="N23" s="34">
        <v>90</v>
      </c>
      <c r="O23" s="34">
        <v>91</v>
      </c>
      <c r="P23" s="34">
        <v>91</v>
      </c>
      <c r="Q23" s="34">
        <v>91</v>
      </c>
      <c r="R23" s="32">
        <f t="shared" si="0"/>
        <v>7.9681274900398407</v>
      </c>
      <c r="S23" s="32">
        <f t="shared" si="1"/>
        <v>9.9601593625498008</v>
      </c>
      <c r="T23" s="32">
        <f t="shared" si="2"/>
        <v>13.147410358565738</v>
      </c>
      <c r="U23" s="32">
        <f t="shared" si="3"/>
        <v>14.741035856573706</v>
      </c>
      <c r="V23" s="32">
        <f t="shared" si="4"/>
        <v>15.737051792828687</v>
      </c>
      <c r="W23" s="32">
        <f t="shared" si="5"/>
        <v>15.936254980079681</v>
      </c>
      <c r="X23" s="32">
        <f t="shared" si="6"/>
        <v>17.131474103585656</v>
      </c>
      <c r="Y23" s="32">
        <f t="shared" si="7"/>
        <v>17.729083665338646</v>
      </c>
      <c r="Z23" s="32">
        <f t="shared" si="8"/>
        <v>17.928286852589643</v>
      </c>
      <c r="AA23" s="32">
        <f t="shared" si="9"/>
        <v>17.928286852589643</v>
      </c>
      <c r="AB23" s="32">
        <f t="shared" si="10"/>
        <v>18.127490039840637</v>
      </c>
      <c r="AC23" s="32">
        <f t="shared" si="11"/>
        <v>18.127490039840637</v>
      </c>
      <c r="AD23" s="32">
        <f t="shared" si="12"/>
        <v>18.127490039840637</v>
      </c>
    </row>
    <row r="24" spans="1:30" x14ac:dyDescent="0.25">
      <c r="A24" s="32" t="s">
        <v>40</v>
      </c>
      <c r="B24" s="35" t="s">
        <v>50</v>
      </c>
      <c r="C24" s="32" t="s">
        <v>6</v>
      </c>
      <c r="D24" s="34">
        <v>5500</v>
      </c>
      <c r="E24" s="34">
        <v>30</v>
      </c>
      <c r="F24" s="34">
        <v>35</v>
      </c>
      <c r="G24" s="34">
        <v>48</v>
      </c>
      <c r="H24" s="34">
        <v>62</v>
      </c>
      <c r="I24" s="34">
        <v>70</v>
      </c>
      <c r="J24" s="34">
        <v>76</v>
      </c>
      <c r="K24" s="34">
        <v>78</v>
      </c>
      <c r="L24" s="34">
        <v>79</v>
      </c>
      <c r="M24" s="34">
        <v>80</v>
      </c>
      <c r="N24" s="34">
        <v>80</v>
      </c>
      <c r="O24" s="34">
        <v>81</v>
      </c>
      <c r="P24" s="34">
        <v>81</v>
      </c>
      <c r="Q24" s="34">
        <v>82</v>
      </c>
      <c r="R24" s="32">
        <f t="shared" si="0"/>
        <v>5.454545454545455</v>
      </c>
      <c r="S24" s="32">
        <f t="shared" si="1"/>
        <v>6.3636363636363642</v>
      </c>
      <c r="T24" s="32">
        <f t="shared" si="2"/>
        <v>8.7272727272727284</v>
      </c>
      <c r="U24" s="32">
        <f t="shared" si="3"/>
        <v>11.272727272727273</v>
      </c>
      <c r="V24" s="32">
        <f t="shared" si="4"/>
        <v>12.727272727272728</v>
      </c>
      <c r="W24" s="32">
        <f t="shared" si="5"/>
        <v>13.818181818181818</v>
      </c>
      <c r="X24" s="32">
        <f t="shared" si="6"/>
        <v>14.181818181818183</v>
      </c>
      <c r="Y24" s="32">
        <f t="shared" si="7"/>
        <v>14.363636363636363</v>
      </c>
      <c r="Z24" s="32">
        <f t="shared" si="8"/>
        <v>14.545454545454545</v>
      </c>
      <c r="AA24" s="32">
        <f t="shared" si="9"/>
        <v>14.545454545454545</v>
      </c>
      <c r="AB24" s="32">
        <f t="shared" si="10"/>
        <v>14.727272727272728</v>
      </c>
      <c r="AC24" s="32">
        <f t="shared" si="11"/>
        <v>14.727272727272728</v>
      </c>
      <c r="AD24" s="32">
        <f t="shared" si="12"/>
        <v>14.909090909090908</v>
      </c>
    </row>
    <row r="25" spans="1:30" x14ac:dyDescent="0.25">
      <c r="A25" s="32" t="s">
        <v>41</v>
      </c>
      <c r="B25" s="35" t="s">
        <v>53</v>
      </c>
      <c r="C25" s="32" t="s">
        <v>6</v>
      </c>
      <c r="D25" s="34">
        <v>4500</v>
      </c>
      <c r="E25" s="34">
        <v>33</v>
      </c>
      <c r="F25" s="34">
        <v>37</v>
      </c>
      <c r="G25" s="34">
        <v>49</v>
      </c>
      <c r="H25" s="34">
        <v>58</v>
      </c>
      <c r="I25" s="34">
        <v>61</v>
      </c>
      <c r="J25" s="34">
        <v>63</v>
      </c>
      <c r="K25" s="34">
        <v>64</v>
      </c>
      <c r="L25" s="34">
        <v>67</v>
      </c>
      <c r="M25" s="34">
        <v>67</v>
      </c>
      <c r="N25" s="34">
        <v>67</v>
      </c>
      <c r="O25" s="34">
        <v>68</v>
      </c>
      <c r="P25" s="34">
        <v>70</v>
      </c>
      <c r="Q25" s="34">
        <v>71</v>
      </c>
      <c r="R25" s="32">
        <f t="shared" si="0"/>
        <v>7.333333333333333</v>
      </c>
      <c r="S25" s="32">
        <f t="shared" si="1"/>
        <v>8.2222222222222232</v>
      </c>
      <c r="T25" s="32">
        <f t="shared" si="2"/>
        <v>10.888888888888889</v>
      </c>
      <c r="U25" s="32">
        <f t="shared" si="3"/>
        <v>12.888888888888889</v>
      </c>
      <c r="V25" s="32">
        <f t="shared" si="4"/>
        <v>13.555555555555555</v>
      </c>
      <c r="W25" s="32">
        <f t="shared" si="5"/>
        <v>14</v>
      </c>
      <c r="X25" s="32">
        <f t="shared" si="6"/>
        <v>14.222222222222223</v>
      </c>
      <c r="Y25" s="32">
        <f t="shared" si="7"/>
        <v>14.888888888888889</v>
      </c>
      <c r="Z25" s="32">
        <f t="shared" si="8"/>
        <v>14.888888888888889</v>
      </c>
      <c r="AA25" s="32">
        <f t="shared" si="9"/>
        <v>14.888888888888889</v>
      </c>
      <c r="AB25" s="32">
        <f t="shared" si="10"/>
        <v>15.111111111111112</v>
      </c>
      <c r="AC25" s="32">
        <f t="shared" si="11"/>
        <v>15.555555555555555</v>
      </c>
      <c r="AD25" s="32">
        <f t="shared" si="12"/>
        <v>15.777777777777779</v>
      </c>
    </row>
    <row r="26" spans="1:30" x14ac:dyDescent="0.25">
      <c r="A26" s="32" t="s">
        <v>42</v>
      </c>
      <c r="B26" s="35" t="s">
        <v>53</v>
      </c>
      <c r="C26" s="32" t="s">
        <v>6</v>
      </c>
      <c r="D26" s="34">
        <v>5600</v>
      </c>
      <c r="E26" s="34">
        <v>45</v>
      </c>
      <c r="F26" s="34">
        <v>52</v>
      </c>
      <c r="G26" s="34">
        <v>66</v>
      </c>
      <c r="H26" s="34">
        <v>76</v>
      </c>
      <c r="I26" s="34">
        <v>81</v>
      </c>
      <c r="J26" s="34">
        <v>83</v>
      </c>
      <c r="K26" s="34">
        <v>84</v>
      </c>
      <c r="L26" s="34">
        <v>86</v>
      </c>
      <c r="M26" s="34">
        <v>87</v>
      </c>
      <c r="N26" s="34">
        <v>87</v>
      </c>
      <c r="O26" s="34">
        <v>87</v>
      </c>
      <c r="P26" s="34">
        <v>87</v>
      </c>
      <c r="Q26" s="34">
        <v>87</v>
      </c>
      <c r="R26" s="32">
        <f t="shared" si="0"/>
        <v>8.0357142857142847</v>
      </c>
      <c r="S26" s="32">
        <f t="shared" si="1"/>
        <v>9.2857142857142865</v>
      </c>
      <c r="T26" s="32">
        <f t="shared" si="2"/>
        <v>11.785714285714286</v>
      </c>
      <c r="U26" s="32">
        <f t="shared" si="3"/>
        <v>13.571428571428571</v>
      </c>
      <c r="V26" s="32">
        <f t="shared" si="4"/>
        <v>14.464285714285714</v>
      </c>
      <c r="W26" s="32">
        <f t="shared" si="5"/>
        <v>14.821428571428573</v>
      </c>
      <c r="X26" s="32">
        <f t="shared" si="6"/>
        <v>15</v>
      </c>
      <c r="Y26" s="32">
        <f t="shared" si="7"/>
        <v>15.357142857142858</v>
      </c>
      <c r="Z26" s="32">
        <f t="shared" si="8"/>
        <v>15.535714285714286</v>
      </c>
      <c r="AA26" s="32">
        <f t="shared" si="9"/>
        <v>15.535714285714286</v>
      </c>
      <c r="AB26" s="32">
        <f t="shared" si="10"/>
        <v>15.535714285714286</v>
      </c>
      <c r="AC26" s="32">
        <f t="shared" si="11"/>
        <v>15.535714285714286</v>
      </c>
      <c r="AD26" s="32">
        <f t="shared" si="12"/>
        <v>15.535714285714286</v>
      </c>
    </row>
    <row r="27" spans="1:30" x14ac:dyDescent="0.25">
      <c r="A27" s="32" t="s">
        <v>43</v>
      </c>
      <c r="B27" s="35" t="s">
        <v>53</v>
      </c>
      <c r="C27" s="32" t="s">
        <v>6</v>
      </c>
      <c r="D27" s="34">
        <v>5600</v>
      </c>
      <c r="E27" s="34">
        <v>46</v>
      </c>
      <c r="F27" s="34">
        <v>56</v>
      </c>
      <c r="G27" s="34">
        <v>72</v>
      </c>
      <c r="H27" s="34">
        <v>80</v>
      </c>
      <c r="I27" s="34">
        <v>85</v>
      </c>
      <c r="J27" s="34">
        <v>86</v>
      </c>
      <c r="K27" s="34">
        <v>92</v>
      </c>
      <c r="L27" s="34">
        <v>95</v>
      </c>
      <c r="M27" s="34">
        <v>96</v>
      </c>
      <c r="N27" s="34">
        <v>96</v>
      </c>
      <c r="O27" s="34">
        <v>97</v>
      </c>
      <c r="P27" s="34">
        <v>97</v>
      </c>
      <c r="Q27" s="34">
        <v>97</v>
      </c>
      <c r="R27" s="32">
        <f t="shared" si="0"/>
        <v>8.2142857142857135</v>
      </c>
      <c r="S27" s="32">
        <f t="shared" si="1"/>
        <v>10</v>
      </c>
      <c r="T27" s="32">
        <f t="shared" si="2"/>
        <v>12.857142857142858</v>
      </c>
      <c r="U27" s="32">
        <f t="shared" si="3"/>
        <v>14.285714285714285</v>
      </c>
      <c r="V27" s="32">
        <f t="shared" si="4"/>
        <v>15.178571428571429</v>
      </c>
      <c r="W27" s="32">
        <f t="shared" si="5"/>
        <v>15.357142857142858</v>
      </c>
      <c r="X27" s="32">
        <f t="shared" si="6"/>
        <v>16.428571428571427</v>
      </c>
      <c r="Y27" s="32">
        <f t="shared" si="7"/>
        <v>16.964285714285712</v>
      </c>
      <c r="Z27" s="32">
        <f t="shared" si="8"/>
        <v>17.142857142857142</v>
      </c>
      <c r="AA27" s="32">
        <f t="shared" si="9"/>
        <v>17.142857142857142</v>
      </c>
      <c r="AB27" s="32">
        <f t="shared" si="10"/>
        <v>17.321428571428569</v>
      </c>
      <c r="AC27" s="32">
        <f t="shared" si="11"/>
        <v>17.321428571428569</v>
      </c>
      <c r="AD27" s="32">
        <f t="shared" si="12"/>
        <v>17.321428571428569</v>
      </c>
    </row>
    <row r="28" spans="1:30" x14ac:dyDescent="0.25">
      <c r="A28" s="32" t="s">
        <v>44</v>
      </c>
      <c r="B28" s="35" t="s">
        <v>50</v>
      </c>
      <c r="C28" s="32" t="s">
        <v>6</v>
      </c>
      <c r="D28" s="34">
        <v>6100</v>
      </c>
      <c r="E28" s="34">
        <v>60</v>
      </c>
      <c r="F28" s="34">
        <v>75</v>
      </c>
      <c r="G28" s="34">
        <v>88</v>
      </c>
      <c r="H28" s="34">
        <v>102</v>
      </c>
      <c r="I28" s="34">
        <v>110</v>
      </c>
      <c r="J28" s="34">
        <v>116</v>
      </c>
      <c r="K28" s="34">
        <v>118</v>
      </c>
      <c r="L28" s="34">
        <v>119</v>
      </c>
      <c r="M28" s="34">
        <v>120</v>
      </c>
      <c r="N28" s="34">
        <v>120</v>
      </c>
      <c r="O28" s="34">
        <v>121</v>
      </c>
      <c r="P28" s="34">
        <v>123</v>
      </c>
      <c r="Q28" s="34">
        <v>123</v>
      </c>
      <c r="R28" s="32">
        <f t="shared" si="0"/>
        <v>9.8360655737704921</v>
      </c>
      <c r="S28" s="32">
        <f t="shared" si="1"/>
        <v>12.295081967213115</v>
      </c>
      <c r="T28" s="32">
        <f t="shared" si="2"/>
        <v>14.426229508196721</v>
      </c>
      <c r="U28" s="32">
        <f t="shared" si="3"/>
        <v>16.721311475409834</v>
      </c>
      <c r="V28" s="32">
        <f t="shared" si="4"/>
        <v>18.032786885245901</v>
      </c>
      <c r="W28" s="32">
        <f t="shared" si="5"/>
        <v>19.016393442622952</v>
      </c>
      <c r="X28" s="32">
        <f t="shared" si="6"/>
        <v>19.344262295081968</v>
      </c>
      <c r="Y28" s="32">
        <f t="shared" si="7"/>
        <v>19.508196721311474</v>
      </c>
      <c r="Z28" s="32">
        <f t="shared" si="8"/>
        <v>19.672131147540984</v>
      </c>
      <c r="AA28" s="32">
        <f t="shared" si="9"/>
        <v>19.672131147540984</v>
      </c>
      <c r="AB28" s="32">
        <f t="shared" si="10"/>
        <v>19.836065573770494</v>
      </c>
      <c r="AC28" s="32">
        <f t="shared" si="11"/>
        <v>20.16393442622951</v>
      </c>
      <c r="AD28" s="32">
        <f t="shared" si="12"/>
        <v>20.16393442622951</v>
      </c>
    </row>
    <row r="29" spans="1:30" x14ac:dyDescent="0.25">
      <c r="A29" s="32" t="s">
        <v>45</v>
      </c>
      <c r="B29" s="35" t="s">
        <v>53</v>
      </c>
      <c r="C29" s="32" t="s">
        <v>6</v>
      </c>
      <c r="D29" s="34">
        <v>6750</v>
      </c>
      <c r="E29" s="34">
        <v>55</v>
      </c>
      <c r="F29" s="34">
        <v>69</v>
      </c>
      <c r="G29" s="34">
        <v>81</v>
      </c>
      <c r="H29" s="34">
        <v>90</v>
      </c>
      <c r="I29" s="34">
        <v>93</v>
      </c>
      <c r="J29" s="34">
        <v>95</v>
      </c>
      <c r="K29" s="34">
        <v>96</v>
      </c>
      <c r="L29" s="34">
        <v>99</v>
      </c>
      <c r="M29" s="34">
        <v>99</v>
      </c>
      <c r="N29" s="34">
        <v>99</v>
      </c>
      <c r="O29" s="34">
        <v>100</v>
      </c>
      <c r="P29" s="34">
        <v>102</v>
      </c>
      <c r="Q29" s="34">
        <v>102</v>
      </c>
      <c r="R29" s="32">
        <f t="shared" si="0"/>
        <v>8.148148148148147</v>
      </c>
      <c r="S29" s="32">
        <f t="shared" si="1"/>
        <v>10.222222222222223</v>
      </c>
      <c r="T29" s="32">
        <f t="shared" si="2"/>
        <v>12</v>
      </c>
      <c r="U29" s="32">
        <f t="shared" si="3"/>
        <v>13.333333333333334</v>
      </c>
      <c r="V29" s="32">
        <f t="shared" si="4"/>
        <v>13.777777777777779</v>
      </c>
      <c r="W29" s="32">
        <f t="shared" si="5"/>
        <v>14.074074074074074</v>
      </c>
      <c r="X29" s="32">
        <f t="shared" si="6"/>
        <v>14.222222222222223</v>
      </c>
      <c r="Y29" s="32">
        <f t="shared" si="7"/>
        <v>14.666666666666666</v>
      </c>
      <c r="Z29" s="32">
        <f t="shared" si="8"/>
        <v>14.666666666666666</v>
      </c>
      <c r="AA29" s="32">
        <f t="shared" si="9"/>
        <v>14.666666666666666</v>
      </c>
      <c r="AB29" s="32">
        <f t="shared" si="10"/>
        <v>14.814814814814815</v>
      </c>
      <c r="AC29" s="32">
        <f t="shared" si="11"/>
        <v>15.111111111111112</v>
      </c>
      <c r="AD29" s="32">
        <f t="shared" si="12"/>
        <v>15.111111111111112</v>
      </c>
    </row>
    <row r="30" spans="1:30" x14ac:dyDescent="0.25">
      <c r="A30" s="32" t="s">
        <v>46</v>
      </c>
      <c r="B30" s="35" t="s">
        <v>53</v>
      </c>
      <c r="C30" s="32" t="s">
        <v>6</v>
      </c>
      <c r="D30" s="34">
        <v>7504</v>
      </c>
      <c r="E30" s="34">
        <v>50</v>
      </c>
      <c r="F30" s="34">
        <v>60</v>
      </c>
      <c r="G30" s="34">
        <v>76</v>
      </c>
      <c r="H30" s="34">
        <v>84</v>
      </c>
      <c r="I30" s="34">
        <v>89</v>
      </c>
      <c r="J30" s="34">
        <v>90</v>
      </c>
      <c r="K30" s="34">
        <v>96</v>
      </c>
      <c r="L30" s="34">
        <v>99</v>
      </c>
      <c r="M30" s="34">
        <v>100</v>
      </c>
      <c r="N30" s="34">
        <v>100</v>
      </c>
      <c r="O30" s="34">
        <v>101</v>
      </c>
      <c r="P30" s="34">
        <v>101</v>
      </c>
      <c r="Q30" s="34">
        <v>101</v>
      </c>
      <c r="R30" s="32">
        <f t="shared" si="0"/>
        <v>6.6631130063965882</v>
      </c>
      <c r="S30" s="32">
        <f t="shared" si="1"/>
        <v>7.9957356076759067</v>
      </c>
      <c r="T30" s="32">
        <f t="shared" si="2"/>
        <v>10.127931769722816</v>
      </c>
      <c r="U30" s="32">
        <f t="shared" si="3"/>
        <v>11.194029850746269</v>
      </c>
      <c r="V30" s="32">
        <f t="shared" si="4"/>
        <v>11.860341151385928</v>
      </c>
      <c r="W30" s="32">
        <f t="shared" si="5"/>
        <v>11.99360341151386</v>
      </c>
      <c r="X30" s="32">
        <f t="shared" si="6"/>
        <v>12.793176972281449</v>
      </c>
      <c r="Y30" s="32">
        <f t="shared" si="7"/>
        <v>13.192963752665245</v>
      </c>
      <c r="Z30" s="32">
        <f t="shared" si="8"/>
        <v>13.326226012793176</v>
      </c>
      <c r="AA30" s="32">
        <f t="shared" si="9"/>
        <v>13.326226012793176</v>
      </c>
      <c r="AB30" s="32">
        <f t="shared" si="10"/>
        <v>13.459488272921108</v>
      </c>
      <c r="AC30" s="32">
        <f t="shared" si="11"/>
        <v>13.459488272921108</v>
      </c>
      <c r="AD30" s="32">
        <f t="shared" si="12"/>
        <v>13.459488272921108</v>
      </c>
    </row>
    <row r="31" spans="1:30" x14ac:dyDescent="0.25">
      <c r="A31" s="32" t="s">
        <v>47</v>
      </c>
      <c r="B31" s="35" t="s">
        <v>50</v>
      </c>
      <c r="C31" s="32" t="s">
        <v>6</v>
      </c>
      <c r="D31" s="34">
        <v>4932</v>
      </c>
      <c r="E31" s="34">
        <v>63</v>
      </c>
      <c r="F31" s="34">
        <v>78</v>
      </c>
      <c r="G31" s="34">
        <v>91</v>
      </c>
      <c r="H31" s="34">
        <v>105</v>
      </c>
      <c r="I31" s="34">
        <v>113</v>
      </c>
      <c r="J31" s="34">
        <v>119</v>
      </c>
      <c r="K31" s="34">
        <v>121</v>
      </c>
      <c r="L31" s="34">
        <v>122</v>
      </c>
      <c r="M31" s="34">
        <v>123</v>
      </c>
      <c r="N31" s="34">
        <v>123</v>
      </c>
      <c r="O31" s="34">
        <v>124</v>
      </c>
      <c r="P31" s="34">
        <v>126</v>
      </c>
      <c r="Q31" s="34">
        <v>126</v>
      </c>
      <c r="R31" s="32">
        <f t="shared" si="0"/>
        <v>12.773722627737227</v>
      </c>
      <c r="S31" s="32">
        <f t="shared" si="1"/>
        <v>15.815085158150852</v>
      </c>
      <c r="T31" s="32">
        <f t="shared" si="2"/>
        <v>18.450932684509329</v>
      </c>
      <c r="U31" s="32">
        <f t="shared" si="3"/>
        <v>21.289537712895374</v>
      </c>
      <c r="V31" s="32">
        <f t="shared" si="4"/>
        <v>22.911597729115979</v>
      </c>
      <c r="W31" s="32">
        <f t="shared" si="5"/>
        <v>24.128142741281426</v>
      </c>
      <c r="X31" s="32">
        <f t="shared" si="6"/>
        <v>24.533657745336576</v>
      </c>
      <c r="Y31" s="32">
        <f t="shared" si="7"/>
        <v>24.73641524736415</v>
      </c>
      <c r="Z31" s="32">
        <f t="shared" si="8"/>
        <v>24.939172749391727</v>
      </c>
      <c r="AA31" s="32">
        <f t="shared" si="9"/>
        <v>24.939172749391727</v>
      </c>
      <c r="AB31" s="32">
        <f t="shared" si="10"/>
        <v>25.141930251419303</v>
      </c>
      <c r="AC31" s="32">
        <f t="shared" si="11"/>
        <v>25.547445255474454</v>
      </c>
      <c r="AD31" s="32">
        <f t="shared" si="12"/>
        <v>25.547445255474454</v>
      </c>
    </row>
    <row r="32" spans="1:30" x14ac:dyDescent="0.25">
      <c r="A32" s="32" t="s">
        <v>5</v>
      </c>
      <c r="B32" s="35" t="s">
        <v>53</v>
      </c>
      <c r="C32" s="32" t="s">
        <v>7</v>
      </c>
      <c r="D32" s="34">
        <v>2400</v>
      </c>
      <c r="E32" s="34">
        <v>45</v>
      </c>
      <c r="F32" s="34">
        <v>43</v>
      </c>
      <c r="G32" s="34">
        <v>41</v>
      </c>
      <c r="H32" s="34">
        <v>38</v>
      </c>
      <c r="I32" s="34">
        <v>34</v>
      </c>
      <c r="J32" s="34">
        <v>37</v>
      </c>
      <c r="K32" s="34">
        <v>35</v>
      </c>
      <c r="L32" s="34">
        <v>29</v>
      </c>
      <c r="M32" s="34">
        <v>18</v>
      </c>
      <c r="N32" s="34">
        <v>13</v>
      </c>
      <c r="O32" s="34">
        <v>8</v>
      </c>
      <c r="P32" s="34">
        <v>4</v>
      </c>
      <c r="Q32" s="34">
        <v>5</v>
      </c>
      <c r="R32" s="32">
        <f t="shared" si="0"/>
        <v>18.75</v>
      </c>
      <c r="S32" s="32">
        <f t="shared" si="1"/>
        <v>17.916666666666668</v>
      </c>
      <c r="T32" s="32">
        <f t="shared" si="2"/>
        <v>17.083333333333332</v>
      </c>
      <c r="U32" s="32">
        <f t="shared" si="3"/>
        <v>15.833333333333334</v>
      </c>
      <c r="V32" s="32">
        <f t="shared" si="4"/>
        <v>14.166666666666666</v>
      </c>
      <c r="W32" s="32">
        <f t="shared" si="5"/>
        <v>15.416666666666668</v>
      </c>
      <c r="X32" s="32">
        <f t="shared" si="6"/>
        <v>14.583333333333334</v>
      </c>
      <c r="Y32" s="32">
        <f t="shared" si="7"/>
        <v>12.083333333333334</v>
      </c>
      <c r="Z32" s="32">
        <f t="shared" si="8"/>
        <v>7.5</v>
      </c>
      <c r="AA32" s="32">
        <f t="shared" si="9"/>
        <v>5.416666666666667</v>
      </c>
      <c r="AB32" s="32">
        <f t="shared" si="10"/>
        <v>3.3333333333333335</v>
      </c>
      <c r="AC32" s="32">
        <f t="shared" si="11"/>
        <v>1.6666666666666667</v>
      </c>
      <c r="AD32" s="32">
        <f t="shared" si="12"/>
        <v>2.0833333333333335</v>
      </c>
    </row>
    <row r="33" spans="1:30" x14ac:dyDescent="0.25">
      <c r="A33" s="32" t="s">
        <v>8</v>
      </c>
      <c r="B33" s="35" t="s">
        <v>50</v>
      </c>
      <c r="C33" s="32" t="s">
        <v>7</v>
      </c>
      <c r="D33" s="34">
        <v>3780</v>
      </c>
      <c r="E33" s="32">
        <v>38</v>
      </c>
      <c r="F33" s="32">
        <v>40</v>
      </c>
      <c r="G33" s="32">
        <v>40</v>
      </c>
      <c r="H33" s="32">
        <v>39</v>
      </c>
      <c r="I33" s="32">
        <v>37</v>
      </c>
      <c r="J33" s="32">
        <v>36</v>
      </c>
      <c r="K33" s="32">
        <v>30</v>
      </c>
      <c r="L33" s="32">
        <v>27</v>
      </c>
      <c r="M33" s="32">
        <v>17</v>
      </c>
      <c r="N33" s="32">
        <v>11</v>
      </c>
      <c r="O33" s="32">
        <v>5</v>
      </c>
      <c r="P33" s="32">
        <v>2</v>
      </c>
      <c r="Q33" s="32">
        <v>2</v>
      </c>
      <c r="R33" s="32">
        <f t="shared" si="0"/>
        <v>10.052910052910054</v>
      </c>
      <c r="S33" s="32">
        <f t="shared" si="1"/>
        <v>10.582010582010582</v>
      </c>
      <c r="T33" s="32">
        <f t="shared" si="2"/>
        <v>10.582010582010582</v>
      </c>
      <c r="U33" s="32">
        <f t="shared" si="3"/>
        <v>10.317460317460318</v>
      </c>
      <c r="V33" s="32">
        <f t="shared" si="4"/>
        <v>9.7883597883597897</v>
      </c>
      <c r="W33" s="32">
        <f t="shared" si="5"/>
        <v>9.5238095238095255</v>
      </c>
      <c r="X33" s="32">
        <f t="shared" si="6"/>
        <v>7.9365079365079358</v>
      </c>
      <c r="Y33" s="32">
        <f t="shared" si="7"/>
        <v>7.1428571428571423</v>
      </c>
      <c r="Z33" s="32">
        <f t="shared" si="8"/>
        <v>4.4973544973544977</v>
      </c>
      <c r="AA33" s="32">
        <f t="shared" si="9"/>
        <v>2.9100529100529098</v>
      </c>
      <c r="AB33" s="32">
        <f t="shared" si="10"/>
        <v>1.3227513227513228</v>
      </c>
      <c r="AC33" s="32">
        <f t="shared" si="11"/>
        <v>0.52910052910052918</v>
      </c>
      <c r="AD33" s="32">
        <f t="shared" si="12"/>
        <v>0.52910052910052918</v>
      </c>
    </row>
    <row r="34" spans="1:30" x14ac:dyDescent="0.25">
      <c r="A34" s="32" t="s">
        <v>7</v>
      </c>
      <c r="B34" s="35" t="s">
        <v>53</v>
      </c>
      <c r="C34" s="32" t="s">
        <v>7</v>
      </c>
      <c r="D34" s="34">
        <v>4593</v>
      </c>
      <c r="E34" s="32">
        <v>41</v>
      </c>
      <c r="F34" s="32">
        <v>40</v>
      </c>
      <c r="G34" s="32">
        <v>35</v>
      </c>
      <c r="H34" s="32">
        <v>32</v>
      </c>
      <c r="I34" s="32">
        <v>31</v>
      </c>
      <c r="J34" s="32">
        <v>28</v>
      </c>
      <c r="K34" s="32">
        <v>27</v>
      </c>
      <c r="L34" s="32">
        <v>18</v>
      </c>
      <c r="M34" s="32">
        <v>7</v>
      </c>
      <c r="N34" s="32">
        <v>2</v>
      </c>
      <c r="O34" s="32">
        <v>1</v>
      </c>
      <c r="P34" s="32">
        <v>1</v>
      </c>
      <c r="Q34" s="32">
        <v>1</v>
      </c>
      <c r="R34" s="32">
        <f t="shared" ref="R34:R61" si="13">(E34/D34)*1000</f>
        <v>8.9266274765948186</v>
      </c>
      <c r="S34" s="32">
        <f t="shared" ref="S34:S61" si="14">(F34/D34)*1000</f>
        <v>8.7089048552144561</v>
      </c>
      <c r="T34" s="32">
        <f t="shared" ref="T34:T61" si="15">(G34/D34)*1000</f>
        <v>7.62029174831265</v>
      </c>
      <c r="U34" s="32">
        <f t="shared" ref="U34:U61" si="16">(H34/D34)*1000</f>
        <v>6.9671238841715653</v>
      </c>
      <c r="V34" s="32">
        <f t="shared" ref="V34:V61" si="17">(I34/D34)*1000</f>
        <v>6.7494012627912037</v>
      </c>
      <c r="W34" s="32">
        <f t="shared" ref="W34:W61" si="18">(J34/D34)*1000</f>
        <v>6.0962333986501189</v>
      </c>
      <c r="X34" s="32">
        <f t="shared" ref="X34:X61" si="19">(K34/D34)*1000</f>
        <v>5.8785107772697582</v>
      </c>
      <c r="Y34" s="32">
        <f t="shared" ref="Y34:Y61" si="20">(L34/D34)*1000</f>
        <v>3.9190071848465058</v>
      </c>
      <c r="Z34" s="32">
        <f t="shared" ref="Z34:Z61" si="21">(M34/D34)*1000</f>
        <v>1.5240583496625297</v>
      </c>
      <c r="AA34" s="32">
        <f t="shared" ref="AA34:AA61" si="22">(N34/D34)*1000</f>
        <v>0.43544524276072283</v>
      </c>
      <c r="AB34" s="32">
        <f t="shared" ref="AB34:AB61" si="23">(O34/D34)*1000</f>
        <v>0.21772262138036141</v>
      </c>
      <c r="AC34" s="32">
        <f t="shared" ref="AC34:AC61" si="24">(P34/D34)*1000</f>
        <v>0.21772262138036141</v>
      </c>
      <c r="AD34" s="32">
        <f t="shared" ref="AD34:AD61" si="25">(Q34/D34)*1000</f>
        <v>0.21772262138036141</v>
      </c>
    </row>
    <row r="35" spans="1:30" x14ac:dyDescent="0.25">
      <c r="A35" s="32" t="s">
        <v>9</v>
      </c>
      <c r="B35" s="35" t="s">
        <v>53</v>
      </c>
      <c r="C35" s="32" t="s">
        <v>7</v>
      </c>
      <c r="D35" s="34">
        <v>3690</v>
      </c>
      <c r="E35" s="32">
        <v>33</v>
      </c>
      <c r="F35" s="32">
        <v>29</v>
      </c>
      <c r="G35" s="32">
        <v>27</v>
      </c>
      <c r="H35" s="32">
        <v>28</v>
      </c>
      <c r="I35" s="32">
        <v>25</v>
      </c>
      <c r="J35" s="32">
        <v>24</v>
      </c>
      <c r="K35" s="32">
        <v>18</v>
      </c>
      <c r="L35" s="32">
        <v>13</v>
      </c>
      <c r="M35" s="32">
        <v>6</v>
      </c>
      <c r="N35" s="32">
        <v>2</v>
      </c>
      <c r="O35" s="32">
        <v>1</v>
      </c>
      <c r="P35" s="32">
        <v>0</v>
      </c>
      <c r="Q35" s="32">
        <v>0</v>
      </c>
      <c r="R35" s="32">
        <f t="shared" si="13"/>
        <v>8.9430894308943092</v>
      </c>
      <c r="S35" s="32">
        <f t="shared" si="14"/>
        <v>7.8590785907859084</v>
      </c>
      <c r="T35" s="32">
        <f t="shared" si="15"/>
        <v>7.3170731707317076</v>
      </c>
      <c r="U35" s="32">
        <f t="shared" si="16"/>
        <v>7.588075880758808</v>
      </c>
      <c r="V35" s="32">
        <f t="shared" si="17"/>
        <v>6.7750677506775068</v>
      </c>
      <c r="W35" s="32">
        <f t="shared" si="18"/>
        <v>6.5040650406504064</v>
      </c>
      <c r="X35" s="32">
        <f t="shared" si="19"/>
        <v>4.8780487804878048</v>
      </c>
      <c r="Y35" s="32">
        <f t="shared" si="20"/>
        <v>3.5230352303523036</v>
      </c>
      <c r="Z35" s="32">
        <f t="shared" si="21"/>
        <v>1.6260162601626016</v>
      </c>
      <c r="AA35" s="32">
        <f t="shared" si="22"/>
        <v>0.54200542005420049</v>
      </c>
      <c r="AB35" s="32">
        <f t="shared" si="23"/>
        <v>0.27100271002710025</v>
      </c>
      <c r="AC35" s="32">
        <f t="shared" si="24"/>
        <v>0</v>
      </c>
      <c r="AD35" s="32">
        <f t="shared" si="25"/>
        <v>0</v>
      </c>
    </row>
    <row r="36" spans="1:30" x14ac:dyDescent="0.25">
      <c r="A36" s="32" t="s">
        <v>10</v>
      </c>
      <c r="B36" s="35" t="s">
        <v>53</v>
      </c>
      <c r="C36" s="32" t="s">
        <v>7</v>
      </c>
      <c r="D36" s="34">
        <v>4400</v>
      </c>
      <c r="E36" s="32">
        <v>55</v>
      </c>
      <c r="F36" s="32">
        <v>50</v>
      </c>
      <c r="G36" s="32">
        <v>48</v>
      </c>
      <c r="H36" s="32">
        <v>42</v>
      </c>
      <c r="I36" s="32">
        <v>38</v>
      </c>
      <c r="J36" s="32">
        <v>39</v>
      </c>
      <c r="K36" s="32">
        <v>37</v>
      </c>
      <c r="L36" s="32">
        <v>31</v>
      </c>
      <c r="M36" s="32">
        <v>20</v>
      </c>
      <c r="N36" s="32">
        <v>15</v>
      </c>
      <c r="O36" s="32">
        <v>10</v>
      </c>
      <c r="P36" s="32">
        <v>6</v>
      </c>
      <c r="Q36" s="32">
        <v>6</v>
      </c>
      <c r="R36" s="32">
        <f t="shared" si="13"/>
        <v>12.5</v>
      </c>
      <c r="S36" s="32">
        <f t="shared" si="14"/>
        <v>11.363636363636363</v>
      </c>
      <c r="T36" s="32">
        <f t="shared" si="15"/>
        <v>10.90909090909091</v>
      </c>
      <c r="U36" s="32">
        <f t="shared" si="16"/>
        <v>9.5454545454545467</v>
      </c>
      <c r="V36" s="32">
        <f t="shared" si="17"/>
        <v>8.6363636363636367</v>
      </c>
      <c r="W36" s="32">
        <f t="shared" si="18"/>
        <v>8.8636363636363633</v>
      </c>
      <c r="X36" s="32">
        <f t="shared" si="19"/>
        <v>8.4090909090909101</v>
      </c>
      <c r="Y36" s="32">
        <f t="shared" si="20"/>
        <v>7.0454545454545459</v>
      </c>
      <c r="Z36" s="32">
        <f t="shared" si="21"/>
        <v>4.545454545454545</v>
      </c>
      <c r="AA36" s="32">
        <f t="shared" si="22"/>
        <v>3.4090909090909087</v>
      </c>
      <c r="AB36" s="32">
        <f t="shared" si="23"/>
        <v>2.2727272727272725</v>
      </c>
      <c r="AC36" s="32">
        <f t="shared" si="24"/>
        <v>1.3636363636363638</v>
      </c>
      <c r="AD36" s="32">
        <f t="shared" si="25"/>
        <v>1.3636363636363638</v>
      </c>
    </row>
    <row r="37" spans="1:30" x14ac:dyDescent="0.25">
      <c r="A37" s="32" t="s">
        <v>11</v>
      </c>
      <c r="B37" s="35" t="s">
        <v>53</v>
      </c>
      <c r="C37" s="32" t="s">
        <v>7</v>
      </c>
      <c r="D37" s="34">
        <v>4450</v>
      </c>
      <c r="E37" s="32">
        <v>56</v>
      </c>
      <c r="F37" s="32">
        <v>52</v>
      </c>
      <c r="G37" s="32">
        <v>52</v>
      </c>
      <c r="H37" s="32">
        <v>41</v>
      </c>
      <c r="I37" s="32">
        <v>39</v>
      </c>
      <c r="J37" s="32">
        <v>38</v>
      </c>
      <c r="K37" s="32">
        <v>30</v>
      </c>
      <c r="L37" s="32">
        <v>27</v>
      </c>
      <c r="M37" s="32">
        <v>17</v>
      </c>
      <c r="N37" s="32">
        <v>11</v>
      </c>
      <c r="O37" s="32">
        <v>5</v>
      </c>
      <c r="P37" s="32">
        <v>2</v>
      </c>
      <c r="Q37" s="32">
        <v>2</v>
      </c>
      <c r="R37" s="32">
        <f t="shared" si="13"/>
        <v>12.584269662921349</v>
      </c>
      <c r="S37" s="32">
        <f t="shared" si="14"/>
        <v>11.685393258426966</v>
      </c>
      <c r="T37" s="32">
        <f t="shared" si="15"/>
        <v>11.685393258426966</v>
      </c>
      <c r="U37" s="32">
        <f t="shared" si="16"/>
        <v>9.213483146067416</v>
      </c>
      <c r="V37" s="32">
        <f t="shared" si="17"/>
        <v>8.7640449438202257</v>
      </c>
      <c r="W37" s="32">
        <f t="shared" si="18"/>
        <v>8.5393258426966305</v>
      </c>
      <c r="X37" s="32">
        <f t="shared" si="19"/>
        <v>6.7415730337078656</v>
      </c>
      <c r="Y37" s="32">
        <f t="shared" si="20"/>
        <v>6.0674157303370784</v>
      </c>
      <c r="Z37" s="32">
        <f t="shared" si="21"/>
        <v>3.8202247191011236</v>
      </c>
      <c r="AA37" s="32">
        <f t="shared" si="22"/>
        <v>2.4719101123595504</v>
      </c>
      <c r="AB37" s="32">
        <f t="shared" si="23"/>
        <v>1.1235955056179776</v>
      </c>
      <c r="AC37" s="32">
        <f t="shared" si="24"/>
        <v>0.44943820224719105</v>
      </c>
      <c r="AD37" s="32">
        <f t="shared" si="25"/>
        <v>0.44943820224719105</v>
      </c>
    </row>
    <row r="38" spans="1:30" x14ac:dyDescent="0.25">
      <c r="A38" s="32" t="s">
        <v>12</v>
      </c>
      <c r="B38" s="35" t="s">
        <v>50</v>
      </c>
      <c r="C38" s="32" t="s">
        <v>7</v>
      </c>
      <c r="D38" s="34">
        <v>4925</v>
      </c>
      <c r="E38" s="32">
        <v>44</v>
      </c>
      <c r="F38" s="32">
        <v>42</v>
      </c>
      <c r="G38" s="32">
        <v>37</v>
      </c>
      <c r="H38" s="32">
        <v>35</v>
      </c>
      <c r="I38" s="32">
        <v>33</v>
      </c>
      <c r="J38" s="32">
        <v>29</v>
      </c>
      <c r="K38" s="32">
        <v>26</v>
      </c>
      <c r="L38" s="32">
        <v>17</v>
      </c>
      <c r="M38" s="32">
        <v>7</v>
      </c>
      <c r="N38" s="32">
        <v>2</v>
      </c>
      <c r="O38" s="32">
        <v>1</v>
      </c>
      <c r="P38" s="32">
        <v>1</v>
      </c>
      <c r="Q38" s="32">
        <v>1</v>
      </c>
      <c r="R38" s="32">
        <f t="shared" si="13"/>
        <v>8.9340101522842641</v>
      </c>
      <c r="S38" s="32">
        <f t="shared" si="14"/>
        <v>8.5279187817258872</v>
      </c>
      <c r="T38" s="32">
        <f t="shared" si="15"/>
        <v>7.5126903553299496</v>
      </c>
      <c r="U38" s="32">
        <f t="shared" si="16"/>
        <v>7.1065989847715736</v>
      </c>
      <c r="V38" s="32">
        <f t="shared" si="17"/>
        <v>6.7005076142131985</v>
      </c>
      <c r="W38" s="32">
        <f t="shared" si="18"/>
        <v>5.8883248730964475</v>
      </c>
      <c r="X38" s="32">
        <f t="shared" si="19"/>
        <v>5.2791878172588831</v>
      </c>
      <c r="Y38" s="32">
        <f t="shared" si="20"/>
        <v>3.4517766497461926</v>
      </c>
      <c r="Z38" s="32">
        <f t="shared" si="21"/>
        <v>1.4213197969543148</v>
      </c>
      <c r="AA38" s="32">
        <f t="shared" si="22"/>
        <v>0.40609137055837563</v>
      </c>
      <c r="AB38" s="32">
        <f t="shared" si="23"/>
        <v>0.20304568527918782</v>
      </c>
      <c r="AC38" s="32">
        <f t="shared" si="24"/>
        <v>0.20304568527918782</v>
      </c>
      <c r="AD38" s="32">
        <f t="shared" si="25"/>
        <v>0.20304568527918782</v>
      </c>
    </row>
    <row r="39" spans="1:30" x14ac:dyDescent="0.25">
      <c r="A39" s="32" t="s">
        <v>13</v>
      </c>
      <c r="B39" s="35" t="s">
        <v>50</v>
      </c>
      <c r="C39" s="32" t="s">
        <v>7</v>
      </c>
      <c r="D39" s="34">
        <v>5645</v>
      </c>
      <c r="E39" s="32">
        <v>43</v>
      </c>
      <c r="F39" s="32">
        <v>37</v>
      </c>
      <c r="G39" s="32">
        <v>35</v>
      </c>
      <c r="H39" s="32">
        <v>34</v>
      </c>
      <c r="I39" s="32">
        <v>33</v>
      </c>
      <c r="J39" s="32">
        <v>30</v>
      </c>
      <c r="K39" s="32">
        <v>24</v>
      </c>
      <c r="L39" s="32">
        <v>19</v>
      </c>
      <c r="M39" s="32">
        <v>12</v>
      </c>
      <c r="N39" s="32">
        <v>6</v>
      </c>
      <c r="O39" s="32">
        <v>4</v>
      </c>
      <c r="P39" s="32">
        <v>2</v>
      </c>
      <c r="Q39" s="32">
        <v>2</v>
      </c>
      <c r="R39" s="32">
        <f t="shared" si="13"/>
        <v>7.6173604960141716</v>
      </c>
      <c r="S39" s="32">
        <f t="shared" si="14"/>
        <v>6.5544729849424268</v>
      </c>
      <c r="T39" s="32">
        <f t="shared" si="15"/>
        <v>6.2001771479185122</v>
      </c>
      <c r="U39" s="32">
        <f t="shared" si="16"/>
        <v>6.0230292294065544</v>
      </c>
      <c r="V39" s="32">
        <f t="shared" si="17"/>
        <v>5.8458813108945975</v>
      </c>
      <c r="W39" s="32">
        <f t="shared" si="18"/>
        <v>5.3144375553587242</v>
      </c>
      <c r="X39" s="32">
        <f t="shared" si="19"/>
        <v>4.2515500442869794</v>
      </c>
      <c r="Y39" s="32">
        <f t="shared" si="20"/>
        <v>3.3658104517271918</v>
      </c>
      <c r="Z39" s="32">
        <f t="shared" si="21"/>
        <v>2.1257750221434897</v>
      </c>
      <c r="AA39" s="32">
        <f t="shared" si="22"/>
        <v>1.0628875110717448</v>
      </c>
      <c r="AB39" s="32">
        <f t="shared" si="23"/>
        <v>0.70859167404782997</v>
      </c>
      <c r="AC39" s="32">
        <f t="shared" si="24"/>
        <v>0.35429583702391498</v>
      </c>
      <c r="AD39" s="32">
        <f t="shared" si="25"/>
        <v>0.35429583702391498</v>
      </c>
    </row>
    <row r="40" spans="1:30" x14ac:dyDescent="0.25">
      <c r="A40" s="32" t="s">
        <v>15</v>
      </c>
      <c r="B40" s="35" t="s">
        <v>50</v>
      </c>
      <c r="C40" s="32" t="s">
        <v>7</v>
      </c>
      <c r="D40" s="34">
        <v>6323</v>
      </c>
      <c r="E40" s="32">
        <v>38</v>
      </c>
      <c r="F40" s="32">
        <v>36</v>
      </c>
      <c r="G40" s="32">
        <v>33</v>
      </c>
      <c r="H40" s="32">
        <v>31</v>
      </c>
      <c r="I40" s="32">
        <v>29</v>
      </c>
      <c r="J40" s="32">
        <v>25</v>
      </c>
      <c r="K40" s="32">
        <v>22</v>
      </c>
      <c r="L40" s="32">
        <v>17</v>
      </c>
      <c r="M40" s="32">
        <v>7</v>
      </c>
      <c r="N40" s="32">
        <v>2</v>
      </c>
      <c r="O40" s="32">
        <v>1</v>
      </c>
      <c r="P40" s="32">
        <v>1</v>
      </c>
      <c r="Q40" s="32">
        <v>1</v>
      </c>
      <c r="R40" s="32">
        <f t="shared" si="13"/>
        <v>6.0098054720860352</v>
      </c>
      <c r="S40" s="32">
        <f t="shared" si="14"/>
        <v>5.6934999209236121</v>
      </c>
      <c r="T40" s="32">
        <f t="shared" si="15"/>
        <v>5.2190415941799779</v>
      </c>
      <c r="U40" s="32">
        <f t="shared" si="16"/>
        <v>4.9027360430175548</v>
      </c>
      <c r="V40" s="32">
        <f t="shared" si="17"/>
        <v>4.5864304918551317</v>
      </c>
      <c r="W40" s="32">
        <f t="shared" si="18"/>
        <v>3.9538193895302864</v>
      </c>
      <c r="X40" s="32">
        <f t="shared" si="19"/>
        <v>3.4793610627866518</v>
      </c>
      <c r="Y40" s="32">
        <f t="shared" si="20"/>
        <v>2.688597184880595</v>
      </c>
      <c r="Z40" s="32">
        <f t="shared" si="21"/>
        <v>1.1070694290684802</v>
      </c>
      <c r="AA40" s="32">
        <f t="shared" si="22"/>
        <v>0.31630555116242293</v>
      </c>
      <c r="AB40" s="32">
        <f t="shared" si="23"/>
        <v>0.15815277558121146</v>
      </c>
      <c r="AC40" s="32">
        <f t="shared" si="24"/>
        <v>0.15815277558121146</v>
      </c>
      <c r="AD40" s="32">
        <f t="shared" si="25"/>
        <v>0.15815277558121146</v>
      </c>
    </row>
    <row r="41" spans="1:30" x14ac:dyDescent="0.25">
      <c r="A41" s="32" t="s">
        <v>16</v>
      </c>
      <c r="B41" s="35" t="s">
        <v>50</v>
      </c>
      <c r="C41" s="32" t="s">
        <v>7</v>
      </c>
      <c r="D41" s="34">
        <v>3809</v>
      </c>
      <c r="E41" s="32">
        <v>42</v>
      </c>
      <c r="F41" s="32">
        <v>36</v>
      </c>
      <c r="G41" s="32">
        <v>34</v>
      </c>
      <c r="H41" s="32">
        <v>33</v>
      </c>
      <c r="I41" s="32">
        <v>32</v>
      </c>
      <c r="J41" s="32">
        <v>29</v>
      </c>
      <c r="K41" s="32">
        <v>23</v>
      </c>
      <c r="L41" s="32">
        <v>18</v>
      </c>
      <c r="M41" s="32">
        <v>12</v>
      </c>
      <c r="N41" s="32">
        <v>6</v>
      </c>
      <c r="O41" s="32">
        <v>4</v>
      </c>
      <c r="P41" s="32">
        <v>2</v>
      </c>
      <c r="Q41" s="32">
        <v>2</v>
      </c>
      <c r="R41" s="32">
        <f t="shared" si="13"/>
        <v>11.026516145970071</v>
      </c>
      <c r="S41" s="32">
        <f t="shared" si="14"/>
        <v>9.4512995536886333</v>
      </c>
      <c r="T41" s="32">
        <f t="shared" si="15"/>
        <v>8.9262273562614851</v>
      </c>
      <c r="U41" s="32">
        <f t="shared" si="16"/>
        <v>8.6636912575479137</v>
      </c>
      <c r="V41" s="32">
        <f t="shared" si="17"/>
        <v>8.4011551588343405</v>
      </c>
      <c r="W41" s="32">
        <f t="shared" si="18"/>
        <v>7.61354686269362</v>
      </c>
      <c r="X41" s="32">
        <f t="shared" si="19"/>
        <v>6.0383302704121817</v>
      </c>
      <c r="Y41" s="32">
        <f t="shared" si="20"/>
        <v>4.7256497768443166</v>
      </c>
      <c r="Z41" s="32">
        <f t="shared" si="21"/>
        <v>3.1504331845628775</v>
      </c>
      <c r="AA41" s="32">
        <f t="shared" si="22"/>
        <v>1.5752165922814387</v>
      </c>
      <c r="AB41" s="32">
        <f t="shared" si="23"/>
        <v>1.0501443948542926</v>
      </c>
      <c r="AC41" s="32">
        <f t="shared" si="24"/>
        <v>0.52507219742714628</v>
      </c>
      <c r="AD41" s="32">
        <f t="shared" si="25"/>
        <v>0.52507219742714628</v>
      </c>
    </row>
    <row r="42" spans="1:30" x14ac:dyDescent="0.25">
      <c r="A42" s="32" t="s">
        <v>29</v>
      </c>
      <c r="B42" s="35" t="s">
        <v>53</v>
      </c>
      <c r="C42" s="32" t="s">
        <v>7</v>
      </c>
      <c r="D42" s="34">
        <v>2900</v>
      </c>
      <c r="E42" s="32">
        <v>40</v>
      </c>
      <c r="F42" s="32">
        <v>37</v>
      </c>
      <c r="G42" s="32">
        <v>39</v>
      </c>
      <c r="H42" s="32">
        <v>35</v>
      </c>
      <c r="I42" s="32">
        <v>29</v>
      </c>
      <c r="J42" s="32">
        <v>28</v>
      </c>
      <c r="K42" s="32">
        <v>29</v>
      </c>
      <c r="L42" s="32">
        <v>22</v>
      </c>
      <c r="M42" s="32">
        <v>15</v>
      </c>
      <c r="N42" s="32">
        <v>10</v>
      </c>
      <c r="O42" s="32">
        <v>5</v>
      </c>
      <c r="P42" s="32">
        <v>1</v>
      </c>
      <c r="Q42" s="32">
        <v>2</v>
      </c>
      <c r="R42" s="32">
        <f t="shared" si="13"/>
        <v>13.793103448275861</v>
      </c>
      <c r="S42" s="32">
        <f t="shared" si="14"/>
        <v>12.758620689655173</v>
      </c>
      <c r="T42" s="32">
        <f t="shared" si="15"/>
        <v>13.448275862068966</v>
      </c>
      <c r="U42" s="32">
        <f t="shared" si="16"/>
        <v>12.068965517241379</v>
      </c>
      <c r="V42" s="32">
        <f t="shared" si="17"/>
        <v>10</v>
      </c>
      <c r="W42" s="32">
        <f t="shared" si="18"/>
        <v>9.6551724137931032</v>
      </c>
      <c r="X42" s="32">
        <f t="shared" si="19"/>
        <v>10</v>
      </c>
      <c r="Y42" s="32">
        <f t="shared" si="20"/>
        <v>7.5862068965517242</v>
      </c>
      <c r="Z42" s="32">
        <f t="shared" si="21"/>
        <v>5.1724137931034484</v>
      </c>
      <c r="AA42" s="32">
        <f t="shared" si="22"/>
        <v>3.4482758620689653</v>
      </c>
      <c r="AB42" s="32">
        <f t="shared" si="23"/>
        <v>1.7241379310344827</v>
      </c>
      <c r="AC42" s="32">
        <f t="shared" si="24"/>
        <v>0.34482758620689652</v>
      </c>
      <c r="AD42" s="32">
        <f t="shared" si="25"/>
        <v>0.68965517241379304</v>
      </c>
    </row>
    <row r="43" spans="1:30" x14ac:dyDescent="0.25">
      <c r="A43" s="32" t="s">
        <v>30</v>
      </c>
      <c r="B43" s="35" t="s">
        <v>53</v>
      </c>
      <c r="C43" s="32" t="s">
        <v>7</v>
      </c>
      <c r="D43" s="34">
        <v>3800</v>
      </c>
      <c r="E43" s="32">
        <v>25</v>
      </c>
      <c r="F43" s="32">
        <v>25</v>
      </c>
      <c r="G43" s="32">
        <v>23</v>
      </c>
      <c r="H43" s="32">
        <v>23</v>
      </c>
      <c r="I43" s="32">
        <v>19</v>
      </c>
      <c r="J43" s="32">
        <v>16</v>
      </c>
      <c r="K43" s="32">
        <v>11</v>
      </c>
      <c r="L43" s="32">
        <v>6</v>
      </c>
      <c r="M43" s="32">
        <v>1</v>
      </c>
      <c r="N43" s="32">
        <v>0</v>
      </c>
      <c r="O43" s="32">
        <v>1</v>
      </c>
      <c r="P43" s="32">
        <v>0</v>
      </c>
      <c r="Q43" s="32">
        <v>0</v>
      </c>
      <c r="R43" s="32">
        <f t="shared" si="13"/>
        <v>6.5789473684210522</v>
      </c>
      <c r="S43" s="32">
        <f t="shared" si="14"/>
        <v>6.5789473684210522</v>
      </c>
      <c r="T43" s="32">
        <f t="shared" si="15"/>
        <v>6.0526315789473681</v>
      </c>
      <c r="U43" s="32">
        <f t="shared" si="16"/>
        <v>6.0526315789473681</v>
      </c>
      <c r="V43" s="32">
        <f t="shared" si="17"/>
        <v>5</v>
      </c>
      <c r="W43" s="32">
        <f t="shared" si="18"/>
        <v>4.2105263157894735</v>
      </c>
      <c r="X43" s="32">
        <f t="shared" si="19"/>
        <v>2.8947368421052633</v>
      </c>
      <c r="Y43" s="32">
        <f t="shared" si="20"/>
        <v>1.5789473684210527</v>
      </c>
      <c r="Z43" s="32">
        <f t="shared" si="21"/>
        <v>0.26315789473684209</v>
      </c>
      <c r="AA43" s="32">
        <f t="shared" si="22"/>
        <v>0</v>
      </c>
      <c r="AB43" s="32">
        <f t="shared" si="23"/>
        <v>0.26315789473684209</v>
      </c>
      <c r="AC43" s="32">
        <f t="shared" si="24"/>
        <v>0</v>
      </c>
      <c r="AD43" s="32">
        <f t="shared" si="25"/>
        <v>0</v>
      </c>
    </row>
    <row r="44" spans="1:30" x14ac:dyDescent="0.25">
      <c r="A44" s="32" t="s">
        <v>31</v>
      </c>
      <c r="B44" s="35" t="s">
        <v>50</v>
      </c>
      <c r="C44" s="32" t="s">
        <v>7</v>
      </c>
      <c r="D44" s="34">
        <v>5215</v>
      </c>
      <c r="E44" s="32">
        <v>36</v>
      </c>
      <c r="F44" s="32">
        <v>33</v>
      </c>
      <c r="G44" s="32">
        <v>30</v>
      </c>
      <c r="H44" s="32">
        <v>30</v>
      </c>
      <c r="I44" s="32">
        <v>27</v>
      </c>
      <c r="J44" s="32">
        <v>25</v>
      </c>
      <c r="K44" s="32">
        <v>23</v>
      </c>
      <c r="L44" s="32">
        <v>15</v>
      </c>
      <c r="M44" s="32">
        <v>6</v>
      </c>
      <c r="N44" s="32">
        <v>1</v>
      </c>
      <c r="O44" s="32">
        <v>0</v>
      </c>
      <c r="P44" s="32">
        <v>0</v>
      </c>
      <c r="Q44" s="32">
        <v>0</v>
      </c>
      <c r="R44" s="32">
        <f t="shared" si="13"/>
        <v>6.9031639501438153</v>
      </c>
      <c r="S44" s="32">
        <f t="shared" si="14"/>
        <v>6.3279002876318318</v>
      </c>
      <c r="T44" s="32">
        <f t="shared" si="15"/>
        <v>5.7526366251198464</v>
      </c>
      <c r="U44" s="32">
        <f t="shared" si="16"/>
        <v>5.7526366251198464</v>
      </c>
      <c r="V44" s="32">
        <f t="shared" si="17"/>
        <v>5.177372962607862</v>
      </c>
      <c r="W44" s="32">
        <f t="shared" si="18"/>
        <v>4.7938638542665393</v>
      </c>
      <c r="X44" s="32">
        <f t="shared" si="19"/>
        <v>4.4103547459252157</v>
      </c>
      <c r="Y44" s="32">
        <f t="shared" si="20"/>
        <v>2.8763183125599232</v>
      </c>
      <c r="Z44" s="32">
        <f t="shared" si="21"/>
        <v>1.1505273250239691</v>
      </c>
      <c r="AA44" s="32">
        <f t="shared" si="22"/>
        <v>0.19175455417066153</v>
      </c>
      <c r="AB44" s="32">
        <f t="shared" si="23"/>
        <v>0</v>
      </c>
      <c r="AC44" s="32">
        <f t="shared" si="24"/>
        <v>0</v>
      </c>
      <c r="AD44" s="32">
        <f t="shared" si="25"/>
        <v>0</v>
      </c>
    </row>
    <row r="45" spans="1:30" x14ac:dyDescent="0.25">
      <c r="A45" s="32" t="s">
        <v>6</v>
      </c>
      <c r="B45" s="35" t="s">
        <v>50</v>
      </c>
      <c r="C45" s="32" t="s">
        <v>7</v>
      </c>
      <c r="D45" s="34">
        <v>3900</v>
      </c>
      <c r="E45" s="32">
        <v>28</v>
      </c>
      <c r="F45" s="32">
        <v>22</v>
      </c>
      <c r="G45" s="32">
        <v>21</v>
      </c>
      <c r="H45" s="32">
        <v>21</v>
      </c>
      <c r="I45" s="32">
        <v>19</v>
      </c>
      <c r="J45" s="32">
        <v>17</v>
      </c>
      <c r="K45" s="32">
        <v>12</v>
      </c>
      <c r="L45" s="32">
        <v>6</v>
      </c>
      <c r="M45" s="32">
        <v>3</v>
      </c>
      <c r="N45" s="32">
        <v>2</v>
      </c>
      <c r="O45" s="32">
        <v>1</v>
      </c>
      <c r="P45" s="32">
        <v>0</v>
      </c>
      <c r="Q45" s="32">
        <v>0</v>
      </c>
      <c r="R45" s="32">
        <f t="shared" si="13"/>
        <v>7.1794871794871797</v>
      </c>
      <c r="S45" s="32">
        <f t="shared" si="14"/>
        <v>5.6410256410256414</v>
      </c>
      <c r="T45" s="32">
        <f t="shared" si="15"/>
        <v>5.3846153846153841</v>
      </c>
      <c r="U45" s="32">
        <f t="shared" si="16"/>
        <v>5.3846153846153841</v>
      </c>
      <c r="V45" s="32">
        <f t="shared" si="17"/>
        <v>4.8717948717948723</v>
      </c>
      <c r="W45" s="32">
        <f t="shared" si="18"/>
        <v>4.3589743589743586</v>
      </c>
      <c r="X45" s="32">
        <f t="shared" si="19"/>
        <v>3.0769230769230771</v>
      </c>
      <c r="Y45" s="32">
        <f t="shared" si="20"/>
        <v>1.5384615384615385</v>
      </c>
      <c r="Z45" s="32">
        <f t="shared" si="21"/>
        <v>0.76923076923076927</v>
      </c>
      <c r="AA45" s="32">
        <f t="shared" si="22"/>
        <v>0.51282051282051277</v>
      </c>
      <c r="AB45" s="32">
        <f t="shared" si="23"/>
        <v>0.25641025641025639</v>
      </c>
      <c r="AC45" s="32">
        <f t="shared" si="24"/>
        <v>0</v>
      </c>
      <c r="AD45" s="32">
        <f t="shared" si="25"/>
        <v>0</v>
      </c>
    </row>
    <row r="46" spans="1:30" x14ac:dyDescent="0.25">
      <c r="A46" s="32" t="s">
        <v>32</v>
      </c>
      <c r="B46" s="35" t="s">
        <v>53</v>
      </c>
      <c r="C46" s="32" t="s">
        <v>7</v>
      </c>
      <c r="D46" s="34">
        <v>5100</v>
      </c>
      <c r="E46" s="32">
        <v>43</v>
      </c>
      <c r="F46" s="32">
        <v>40</v>
      </c>
      <c r="G46" s="32">
        <v>42</v>
      </c>
      <c r="H46" s="32">
        <v>38</v>
      </c>
      <c r="I46" s="32">
        <v>32</v>
      </c>
      <c r="J46" s="32">
        <v>31</v>
      </c>
      <c r="K46" s="32">
        <v>29</v>
      </c>
      <c r="L46" s="32">
        <v>22</v>
      </c>
      <c r="M46" s="32">
        <v>15</v>
      </c>
      <c r="N46" s="32">
        <v>10</v>
      </c>
      <c r="O46" s="32">
        <v>5</v>
      </c>
      <c r="P46" s="32">
        <v>1</v>
      </c>
      <c r="Q46" s="32">
        <v>1</v>
      </c>
      <c r="R46" s="32">
        <f t="shared" si="13"/>
        <v>8.4313725490196063</v>
      </c>
      <c r="S46" s="32">
        <f t="shared" si="14"/>
        <v>7.8431372549019605</v>
      </c>
      <c r="T46" s="32">
        <f t="shared" si="15"/>
        <v>8.2352941176470598</v>
      </c>
      <c r="U46" s="32">
        <f t="shared" si="16"/>
        <v>7.4509803921568629</v>
      </c>
      <c r="V46" s="32">
        <f t="shared" si="17"/>
        <v>6.2745098039215685</v>
      </c>
      <c r="W46" s="32">
        <f t="shared" si="18"/>
        <v>6.0784313725490202</v>
      </c>
      <c r="X46" s="32">
        <f t="shared" si="19"/>
        <v>5.6862745098039209</v>
      </c>
      <c r="Y46" s="32">
        <f t="shared" si="20"/>
        <v>4.3137254901960782</v>
      </c>
      <c r="Z46" s="32">
        <f t="shared" si="21"/>
        <v>2.9411764705882351</v>
      </c>
      <c r="AA46" s="32">
        <f t="shared" si="22"/>
        <v>1.9607843137254901</v>
      </c>
      <c r="AB46" s="32">
        <f t="shared" si="23"/>
        <v>0.98039215686274506</v>
      </c>
      <c r="AC46" s="32">
        <f t="shared" si="24"/>
        <v>0.19607843137254902</v>
      </c>
      <c r="AD46" s="32">
        <f t="shared" si="25"/>
        <v>0.19607843137254902</v>
      </c>
    </row>
    <row r="47" spans="1:30" x14ac:dyDescent="0.25">
      <c r="A47" s="32" t="s">
        <v>33</v>
      </c>
      <c r="B47" s="35" t="s">
        <v>50</v>
      </c>
      <c r="C47" s="32" t="s">
        <v>7</v>
      </c>
      <c r="D47" s="34">
        <v>5330</v>
      </c>
      <c r="E47" s="32">
        <v>30</v>
      </c>
      <c r="F47" s="32">
        <v>32</v>
      </c>
      <c r="G47" s="32">
        <v>28</v>
      </c>
      <c r="H47" s="32">
        <v>23</v>
      </c>
      <c r="I47" s="32">
        <v>18</v>
      </c>
      <c r="J47" s="32">
        <v>15</v>
      </c>
      <c r="K47" s="32">
        <v>10</v>
      </c>
      <c r="L47" s="32">
        <v>7</v>
      </c>
      <c r="M47" s="32">
        <v>1</v>
      </c>
      <c r="N47" s="32">
        <v>0</v>
      </c>
      <c r="O47" s="32">
        <v>1</v>
      </c>
      <c r="P47" s="32">
        <v>0</v>
      </c>
      <c r="Q47" s="32">
        <v>0</v>
      </c>
      <c r="R47" s="32">
        <f t="shared" si="13"/>
        <v>5.6285178236397746</v>
      </c>
      <c r="S47" s="32">
        <f t="shared" si="14"/>
        <v>6.0037523452157595</v>
      </c>
      <c r="T47" s="32">
        <f t="shared" si="15"/>
        <v>5.2532833020637897</v>
      </c>
      <c r="U47" s="32">
        <f t="shared" si="16"/>
        <v>4.3151969981238274</v>
      </c>
      <c r="V47" s="32">
        <f t="shared" si="17"/>
        <v>3.3771106941838651</v>
      </c>
      <c r="W47" s="32">
        <f t="shared" si="18"/>
        <v>2.8142589118198873</v>
      </c>
      <c r="X47" s="32">
        <f t="shared" si="19"/>
        <v>1.876172607879925</v>
      </c>
      <c r="Y47" s="32">
        <f t="shared" si="20"/>
        <v>1.3133208255159474</v>
      </c>
      <c r="Z47" s="32">
        <f t="shared" si="21"/>
        <v>0.18761726078799248</v>
      </c>
      <c r="AA47" s="32">
        <f t="shared" si="22"/>
        <v>0</v>
      </c>
      <c r="AB47" s="32">
        <f t="shared" si="23"/>
        <v>0.18761726078799248</v>
      </c>
      <c r="AC47" s="32">
        <f t="shared" si="24"/>
        <v>0</v>
      </c>
      <c r="AD47" s="32">
        <f t="shared" si="25"/>
        <v>0</v>
      </c>
    </row>
    <row r="48" spans="1:30" x14ac:dyDescent="0.25">
      <c r="A48" s="32" t="s">
        <v>34</v>
      </c>
      <c r="B48" s="35" t="s">
        <v>50</v>
      </c>
      <c r="C48" s="32" t="s">
        <v>7</v>
      </c>
      <c r="D48" s="34">
        <v>5455</v>
      </c>
      <c r="E48" s="32">
        <v>36</v>
      </c>
      <c r="F48" s="32">
        <v>33</v>
      </c>
      <c r="G48" s="32">
        <v>30</v>
      </c>
      <c r="H48" s="32">
        <v>30</v>
      </c>
      <c r="I48" s="32">
        <v>27</v>
      </c>
      <c r="J48" s="32">
        <v>25</v>
      </c>
      <c r="K48" s="32">
        <v>23</v>
      </c>
      <c r="L48" s="32">
        <v>15</v>
      </c>
      <c r="M48" s="32">
        <v>6</v>
      </c>
      <c r="N48" s="32">
        <v>1</v>
      </c>
      <c r="O48" s="32">
        <v>0</v>
      </c>
      <c r="P48" s="32">
        <v>0</v>
      </c>
      <c r="Q48" s="32">
        <v>0</v>
      </c>
      <c r="R48" s="32">
        <f t="shared" si="13"/>
        <v>6.5994500458295144</v>
      </c>
      <c r="S48" s="32">
        <f t="shared" si="14"/>
        <v>6.0494958753437214</v>
      </c>
      <c r="T48" s="32">
        <f t="shared" si="15"/>
        <v>5.4995417048579283</v>
      </c>
      <c r="U48" s="32">
        <f t="shared" si="16"/>
        <v>5.4995417048579283</v>
      </c>
      <c r="V48" s="32">
        <f t="shared" si="17"/>
        <v>4.9495875343721361</v>
      </c>
      <c r="W48" s="32">
        <f t="shared" si="18"/>
        <v>4.5829514207149407</v>
      </c>
      <c r="X48" s="32">
        <f t="shared" si="19"/>
        <v>4.2163153070577453</v>
      </c>
      <c r="Y48" s="32">
        <f t="shared" si="20"/>
        <v>2.7497708524289641</v>
      </c>
      <c r="Z48" s="32">
        <f t="shared" si="21"/>
        <v>1.0999083409715857</v>
      </c>
      <c r="AA48" s="32">
        <f t="shared" si="22"/>
        <v>0.18331805682859761</v>
      </c>
      <c r="AB48" s="32">
        <f t="shared" si="23"/>
        <v>0</v>
      </c>
      <c r="AC48" s="32">
        <f t="shared" si="24"/>
        <v>0</v>
      </c>
      <c r="AD48" s="32">
        <f t="shared" si="25"/>
        <v>0</v>
      </c>
    </row>
    <row r="49" spans="1:30" x14ac:dyDescent="0.25">
      <c r="A49" s="32" t="s">
        <v>35</v>
      </c>
      <c r="B49" s="35" t="s">
        <v>50</v>
      </c>
      <c r="C49" s="32" t="s">
        <v>7</v>
      </c>
      <c r="D49" s="34">
        <v>6200</v>
      </c>
      <c r="E49" s="32">
        <v>28</v>
      </c>
      <c r="F49" s="32">
        <v>22</v>
      </c>
      <c r="G49" s="32">
        <v>21</v>
      </c>
      <c r="H49" s="32">
        <v>21</v>
      </c>
      <c r="I49" s="32">
        <v>19</v>
      </c>
      <c r="J49" s="32">
        <v>17</v>
      </c>
      <c r="K49" s="32">
        <v>12</v>
      </c>
      <c r="L49" s="32">
        <v>6</v>
      </c>
      <c r="M49" s="32">
        <v>3</v>
      </c>
      <c r="N49" s="32">
        <v>2</v>
      </c>
      <c r="O49" s="32">
        <v>1</v>
      </c>
      <c r="P49" s="32">
        <v>0</v>
      </c>
      <c r="Q49" s="32">
        <v>0</v>
      </c>
      <c r="R49" s="32">
        <f t="shared" si="13"/>
        <v>4.5161290322580649</v>
      </c>
      <c r="S49" s="32">
        <f t="shared" si="14"/>
        <v>3.5483870967741939</v>
      </c>
      <c r="T49" s="32">
        <f t="shared" si="15"/>
        <v>3.3870967741935485</v>
      </c>
      <c r="U49" s="32">
        <f t="shared" si="16"/>
        <v>3.3870967741935485</v>
      </c>
      <c r="V49" s="32">
        <f t="shared" si="17"/>
        <v>3.064516129032258</v>
      </c>
      <c r="W49" s="32">
        <f t="shared" si="18"/>
        <v>2.7419354838709675</v>
      </c>
      <c r="X49" s="32">
        <f t="shared" si="19"/>
        <v>1.935483870967742</v>
      </c>
      <c r="Y49" s="32">
        <f t="shared" si="20"/>
        <v>0.967741935483871</v>
      </c>
      <c r="Z49" s="32">
        <f t="shared" si="21"/>
        <v>0.4838709677419355</v>
      </c>
      <c r="AA49" s="32">
        <f t="shared" si="22"/>
        <v>0.32258064516129031</v>
      </c>
      <c r="AB49" s="32">
        <f t="shared" si="23"/>
        <v>0.16129032258064516</v>
      </c>
      <c r="AC49" s="32">
        <f t="shared" si="24"/>
        <v>0</v>
      </c>
      <c r="AD49" s="32">
        <f t="shared" si="25"/>
        <v>0</v>
      </c>
    </row>
    <row r="50" spans="1:30" x14ac:dyDescent="0.25">
      <c r="A50" s="32" t="s">
        <v>36</v>
      </c>
      <c r="B50" s="35" t="s">
        <v>50</v>
      </c>
      <c r="C50" s="32" t="s">
        <v>7</v>
      </c>
      <c r="D50" s="34">
        <v>7100</v>
      </c>
      <c r="E50" s="32">
        <v>32</v>
      </c>
      <c r="F50" s="32">
        <v>29</v>
      </c>
      <c r="G50" s="32">
        <v>26</v>
      </c>
      <c r="H50" s="32">
        <v>26</v>
      </c>
      <c r="I50" s="32">
        <v>23</v>
      </c>
      <c r="J50" s="32">
        <v>21</v>
      </c>
      <c r="K50" s="32">
        <v>19</v>
      </c>
      <c r="L50" s="32">
        <v>13</v>
      </c>
      <c r="M50" s="32">
        <v>6</v>
      </c>
      <c r="N50" s="32">
        <v>1</v>
      </c>
      <c r="O50" s="32">
        <v>0</v>
      </c>
      <c r="P50" s="32">
        <v>0</v>
      </c>
      <c r="Q50" s="32">
        <v>0</v>
      </c>
      <c r="R50" s="32">
        <f t="shared" si="13"/>
        <v>4.507042253521127</v>
      </c>
      <c r="S50" s="32">
        <f t="shared" si="14"/>
        <v>4.084507042253521</v>
      </c>
      <c r="T50" s="32">
        <f t="shared" si="15"/>
        <v>3.6619718309859155</v>
      </c>
      <c r="U50" s="32">
        <f t="shared" si="16"/>
        <v>3.6619718309859155</v>
      </c>
      <c r="V50" s="32">
        <f t="shared" si="17"/>
        <v>3.2394366197183095</v>
      </c>
      <c r="W50" s="32">
        <f t="shared" si="18"/>
        <v>2.9577464788732395</v>
      </c>
      <c r="X50" s="32">
        <f t="shared" si="19"/>
        <v>2.676056338028169</v>
      </c>
      <c r="Y50" s="32">
        <f t="shared" si="20"/>
        <v>1.8309859154929577</v>
      </c>
      <c r="Z50" s="32">
        <f t="shared" si="21"/>
        <v>0.84507042253521136</v>
      </c>
      <c r="AA50" s="32">
        <f t="shared" si="22"/>
        <v>0.14084507042253522</v>
      </c>
      <c r="AB50" s="32">
        <f t="shared" si="23"/>
        <v>0</v>
      </c>
      <c r="AC50" s="32">
        <f t="shared" si="24"/>
        <v>0</v>
      </c>
      <c r="AD50" s="32">
        <f t="shared" si="25"/>
        <v>0</v>
      </c>
    </row>
    <row r="51" spans="1:30" x14ac:dyDescent="0.25">
      <c r="A51" s="32" t="s">
        <v>37</v>
      </c>
      <c r="B51" s="35" t="s">
        <v>50</v>
      </c>
      <c r="C51" s="32" t="s">
        <v>7</v>
      </c>
      <c r="D51" s="34">
        <v>4204</v>
      </c>
      <c r="E51" s="32">
        <v>24</v>
      </c>
      <c r="F51" s="32">
        <v>18</v>
      </c>
      <c r="G51" s="32">
        <v>17</v>
      </c>
      <c r="H51" s="32">
        <v>17</v>
      </c>
      <c r="I51" s="32">
        <v>15</v>
      </c>
      <c r="J51" s="32">
        <v>13</v>
      </c>
      <c r="K51" s="32">
        <v>8</v>
      </c>
      <c r="L51" s="32">
        <v>4</v>
      </c>
      <c r="M51" s="32">
        <v>3</v>
      </c>
      <c r="N51" s="32">
        <v>2</v>
      </c>
      <c r="O51" s="32">
        <v>1</v>
      </c>
      <c r="P51" s="32">
        <v>0</v>
      </c>
      <c r="Q51" s="32">
        <v>0</v>
      </c>
      <c r="R51" s="32">
        <f t="shared" si="13"/>
        <v>5.7088487155090393</v>
      </c>
      <c r="S51" s="32">
        <f t="shared" si="14"/>
        <v>4.2816365366317788</v>
      </c>
      <c r="T51" s="32">
        <f t="shared" si="15"/>
        <v>4.0437678401522366</v>
      </c>
      <c r="U51" s="32">
        <f t="shared" si="16"/>
        <v>4.0437678401522366</v>
      </c>
      <c r="V51" s="32">
        <f t="shared" si="17"/>
        <v>3.5680304471931494</v>
      </c>
      <c r="W51" s="32">
        <f t="shared" si="18"/>
        <v>3.0922930542340628</v>
      </c>
      <c r="X51" s="32">
        <f t="shared" si="19"/>
        <v>1.9029495718363465</v>
      </c>
      <c r="Y51" s="32">
        <f t="shared" si="20"/>
        <v>0.95147478591817325</v>
      </c>
      <c r="Z51" s="32">
        <f t="shared" si="21"/>
        <v>0.71360608943862991</v>
      </c>
      <c r="AA51" s="32">
        <f t="shared" si="22"/>
        <v>0.47573739295908662</v>
      </c>
      <c r="AB51" s="32">
        <f t="shared" si="23"/>
        <v>0.23786869647954331</v>
      </c>
      <c r="AC51" s="32">
        <f t="shared" si="24"/>
        <v>0</v>
      </c>
      <c r="AD51" s="32">
        <f t="shared" si="25"/>
        <v>0</v>
      </c>
    </row>
    <row r="52" spans="1:30" x14ac:dyDescent="0.25">
      <c r="A52" s="32" t="s">
        <v>38</v>
      </c>
      <c r="B52" s="35" t="s">
        <v>53</v>
      </c>
      <c r="C52" s="32" t="s">
        <v>7</v>
      </c>
      <c r="D52" s="34">
        <v>3200</v>
      </c>
      <c r="E52" s="32">
        <v>48</v>
      </c>
      <c r="F52" s="32">
        <v>50</v>
      </c>
      <c r="G52" s="32">
        <v>57</v>
      </c>
      <c r="H52" s="32">
        <v>61</v>
      </c>
      <c r="I52" s="32">
        <v>60</v>
      </c>
      <c r="J52" s="32">
        <v>55</v>
      </c>
      <c r="K52" s="32">
        <v>51</v>
      </c>
      <c r="L52" s="32">
        <v>45</v>
      </c>
      <c r="M52" s="32">
        <v>34</v>
      </c>
      <c r="N52" s="32">
        <v>29</v>
      </c>
      <c r="O52" s="32">
        <v>21</v>
      </c>
      <c r="P52" s="32">
        <v>16</v>
      </c>
      <c r="Q52" s="32">
        <v>16</v>
      </c>
      <c r="R52" s="32">
        <f t="shared" si="13"/>
        <v>15</v>
      </c>
      <c r="S52" s="32">
        <f t="shared" si="14"/>
        <v>15.625</v>
      </c>
      <c r="T52" s="32">
        <f t="shared" si="15"/>
        <v>17.8125</v>
      </c>
      <c r="U52" s="32">
        <f t="shared" si="16"/>
        <v>19.0625</v>
      </c>
      <c r="V52" s="32">
        <f t="shared" si="17"/>
        <v>18.75</v>
      </c>
      <c r="W52" s="32">
        <f t="shared" si="18"/>
        <v>17.1875</v>
      </c>
      <c r="X52" s="32">
        <f t="shared" si="19"/>
        <v>15.9375</v>
      </c>
      <c r="Y52" s="32">
        <f t="shared" si="20"/>
        <v>14.0625</v>
      </c>
      <c r="Z52" s="32">
        <f t="shared" si="21"/>
        <v>10.625</v>
      </c>
      <c r="AA52" s="32">
        <f t="shared" si="22"/>
        <v>9.0625</v>
      </c>
      <c r="AB52" s="32">
        <f t="shared" si="23"/>
        <v>6.5625</v>
      </c>
      <c r="AC52" s="32">
        <f t="shared" si="24"/>
        <v>5</v>
      </c>
      <c r="AD52" s="32">
        <f t="shared" si="25"/>
        <v>5</v>
      </c>
    </row>
    <row r="53" spans="1:30" x14ac:dyDescent="0.25">
      <c r="A53" s="32" t="s">
        <v>39</v>
      </c>
      <c r="B53" s="35" t="s">
        <v>53</v>
      </c>
      <c r="C53" s="32" t="s">
        <v>7</v>
      </c>
      <c r="D53" s="34">
        <v>5020</v>
      </c>
      <c r="E53" s="32">
        <v>40</v>
      </c>
      <c r="F53" s="32">
        <v>46</v>
      </c>
      <c r="G53" s="32">
        <v>51</v>
      </c>
      <c r="H53" s="32">
        <v>54</v>
      </c>
      <c r="I53" s="32">
        <v>55</v>
      </c>
      <c r="J53" s="32">
        <v>50</v>
      </c>
      <c r="K53" s="32">
        <v>52</v>
      </c>
      <c r="L53" s="32">
        <v>49</v>
      </c>
      <c r="M53" s="32">
        <v>44</v>
      </c>
      <c r="N53" s="32">
        <v>41</v>
      </c>
      <c r="O53" s="32">
        <v>37</v>
      </c>
      <c r="P53" s="32">
        <v>28</v>
      </c>
      <c r="Q53" s="32">
        <v>28</v>
      </c>
      <c r="R53" s="32">
        <f t="shared" si="13"/>
        <v>7.9681274900398407</v>
      </c>
      <c r="S53" s="32">
        <f t="shared" si="14"/>
        <v>9.1633466135458157</v>
      </c>
      <c r="T53" s="32">
        <f t="shared" si="15"/>
        <v>10.159362549800797</v>
      </c>
      <c r="U53" s="32">
        <f t="shared" si="16"/>
        <v>10.756972111553786</v>
      </c>
      <c r="V53" s="32">
        <f t="shared" si="17"/>
        <v>10.956175298804782</v>
      </c>
      <c r="W53" s="32">
        <f t="shared" si="18"/>
        <v>9.9601593625498008</v>
      </c>
      <c r="X53" s="32">
        <f t="shared" si="19"/>
        <v>10.358565737051793</v>
      </c>
      <c r="Y53" s="32">
        <f t="shared" si="20"/>
        <v>9.760956175298805</v>
      </c>
      <c r="Z53" s="32">
        <f t="shared" si="21"/>
        <v>8.7649402390438258</v>
      </c>
      <c r="AA53" s="32">
        <f t="shared" si="22"/>
        <v>8.1673306772908365</v>
      </c>
      <c r="AB53" s="32">
        <f t="shared" si="23"/>
        <v>7.3705179282868531</v>
      </c>
      <c r="AC53" s="32">
        <f t="shared" si="24"/>
        <v>5.5776892430278888</v>
      </c>
      <c r="AD53" s="32">
        <f t="shared" si="25"/>
        <v>5.5776892430278888</v>
      </c>
    </row>
    <row r="54" spans="1:30" x14ac:dyDescent="0.25">
      <c r="A54" s="32" t="s">
        <v>40</v>
      </c>
      <c r="B54" s="35" t="s">
        <v>50</v>
      </c>
      <c r="C54" s="32" t="s">
        <v>7</v>
      </c>
      <c r="D54" s="34">
        <v>5500</v>
      </c>
      <c r="E54" s="32">
        <v>30</v>
      </c>
      <c r="F54" s="32">
        <v>29</v>
      </c>
      <c r="G54" s="32">
        <v>34</v>
      </c>
      <c r="H54" s="32">
        <v>41</v>
      </c>
      <c r="I54" s="32">
        <v>42</v>
      </c>
      <c r="J54" s="32">
        <v>42</v>
      </c>
      <c r="K54" s="32">
        <v>41</v>
      </c>
      <c r="L54" s="32">
        <v>32</v>
      </c>
      <c r="M54" s="32">
        <v>21</v>
      </c>
      <c r="N54" s="32">
        <v>16</v>
      </c>
      <c r="O54" s="32">
        <v>11</v>
      </c>
      <c r="P54" s="32">
        <v>7</v>
      </c>
      <c r="Q54" s="32">
        <v>8</v>
      </c>
      <c r="R54" s="32">
        <f t="shared" si="13"/>
        <v>5.454545454545455</v>
      </c>
      <c r="S54" s="32">
        <f t="shared" si="14"/>
        <v>5.2727272727272725</v>
      </c>
      <c r="T54" s="32">
        <f t="shared" si="15"/>
        <v>6.1818181818181817</v>
      </c>
      <c r="U54" s="32">
        <f t="shared" si="16"/>
        <v>7.4545454545454541</v>
      </c>
      <c r="V54" s="32">
        <f t="shared" si="17"/>
        <v>7.6363636363636367</v>
      </c>
      <c r="W54" s="32">
        <f t="shared" si="18"/>
        <v>7.6363636363636367</v>
      </c>
      <c r="X54" s="32">
        <f t="shared" si="19"/>
        <v>7.4545454545454541</v>
      </c>
      <c r="Y54" s="32">
        <f t="shared" si="20"/>
        <v>5.8181818181818175</v>
      </c>
      <c r="Z54" s="32">
        <f t="shared" si="21"/>
        <v>3.8181818181818183</v>
      </c>
      <c r="AA54" s="32">
        <f t="shared" si="22"/>
        <v>2.9090909090909087</v>
      </c>
      <c r="AB54" s="32">
        <f t="shared" si="23"/>
        <v>2</v>
      </c>
      <c r="AC54" s="32">
        <f t="shared" si="24"/>
        <v>1.2727272727272727</v>
      </c>
      <c r="AD54" s="32">
        <f t="shared" si="25"/>
        <v>1.4545454545454544</v>
      </c>
    </row>
    <row r="55" spans="1:30" x14ac:dyDescent="0.25">
      <c r="A55" s="32" t="s">
        <v>41</v>
      </c>
      <c r="B55" s="35" t="s">
        <v>53</v>
      </c>
      <c r="C55" s="32" t="s">
        <v>7</v>
      </c>
      <c r="D55" s="34">
        <v>4500</v>
      </c>
      <c r="E55" s="32">
        <v>33</v>
      </c>
      <c r="F55" s="32">
        <v>29</v>
      </c>
      <c r="G55" s="32">
        <v>33</v>
      </c>
      <c r="H55" s="32">
        <v>36</v>
      </c>
      <c r="I55" s="32">
        <v>34</v>
      </c>
      <c r="J55" s="32">
        <v>29</v>
      </c>
      <c r="K55" s="32">
        <v>23</v>
      </c>
      <c r="L55" s="32">
        <v>24</v>
      </c>
      <c r="M55" s="32">
        <v>17</v>
      </c>
      <c r="N55" s="32">
        <v>11</v>
      </c>
      <c r="O55" s="32">
        <v>5</v>
      </c>
      <c r="P55" s="32">
        <v>6</v>
      </c>
      <c r="Q55" s="32">
        <v>7</v>
      </c>
      <c r="R55" s="32">
        <f t="shared" si="13"/>
        <v>7.333333333333333</v>
      </c>
      <c r="S55" s="32">
        <f t="shared" si="14"/>
        <v>6.4444444444444446</v>
      </c>
      <c r="T55" s="32">
        <f t="shared" si="15"/>
        <v>7.333333333333333</v>
      </c>
      <c r="U55" s="32">
        <f t="shared" si="16"/>
        <v>8</v>
      </c>
      <c r="V55" s="32">
        <f t="shared" si="17"/>
        <v>7.5555555555555562</v>
      </c>
      <c r="W55" s="32">
        <f t="shared" si="18"/>
        <v>6.4444444444444446</v>
      </c>
      <c r="X55" s="32">
        <f t="shared" si="19"/>
        <v>5.1111111111111116</v>
      </c>
      <c r="Y55" s="32">
        <f t="shared" si="20"/>
        <v>5.333333333333333</v>
      </c>
      <c r="Z55" s="32">
        <f t="shared" si="21"/>
        <v>3.7777777777777781</v>
      </c>
      <c r="AA55" s="32">
        <f t="shared" si="22"/>
        <v>2.4444444444444442</v>
      </c>
      <c r="AB55" s="32">
        <f t="shared" si="23"/>
        <v>1.1111111111111112</v>
      </c>
      <c r="AC55" s="32">
        <f t="shared" si="24"/>
        <v>1.3333333333333333</v>
      </c>
      <c r="AD55" s="32">
        <f t="shared" si="25"/>
        <v>1.5555555555555554</v>
      </c>
    </row>
    <row r="56" spans="1:30" x14ac:dyDescent="0.25">
      <c r="A56" s="32" t="s">
        <v>42</v>
      </c>
      <c r="B56" s="35" t="s">
        <v>53</v>
      </c>
      <c r="C56" s="32" t="s">
        <v>7</v>
      </c>
      <c r="D56" s="34">
        <v>5600</v>
      </c>
      <c r="E56" s="32">
        <v>45</v>
      </c>
      <c r="F56" s="32">
        <v>47</v>
      </c>
      <c r="G56" s="32">
        <v>54</v>
      </c>
      <c r="H56" s="32">
        <v>58</v>
      </c>
      <c r="I56" s="32">
        <v>57</v>
      </c>
      <c r="J56" s="32">
        <v>52</v>
      </c>
      <c r="K56" s="32">
        <v>48</v>
      </c>
      <c r="L56" s="32">
        <v>42</v>
      </c>
      <c r="M56" s="32">
        <v>31</v>
      </c>
      <c r="N56" s="32">
        <v>26</v>
      </c>
      <c r="O56" s="32">
        <v>20</v>
      </c>
      <c r="P56" s="32">
        <v>15</v>
      </c>
      <c r="Q56" s="32">
        <v>15</v>
      </c>
      <c r="R56" s="32">
        <f t="shared" si="13"/>
        <v>8.0357142857142847</v>
      </c>
      <c r="S56" s="32">
        <f t="shared" si="14"/>
        <v>8.3928571428571423</v>
      </c>
      <c r="T56" s="32">
        <f t="shared" si="15"/>
        <v>9.6428571428571423</v>
      </c>
      <c r="U56" s="32">
        <f t="shared" si="16"/>
        <v>10.357142857142856</v>
      </c>
      <c r="V56" s="32">
        <f t="shared" si="17"/>
        <v>10.178571428571429</v>
      </c>
      <c r="W56" s="32">
        <f t="shared" si="18"/>
        <v>9.2857142857142865</v>
      </c>
      <c r="X56" s="32">
        <f t="shared" si="19"/>
        <v>8.5714285714285712</v>
      </c>
      <c r="Y56" s="32">
        <f t="shared" si="20"/>
        <v>7.5</v>
      </c>
      <c r="Z56" s="32">
        <f t="shared" si="21"/>
        <v>5.5357142857142856</v>
      </c>
      <c r="AA56" s="32">
        <f t="shared" si="22"/>
        <v>4.6428571428571432</v>
      </c>
      <c r="AB56" s="32">
        <f t="shared" si="23"/>
        <v>3.5714285714285712</v>
      </c>
      <c r="AC56" s="32">
        <f t="shared" si="24"/>
        <v>2.6785714285714284</v>
      </c>
      <c r="AD56" s="32">
        <f t="shared" si="25"/>
        <v>2.6785714285714284</v>
      </c>
    </row>
    <row r="57" spans="1:30" x14ac:dyDescent="0.25">
      <c r="A57" s="32" t="s">
        <v>43</v>
      </c>
      <c r="B57" s="35" t="s">
        <v>53</v>
      </c>
      <c r="C57" s="32" t="s">
        <v>7</v>
      </c>
      <c r="D57" s="34">
        <v>5600</v>
      </c>
      <c r="E57" s="32">
        <v>46</v>
      </c>
      <c r="F57" s="32">
        <v>52</v>
      </c>
      <c r="G57" s="32">
        <v>57</v>
      </c>
      <c r="H57" s="32">
        <v>60</v>
      </c>
      <c r="I57" s="32">
        <v>57</v>
      </c>
      <c r="J57" s="32">
        <v>52</v>
      </c>
      <c r="K57" s="32">
        <v>54</v>
      </c>
      <c r="L57" s="32">
        <v>51</v>
      </c>
      <c r="M57" s="32">
        <v>44</v>
      </c>
      <c r="N57" s="32">
        <v>41</v>
      </c>
      <c r="O57" s="32">
        <v>37</v>
      </c>
      <c r="P57" s="32">
        <v>28</v>
      </c>
      <c r="Q57" s="32">
        <v>28</v>
      </c>
      <c r="R57" s="32">
        <f t="shared" si="13"/>
        <v>8.2142857142857135</v>
      </c>
      <c r="S57" s="32">
        <f t="shared" si="14"/>
        <v>9.2857142857142865</v>
      </c>
      <c r="T57" s="32">
        <f t="shared" si="15"/>
        <v>10.178571428571429</v>
      </c>
      <c r="U57" s="32">
        <f t="shared" si="16"/>
        <v>10.714285714285714</v>
      </c>
      <c r="V57" s="32">
        <f t="shared" si="17"/>
        <v>10.178571428571429</v>
      </c>
      <c r="W57" s="32">
        <f t="shared" si="18"/>
        <v>9.2857142857142865</v>
      </c>
      <c r="X57" s="32">
        <f t="shared" si="19"/>
        <v>9.6428571428571423</v>
      </c>
      <c r="Y57" s="32">
        <f t="shared" si="20"/>
        <v>9.1071428571428577</v>
      </c>
      <c r="Z57" s="32">
        <f t="shared" si="21"/>
        <v>7.8571428571428577</v>
      </c>
      <c r="AA57" s="32">
        <f t="shared" si="22"/>
        <v>7.3214285714285712</v>
      </c>
      <c r="AB57" s="32">
        <f t="shared" si="23"/>
        <v>6.6071428571428577</v>
      </c>
      <c r="AC57" s="32">
        <f t="shared" si="24"/>
        <v>5</v>
      </c>
      <c r="AD57" s="32">
        <f t="shared" si="25"/>
        <v>5</v>
      </c>
    </row>
    <row r="58" spans="1:30" x14ac:dyDescent="0.25">
      <c r="A58" s="32" t="s">
        <v>44</v>
      </c>
      <c r="B58" s="35" t="s">
        <v>50</v>
      </c>
      <c r="C58" s="32" t="s">
        <v>7</v>
      </c>
      <c r="D58" s="34">
        <v>6100</v>
      </c>
      <c r="E58" s="32">
        <v>60</v>
      </c>
      <c r="F58" s="32">
        <v>69</v>
      </c>
      <c r="G58" s="32">
        <v>74</v>
      </c>
      <c r="H58" s="32">
        <v>81</v>
      </c>
      <c r="I58" s="32">
        <v>82</v>
      </c>
      <c r="J58" s="32">
        <v>82</v>
      </c>
      <c r="K58" s="32">
        <v>79</v>
      </c>
      <c r="L58" s="32">
        <v>70</v>
      </c>
      <c r="M58" s="32">
        <v>59</v>
      </c>
      <c r="N58" s="32">
        <v>44</v>
      </c>
      <c r="O58" s="32">
        <v>29</v>
      </c>
      <c r="P58" s="32">
        <v>24</v>
      </c>
      <c r="Q58" s="32">
        <v>24</v>
      </c>
      <c r="R58" s="32">
        <f t="shared" si="13"/>
        <v>9.8360655737704921</v>
      </c>
      <c r="S58" s="32">
        <f t="shared" si="14"/>
        <v>11.311475409836065</v>
      </c>
      <c r="T58" s="32">
        <f t="shared" si="15"/>
        <v>12.131147540983607</v>
      </c>
      <c r="U58" s="32">
        <f t="shared" si="16"/>
        <v>13.278688524590164</v>
      </c>
      <c r="V58" s="32">
        <f t="shared" si="17"/>
        <v>13.442622950819672</v>
      </c>
      <c r="W58" s="32">
        <f t="shared" si="18"/>
        <v>13.442622950819672</v>
      </c>
      <c r="X58" s="32">
        <f t="shared" si="19"/>
        <v>12.950819672131148</v>
      </c>
      <c r="Y58" s="32">
        <f t="shared" si="20"/>
        <v>11.475409836065573</v>
      </c>
      <c r="Z58" s="32">
        <f t="shared" si="21"/>
        <v>9.6721311475409841</v>
      </c>
      <c r="AA58" s="32">
        <f t="shared" si="22"/>
        <v>7.2131147540983607</v>
      </c>
      <c r="AB58" s="32">
        <f t="shared" si="23"/>
        <v>4.7540983606557381</v>
      </c>
      <c r="AC58" s="32">
        <f t="shared" si="24"/>
        <v>3.9344262295081966</v>
      </c>
      <c r="AD58" s="32">
        <f t="shared" si="25"/>
        <v>3.9344262295081966</v>
      </c>
    </row>
    <row r="59" spans="1:30" x14ac:dyDescent="0.25">
      <c r="A59" s="32" t="s">
        <v>45</v>
      </c>
      <c r="B59" s="35" t="s">
        <v>53</v>
      </c>
      <c r="C59" s="32" t="s">
        <v>7</v>
      </c>
      <c r="D59" s="34">
        <v>6750</v>
      </c>
      <c r="E59" s="32">
        <v>55</v>
      </c>
      <c r="F59" s="32">
        <v>61</v>
      </c>
      <c r="G59" s="32">
        <v>65</v>
      </c>
      <c r="H59" s="32">
        <v>58</v>
      </c>
      <c r="I59" s="32">
        <v>52</v>
      </c>
      <c r="J59" s="32">
        <v>47</v>
      </c>
      <c r="K59" s="32">
        <v>41</v>
      </c>
      <c r="L59" s="32">
        <v>42</v>
      </c>
      <c r="M59" s="32">
        <v>25</v>
      </c>
      <c r="N59" s="32">
        <v>19</v>
      </c>
      <c r="O59" s="32">
        <v>13</v>
      </c>
      <c r="P59" s="32">
        <v>14</v>
      </c>
      <c r="Q59" s="32">
        <v>14</v>
      </c>
      <c r="R59" s="32">
        <f t="shared" si="13"/>
        <v>8.148148148148147</v>
      </c>
      <c r="S59" s="32">
        <f t="shared" si="14"/>
        <v>9.0370370370370381</v>
      </c>
      <c r="T59" s="32">
        <f t="shared" si="15"/>
        <v>9.6296296296296298</v>
      </c>
      <c r="U59" s="32">
        <f t="shared" si="16"/>
        <v>8.5925925925925934</v>
      </c>
      <c r="V59" s="32">
        <f t="shared" si="17"/>
        <v>7.7037037037037042</v>
      </c>
      <c r="W59" s="32">
        <f t="shared" si="18"/>
        <v>6.9629629629629637</v>
      </c>
      <c r="X59" s="32">
        <f t="shared" si="19"/>
        <v>6.0740740740740735</v>
      </c>
      <c r="Y59" s="32">
        <f t="shared" si="20"/>
        <v>6.2222222222222214</v>
      </c>
      <c r="Z59" s="32">
        <f t="shared" si="21"/>
        <v>3.7037037037037037</v>
      </c>
      <c r="AA59" s="32">
        <f t="shared" si="22"/>
        <v>2.8148148148148149</v>
      </c>
      <c r="AB59" s="32">
        <f t="shared" si="23"/>
        <v>1.925925925925926</v>
      </c>
      <c r="AC59" s="32">
        <f t="shared" si="24"/>
        <v>2.074074074074074</v>
      </c>
      <c r="AD59" s="32">
        <f t="shared" si="25"/>
        <v>2.074074074074074</v>
      </c>
    </row>
    <row r="60" spans="1:30" x14ac:dyDescent="0.25">
      <c r="A60" s="32" t="s">
        <v>46</v>
      </c>
      <c r="B60" s="35" t="s">
        <v>53</v>
      </c>
      <c r="C60" s="32" t="s">
        <v>7</v>
      </c>
      <c r="D60" s="34">
        <v>7504</v>
      </c>
      <c r="E60" s="32">
        <v>50</v>
      </c>
      <c r="F60" s="32">
        <v>56</v>
      </c>
      <c r="G60" s="32">
        <v>61</v>
      </c>
      <c r="H60" s="32">
        <v>64</v>
      </c>
      <c r="I60" s="32">
        <v>61</v>
      </c>
      <c r="J60" s="32">
        <v>56</v>
      </c>
      <c r="K60" s="32">
        <v>58</v>
      </c>
      <c r="L60" s="32">
        <v>55</v>
      </c>
      <c r="M60" s="32">
        <v>48</v>
      </c>
      <c r="N60" s="32">
        <v>45</v>
      </c>
      <c r="O60" s="32">
        <v>41</v>
      </c>
      <c r="P60" s="32">
        <v>32</v>
      </c>
      <c r="Q60" s="32">
        <v>32</v>
      </c>
      <c r="R60" s="32">
        <f t="shared" si="13"/>
        <v>6.6631130063965882</v>
      </c>
      <c r="S60" s="32">
        <f t="shared" si="14"/>
        <v>7.4626865671641793</v>
      </c>
      <c r="T60" s="32">
        <f t="shared" si="15"/>
        <v>8.1289978678038377</v>
      </c>
      <c r="U60" s="32">
        <f t="shared" si="16"/>
        <v>8.5287846481876333</v>
      </c>
      <c r="V60" s="32">
        <f t="shared" si="17"/>
        <v>8.1289978678038377</v>
      </c>
      <c r="W60" s="32">
        <f t="shared" si="18"/>
        <v>7.4626865671641793</v>
      </c>
      <c r="X60" s="32">
        <f t="shared" si="19"/>
        <v>7.7292110874200421</v>
      </c>
      <c r="Y60" s="32">
        <f t="shared" si="20"/>
        <v>7.3294243070362475</v>
      </c>
      <c r="Z60" s="32">
        <f t="shared" si="21"/>
        <v>6.3965884861407245</v>
      </c>
      <c r="AA60" s="32">
        <f t="shared" si="22"/>
        <v>5.9968017057569298</v>
      </c>
      <c r="AB60" s="32">
        <f t="shared" si="23"/>
        <v>5.4637526652452024</v>
      </c>
      <c r="AC60" s="32">
        <f t="shared" si="24"/>
        <v>4.2643923240938166</v>
      </c>
      <c r="AD60" s="32">
        <f t="shared" si="25"/>
        <v>4.2643923240938166</v>
      </c>
    </row>
    <row r="61" spans="1:30" x14ac:dyDescent="0.25">
      <c r="A61" s="32" t="s">
        <v>47</v>
      </c>
      <c r="B61" s="35" t="s">
        <v>50</v>
      </c>
      <c r="C61" s="32" t="s">
        <v>7</v>
      </c>
      <c r="D61" s="34">
        <v>4932</v>
      </c>
      <c r="E61" s="32">
        <v>63</v>
      </c>
      <c r="F61" s="32">
        <v>72</v>
      </c>
      <c r="G61" s="32">
        <v>77</v>
      </c>
      <c r="H61" s="32">
        <v>84</v>
      </c>
      <c r="I61" s="32">
        <v>85</v>
      </c>
      <c r="J61" s="32">
        <v>85</v>
      </c>
      <c r="K61" s="32">
        <v>82</v>
      </c>
      <c r="L61" s="32">
        <v>73</v>
      </c>
      <c r="M61" s="32">
        <v>62</v>
      </c>
      <c r="N61" s="32">
        <v>47</v>
      </c>
      <c r="O61" s="32">
        <v>32</v>
      </c>
      <c r="P61" s="32">
        <v>27</v>
      </c>
      <c r="Q61" s="32">
        <v>27</v>
      </c>
      <c r="R61" s="32">
        <f t="shared" si="13"/>
        <v>12.773722627737227</v>
      </c>
      <c r="S61" s="32">
        <f t="shared" si="14"/>
        <v>14.598540145985401</v>
      </c>
      <c r="T61" s="32">
        <f t="shared" si="15"/>
        <v>15.612327656123275</v>
      </c>
      <c r="U61" s="32">
        <f t="shared" si="16"/>
        <v>17.031630170316301</v>
      </c>
      <c r="V61" s="32">
        <f t="shared" si="17"/>
        <v>17.234387672343875</v>
      </c>
      <c r="W61" s="32">
        <f t="shared" si="18"/>
        <v>17.234387672343875</v>
      </c>
      <c r="X61" s="32">
        <f t="shared" si="19"/>
        <v>16.626115166261151</v>
      </c>
      <c r="Y61" s="32">
        <f t="shared" si="20"/>
        <v>14.801297648012977</v>
      </c>
      <c r="Z61" s="32">
        <f t="shared" si="21"/>
        <v>12.570965125709652</v>
      </c>
      <c r="AA61" s="32">
        <f t="shared" si="22"/>
        <v>9.5296025952960264</v>
      </c>
      <c r="AB61" s="32">
        <f t="shared" si="23"/>
        <v>6.488240064882401</v>
      </c>
      <c r="AC61" s="32">
        <f t="shared" si="24"/>
        <v>5.4744525547445262</v>
      </c>
      <c r="AD61" s="32">
        <f t="shared" si="25"/>
        <v>5.4744525547445262</v>
      </c>
    </row>
    <row r="62" spans="1:30" x14ac:dyDescent="0.25">
      <c r="Q62" s="141" t="s">
        <v>120</v>
      </c>
      <c r="R62" s="142">
        <f>AVERAGEIF(C2:C61,"=N",R2:R61)</f>
        <v>8.8205902296583751</v>
      </c>
      <c r="S62" s="142">
        <f>AVERAGEIF(C2:C61,"=N",S2:S61)</f>
        <v>9.934042247332318</v>
      </c>
      <c r="T62" s="142">
        <f>AVERAGEIF(C2:C61,"=N",T2:T61)</f>
        <v>11.514150700350427</v>
      </c>
      <c r="U62" s="142">
        <f>AVERAGEIF(C2:C61,"=N",U2:U61)</f>
        <v>12.698602632405551</v>
      </c>
      <c r="V62" s="142">
        <f>AVERAGEIF(C2:C61,"=N",V2:V61)</f>
        <v>13.391644894957357</v>
      </c>
      <c r="W62" s="142">
        <f>AVERAGEIF(C2:C61,"=N",W2:W61)</f>
        <v>14.068306559583075</v>
      </c>
      <c r="X62" s="142">
        <f>AVERAGEIF(C2:C61,"=N",X2:X61)</f>
        <v>14.523827369922127</v>
      </c>
      <c r="Y62" s="142">
        <f>AVERAGEIF(C2:C61,"=N",Y2:Y61)</f>
        <v>15.037067136653622</v>
      </c>
      <c r="Z62" s="142">
        <f>AVERAGEIF(C2:C61,"=N",Z2:Z61)</f>
        <v>15.20162203734608</v>
      </c>
      <c r="AA62" s="142">
        <f>AVERAGEIF(C2:C61,"=N",AA2:AA61)</f>
        <v>15.20162203734608</v>
      </c>
      <c r="AB62" s="142">
        <f>AVERAGEIF(C2:C61,"=N",AB2:AB61)</f>
        <v>15.402152105862715</v>
      </c>
      <c r="AC62" s="142">
        <f>AVERAGEIF(C2:C61,"=N",AC2:AC61)</f>
        <v>15.451289592437877</v>
      </c>
      <c r="AD62" s="142">
        <f>AVERAGEIF(C2:C61,"=N",AD2:AD61)</f>
        <v>15.536354729600211</v>
      </c>
    </row>
    <row r="63" spans="1:30" x14ac:dyDescent="0.25">
      <c r="Q63" s="141" t="s">
        <v>98</v>
      </c>
      <c r="R63" s="142">
        <f>AVERAGEIF(C2:C61,"=C",R2:R61)</f>
        <v>8.8205902296583751</v>
      </c>
      <c r="S63" s="142">
        <f>AVERAGEIF(C2:C61,"=C",S2:S61)</f>
        <v>8.6018040205062611</v>
      </c>
      <c r="T63" s="142">
        <f>AVERAGEIF(C2:C61,"=C",T2:T61)</f>
        <v>8.6861663269056439</v>
      </c>
      <c r="U63" s="142">
        <f>AVERAGEIF(C2:C61,"=C",U2:U61)</f>
        <v>8.5851844447199461</v>
      </c>
      <c r="V63" s="142">
        <f>AVERAGEIF(C2:C61,"=C",V2:V61)</f>
        <v>8.0567062409946057</v>
      </c>
      <c r="W63" s="142">
        <f>AVERAGEIF(C2:C61,"=C",W2:W61)</f>
        <v>7.5967525116583827</v>
      </c>
      <c r="X63" s="142">
        <f>AVERAGEIF(C2:C61,"=C",X2:X61)</f>
        <v>6.8868996284183419</v>
      </c>
      <c r="Y63" s="142">
        <f>AVERAGEIF(C2:C61,"=C",Y2:Y61)</f>
        <v>5.7043453116234426</v>
      </c>
      <c r="Z63" s="142">
        <f>AVERAGEIF(C2:C61,"=C",Z2:Z61)</f>
        <v>3.9222143526526239</v>
      </c>
      <c r="AA63" s="142">
        <f>AVERAGEIF(C2:C61,"=C",AA2:AA61)</f>
        <v>2.8627924769764705</v>
      </c>
      <c r="AB63" s="142">
        <f>AVERAGEIF(C2:C61,"=C",AB2:AB61)</f>
        <v>2.0108886433057021</v>
      </c>
      <c r="AC63" s="142">
        <f>AVERAGEIF(C2:C61,"=C",AC2:AC61)</f>
        <v>1.4205901118667519</v>
      </c>
      <c r="AD63" s="142">
        <f>AVERAGEIF(C2:C61,"=C",AD2:AD61)</f>
        <v>1.4594412670972174</v>
      </c>
    </row>
    <row r="64" spans="1:30" x14ac:dyDescent="0.25">
      <c r="Q64" s="30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x14ac:dyDescent="0.25">
      <c r="A65" s="13"/>
      <c r="B65" s="13"/>
      <c r="C65" s="13"/>
      <c r="D65" s="13"/>
      <c r="E65" s="13"/>
      <c r="F65" s="13"/>
      <c r="G65" s="13"/>
      <c r="P65" s="33"/>
      <c r="Q65" s="30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x14ac:dyDescent="0.25">
      <c r="A66" s="13"/>
      <c r="B66" s="13"/>
      <c r="C66" s="13"/>
      <c r="D66" s="13"/>
      <c r="E66" s="13"/>
      <c r="F66" s="13"/>
      <c r="G66" s="13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 x14ac:dyDescent="0.25">
      <c r="A67" s="13"/>
      <c r="B67" s="13"/>
      <c r="C67" s="13"/>
      <c r="D67" s="13"/>
      <c r="E67" s="13"/>
      <c r="F67" s="13"/>
      <c r="G67" s="13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 x14ac:dyDescent="0.25">
      <c r="A68" s="13"/>
      <c r="B68" s="13"/>
      <c r="C68" s="13"/>
      <c r="D68" s="13"/>
      <c r="E68" s="13"/>
      <c r="F68" s="13"/>
      <c r="G68" s="13"/>
    </row>
    <row r="69" spans="1:30" x14ac:dyDescent="0.25">
      <c r="A69" s="13"/>
      <c r="B69" s="13"/>
      <c r="C69" s="13"/>
      <c r="D69" s="13"/>
      <c r="E69" s="13"/>
      <c r="F69" s="13"/>
      <c r="G69" s="13"/>
    </row>
    <row r="70" spans="1:30" x14ac:dyDescent="0.25">
      <c r="A70" s="13"/>
      <c r="B70" s="13"/>
      <c r="C70" s="13"/>
      <c r="D70" s="13"/>
      <c r="E70" s="13"/>
      <c r="F70" s="13"/>
      <c r="G70" s="13"/>
    </row>
    <row r="71" spans="1:30" x14ac:dyDescent="0.25">
      <c r="A71" s="13"/>
      <c r="B71" s="13"/>
      <c r="C71" s="13"/>
      <c r="D71" s="13"/>
      <c r="E71" s="13"/>
      <c r="F71" s="13"/>
      <c r="G71" s="13"/>
    </row>
    <row r="72" spans="1:30" x14ac:dyDescent="0.25">
      <c r="A72" s="13"/>
      <c r="B72" s="13"/>
      <c r="C72" s="13"/>
      <c r="D72" s="13"/>
      <c r="E72" s="13"/>
      <c r="F72" s="13"/>
      <c r="G72" s="13"/>
    </row>
    <row r="73" spans="1:30" x14ac:dyDescent="0.25">
      <c r="A73" s="13"/>
      <c r="B73" s="13"/>
      <c r="C73" s="13"/>
      <c r="D73" s="13"/>
      <c r="E73" s="13"/>
      <c r="F73" s="13"/>
      <c r="G73" s="13"/>
    </row>
    <row r="74" spans="1:30" x14ac:dyDescent="0.25">
      <c r="A74" s="13"/>
      <c r="B74" s="13"/>
      <c r="C74" s="13"/>
      <c r="D74" s="13"/>
      <c r="E74" s="13"/>
      <c r="F74" s="13"/>
      <c r="G74" s="13"/>
    </row>
    <row r="75" spans="1:30" x14ac:dyDescent="0.25">
      <c r="A75" s="13"/>
      <c r="B75" s="13"/>
      <c r="C75" s="13"/>
      <c r="D75" s="13"/>
      <c r="E75" s="13"/>
      <c r="F75" s="13"/>
      <c r="G75" s="13"/>
    </row>
    <row r="76" spans="1:30" x14ac:dyDescent="0.25">
      <c r="A76" s="13"/>
      <c r="B76" s="13"/>
      <c r="C76" s="13"/>
      <c r="D76" s="13"/>
      <c r="E76" s="13"/>
      <c r="F76" s="13"/>
      <c r="G76" s="13"/>
    </row>
    <row r="77" spans="1:30" x14ac:dyDescent="0.25">
      <c r="A77" s="13"/>
      <c r="B77" s="13"/>
      <c r="C77" s="13"/>
      <c r="D77" s="13"/>
      <c r="E77" s="13"/>
      <c r="F77" s="13"/>
      <c r="G77" s="13"/>
    </row>
    <row r="78" spans="1:30" x14ac:dyDescent="0.25">
      <c r="A78" s="13"/>
      <c r="B78" s="13"/>
      <c r="C78" s="13"/>
      <c r="D78" s="13"/>
      <c r="E78" s="13"/>
      <c r="F78" s="13"/>
      <c r="G78" s="13"/>
    </row>
    <row r="79" spans="1:30" x14ac:dyDescent="0.25">
      <c r="A79" s="33"/>
      <c r="B79" s="33"/>
      <c r="C79" s="33"/>
      <c r="D79" s="33"/>
      <c r="E79" s="33"/>
      <c r="F79" s="33"/>
      <c r="G79" s="33"/>
    </row>
    <row r="80" spans="1:30" x14ac:dyDescent="0.25">
      <c r="A80" s="33"/>
      <c r="B80" s="33"/>
      <c r="C80" s="33"/>
      <c r="D80" s="33"/>
      <c r="E80" s="33"/>
      <c r="F80" s="33"/>
      <c r="G80" s="33"/>
    </row>
    <row r="81" spans="1:7" x14ac:dyDescent="0.25">
      <c r="A81" s="33"/>
      <c r="B81" s="33"/>
      <c r="C81" s="33"/>
      <c r="D81" s="33"/>
      <c r="E81" s="33"/>
      <c r="F81" s="33"/>
      <c r="G81" s="33"/>
    </row>
    <row r="82" spans="1:7" x14ac:dyDescent="0.25">
      <c r="A82" s="33"/>
      <c r="B82" s="33"/>
      <c r="C82" s="33"/>
      <c r="D82" s="33"/>
      <c r="E82" s="33"/>
      <c r="F82" s="33"/>
      <c r="G82" s="33"/>
    </row>
    <row r="83" spans="1:7" x14ac:dyDescent="0.25">
      <c r="A83" s="33"/>
      <c r="B83" s="33"/>
      <c r="C83" s="33"/>
      <c r="D83" s="33"/>
      <c r="E83" s="33"/>
      <c r="F83" s="33"/>
      <c r="G83" s="33"/>
    </row>
    <row r="84" spans="1:7" x14ac:dyDescent="0.25">
      <c r="A84" s="33"/>
      <c r="B84" s="33"/>
      <c r="C84" s="33"/>
      <c r="D84" s="33"/>
      <c r="E84" s="33"/>
      <c r="F84" s="33"/>
      <c r="G84" s="33"/>
    </row>
    <row r="85" spans="1:7" x14ac:dyDescent="0.25">
      <c r="A85" s="33"/>
      <c r="B85" s="33"/>
      <c r="C85" s="33"/>
      <c r="D85" s="33"/>
      <c r="E85" s="33"/>
      <c r="F85" s="33"/>
      <c r="G85" s="33"/>
    </row>
    <row r="86" spans="1:7" x14ac:dyDescent="0.25">
      <c r="A86" s="33"/>
      <c r="B86" s="33"/>
      <c r="C86" s="33"/>
      <c r="D86" s="33"/>
      <c r="E86" s="33"/>
      <c r="F86" s="33"/>
      <c r="G86" s="33"/>
    </row>
    <row r="87" spans="1:7" x14ac:dyDescent="0.25">
      <c r="A87" s="33"/>
      <c r="B87" s="33"/>
      <c r="C87" s="33"/>
      <c r="D87" s="33"/>
      <c r="E87" s="33"/>
      <c r="F87" s="33"/>
      <c r="G87" s="33"/>
    </row>
    <row r="88" spans="1:7" x14ac:dyDescent="0.25">
      <c r="A88" s="33"/>
      <c r="B88" s="33"/>
      <c r="C88" s="33"/>
      <c r="D88" s="33"/>
      <c r="E88" s="33"/>
      <c r="F88" s="33"/>
      <c r="G88" s="33"/>
    </row>
    <row r="90" spans="1:7" ht="25.8" customHeight="1" thickBot="1" x14ac:dyDescent="0.3"/>
    <row r="91" spans="1:7" ht="36" customHeight="1" thickBot="1" x14ac:dyDescent="0.3">
      <c r="A91" s="85" t="s">
        <v>81</v>
      </c>
      <c r="B91" s="145" t="s">
        <v>138</v>
      </c>
      <c r="C91" s="144" t="s">
        <v>139</v>
      </c>
      <c r="D91" s="143" t="s">
        <v>140</v>
      </c>
      <c r="E91" s="146" t="s">
        <v>141</v>
      </c>
    </row>
    <row r="92" spans="1:7" ht="13.8" thickBot="1" x14ac:dyDescent="0.3">
      <c r="A92" s="37">
        <v>0</v>
      </c>
      <c r="B92" s="37">
        <f>AVERAGE(R2:R30)</f>
        <v>8.684275319379795</v>
      </c>
      <c r="C92" s="37">
        <f>AVERAGE(R32:R60)</f>
        <v>8.684275319379795</v>
      </c>
      <c r="D92" s="37">
        <f>AVERAGE(R3:R31)</f>
        <v>8.4781967893017676</v>
      </c>
      <c r="E92" s="37">
        <f>AVERAGE(R33:R61)</f>
        <v>8.4781967893017676</v>
      </c>
    </row>
    <row r="93" spans="1:7" ht="13.8" thickBot="1" x14ac:dyDescent="0.3">
      <c r="A93" s="37">
        <v>1</v>
      </c>
      <c r="B93" s="37">
        <f>AVERAGE(S2:S30)</f>
        <v>9.7312476642006445</v>
      </c>
      <c r="C93" s="37">
        <f>AVERAGE(S32:S60)</f>
        <v>8.3950200161793944</v>
      </c>
      <c r="D93" s="37">
        <f>AVERAGE(S3:S31)</f>
        <v>9.5869402558610215</v>
      </c>
      <c r="E93" s="37">
        <f>AVERAGE(S33:S61)</f>
        <v>8.2806018602938316</v>
      </c>
    </row>
    <row r="94" spans="1:7" ht="13.8" thickBot="1" x14ac:dyDescent="0.3">
      <c r="A94" s="37">
        <v>2</v>
      </c>
      <c r="B94" s="37">
        <f>AVERAGE(T2:T30)</f>
        <v>11.274951321586327</v>
      </c>
      <c r="C94" s="37">
        <f>AVERAGE(T32:T60)</f>
        <v>8.4473331776222782</v>
      </c>
      <c r="D94" s="37">
        <f>AVERAGE(T3:T31)</f>
        <v>11.149696126799292</v>
      </c>
      <c r="E94" s="37">
        <f>AVERAGE(T33:T61)</f>
        <v>8.3966088439253799</v>
      </c>
    </row>
    <row r="95" spans="1:7" ht="13.8" thickBot="1" x14ac:dyDescent="0.3">
      <c r="A95" s="37">
        <v>3</v>
      </c>
      <c r="B95" s="37">
        <f>AVERAGE(U2:U30)</f>
        <v>12.402363491699006</v>
      </c>
      <c r="C95" s="37">
        <f>AVERAGE(U32:U60)</f>
        <v>8.293927695561452</v>
      </c>
      <c r="D95" s="37">
        <f>AVERAGE(U3:U31)</f>
        <v>12.331887780649421</v>
      </c>
      <c r="E95" s="37">
        <f>AVERAGE(U33:U61)</f>
        <v>8.3352482761470714</v>
      </c>
    </row>
    <row r="96" spans="1:7" ht="13.8" thickBot="1" x14ac:dyDescent="0.3">
      <c r="A96" s="37">
        <v>4</v>
      </c>
      <c r="B96" s="37">
        <f>AVERAGE(V2:V30)</f>
        <v>13.063370659296716</v>
      </c>
      <c r="C96" s="37">
        <f>AVERAGE(V32:V60)</f>
        <v>7.7402344674998043</v>
      </c>
      <c r="D96" s="37">
        <f>AVERAGE(V3:V31)</f>
        <v>13.02009242007083</v>
      </c>
      <c r="E96" s="37">
        <f>AVERAGE(V33:V61)</f>
        <v>7.8460179504541916</v>
      </c>
    </row>
    <row r="97" spans="1:30" ht="13.8" thickBot="1" x14ac:dyDescent="0.3">
      <c r="A97" s="37">
        <v>5</v>
      </c>
      <c r="B97" s="37">
        <f>AVERAGE(W2:W30)</f>
        <v>13.72141565676589</v>
      </c>
      <c r="C97" s="37">
        <f>AVERAGE(W32:W60)</f>
        <v>7.2644202647381935</v>
      </c>
      <c r="D97" s="37">
        <f>AVERAGE(W3:W31)</f>
        <v>13.633880348993982</v>
      </c>
      <c r="E97" s="37">
        <f>AVERAGE(W33:W61)</f>
        <v>7.3271002994167169</v>
      </c>
    </row>
    <row r="98" spans="1:30" ht="13.8" thickBot="1" x14ac:dyDescent="0.3">
      <c r="A98" s="37">
        <v>6</v>
      </c>
      <c r="B98" s="37">
        <f>AVERAGE(X2:X30)</f>
        <v>14.178660805252663</v>
      </c>
      <c r="C98" s="37">
        <f>AVERAGE(X32:X60)</f>
        <v>6.5510646098720375</v>
      </c>
      <c r="D98" s="37">
        <f>AVERAGE(X3:X31)</f>
        <v>14.062005325206796</v>
      </c>
      <c r="E98" s="37">
        <f>AVERAGE(X33:X61)</f>
        <v>6.6215053627316172</v>
      </c>
    </row>
    <row r="99" spans="1:30" ht="13.8" thickBot="1" x14ac:dyDescent="0.3">
      <c r="A99" s="37">
        <v>7</v>
      </c>
      <c r="B99" s="37">
        <f>AVERAGE(Y2:Y30)</f>
        <v>14.702606856973947</v>
      </c>
      <c r="C99" s="37">
        <f>AVERAGE(Y32:Y60)</f>
        <v>5.3906573000238032</v>
      </c>
      <c r="D99" s="37">
        <f>AVERAGE(Y3:Y31)</f>
        <v>14.564207382745128</v>
      </c>
      <c r="E99" s="37">
        <f>AVERAGE(Y33:Y61)</f>
        <v>5.4843802074265486</v>
      </c>
      <c r="Q99" s="30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13.8" thickBot="1" x14ac:dyDescent="0.3">
      <c r="A100" s="37">
        <v>8</v>
      </c>
      <c r="B100" s="37">
        <f>AVERAGE(Z2:Z30)</f>
        <v>14.865844426585886</v>
      </c>
      <c r="C100" s="37">
        <f>AVERAGE(Z32:Z60)</f>
        <v>3.6239815673747953</v>
      </c>
      <c r="D100" s="37">
        <f>AVERAGE(Z3:Z31)</f>
        <v>14.720068774266061</v>
      </c>
      <c r="E100" s="37">
        <f>AVERAGE(Z33:Z61)</f>
        <v>3.7988424337785762</v>
      </c>
      <c r="Q100" s="30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13.8" thickBot="1" x14ac:dyDescent="0.3">
      <c r="A101" s="37">
        <v>9</v>
      </c>
      <c r="B101" s="37">
        <f>AVERAGE(AA2:AA30)</f>
        <v>14.865844426585886</v>
      </c>
      <c r="C101" s="37">
        <f>AVERAGE(AA32:AA60)</f>
        <v>2.6329024728964856</v>
      </c>
      <c r="D101" s="37">
        <f>AVERAGE(AA3:AA31)</f>
        <v>14.720068774266061</v>
      </c>
      <c r="E101" s="37">
        <f>AVERAGE(AA33:AA61)</f>
        <v>2.7747278497457741</v>
      </c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 ht="13.8" thickBot="1" x14ac:dyDescent="0.3">
      <c r="A102" s="37">
        <v>10</v>
      </c>
      <c r="B102" s="37">
        <f>AVERAGE(AB2:AB30)</f>
        <v>15.066297687050419</v>
      </c>
      <c r="C102" s="37">
        <f>AVERAGE(AB32:AB60)</f>
        <v>1.8564972149754708</v>
      </c>
      <c r="D102" s="37">
        <f>AVERAGE(AB3:AB31)</f>
        <v>14.913145856639593</v>
      </c>
      <c r="E102" s="37">
        <f>AVERAGE(AB33:AB61)</f>
        <v>1.9652871022702665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ht="13.8" thickBot="1" x14ac:dyDescent="0.3">
      <c r="A103" s="37">
        <v>11</v>
      </c>
      <c r="B103" s="37">
        <f>AVERAGE(AC2:AC30)</f>
        <v>15.103146293712479</v>
      </c>
      <c r="C103" s="37">
        <f>AVERAGE(AC32:AC60)</f>
        <v>1.2808017517675183</v>
      </c>
      <c r="D103" s="37">
        <f>AVERAGE(AC3:AC31)</f>
        <v>14.963977739303553</v>
      </c>
      <c r="E103" s="37">
        <f>AVERAGE(AC33:AC61)</f>
        <v>1.4121047134253755</v>
      </c>
    </row>
    <row r="104" spans="1:30" ht="13.8" thickBot="1" x14ac:dyDescent="0.3">
      <c r="A104" s="37">
        <v>12</v>
      </c>
      <c r="B104" s="37">
        <f>AVERAGE(AD2:AD30)</f>
        <v>15.191144711466617</v>
      </c>
      <c r="C104" s="37">
        <f>AVERAGE(AD32:AD60)</f>
        <v>1.3209926020059308</v>
      </c>
      <c r="D104" s="37">
        <f>AVERAGE(AD3:AD31)</f>
        <v>15.037608340965734</v>
      </c>
      <c r="E104" s="37">
        <f>AVERAGE(AD33:AD61)</f>
        <v>1.4379277475718339</v>
      </c>
    </row>
  </sheetData>
  <autoFilter ref="A1:AD78" xr:uid="{E4856144-EAA1-44B4-BE25-20D5CB1DA9FB}"/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D546-238B-9145-B429-2F3E5FBD5AEB}">
  <dimension ref="A1:AE302"/>
  <sheetViews>
    <sheetView topLeftCell="D65" workbookViewId="0">
      <selection activeCell="R61" sqref="R61"/>
    </sheetView>
  </sheetViews>
  <sheetFormatPr defaultColWidth="11.44140625" defaultRowHeight="13.2" x14ac:dyDescent="0.25"/>
  <cols>
    <col min="1" max="1" width="9.77734375" customWidth="1"/>
    <col min="2" max="2" width="21.33203125" customWidth="1"/>
    <col min="3" max="3" width="33.6640625" customWidth="1"/>
    <col min="4" max="4" width="22.6640625" customWidth="1"/>
    <col min="5" max="5" width="29.44140625" customWidth="1"/>
    <col min="18" max="18" width="13.77734375" customWidth="1"/>
    <col min="19" max="19" width="17" customWidth="1"/>
    <col min="20" max="20" width="15.44140625" customWidth="1"/>
    <col min="21" max="21" width="15.33203125" customWidth="1"/>
    <col min="22" max="22" width="14" customWidth="1"/>
    <col min="23" max="23" width="13.77734375" customWidth="1"/>
    <col min="24" max="24" width="13.44140625" customWidth="1"/>
    <col min="25" max="25" width="13.109375" customWidth="1"/>
    <col min="26" max="26" width="14.109375" customWidth="1"/>
    <col min="27" max="27" width="13.109375" customWidth="1"/>
    <col min="28" max="28" width="14.33203125" customWidth="1"/>
    <col min="29" max="29" width="15.109375" customWidth="1"/>
    <col min="30" max="30" width="15.77734375" customWidth="1"/>
  </cols>
  <sheetData>
    <row r="1" spans="1:31" x14ac:dyDescent="0.25">
      <c r="A1" s="53" t="s">
        <v>2</v>
      </c>
      <c r="B1" s="53" t="s">
        <v>80</v>
      </c>
      <c r="C1" s="53" t="s">
        <v>3</v>
      </c>
      <c r="D1" s="53" t="s">
        <v>19</v>
      </c>
      <c r="E1" s="53" t="s">
        <v>54</v>
      </c>
      <c r="F1" s="53" t="s">
        <v>55</v>
      </c>
      <c r="G1" s="53" t="s">
        <v>56</v>
      </c>
      <c r="H1" s="53" t="s">
        <v>57</v>
      </c>
      <c r="I1" s="53" t="s">
        <v>58</v>
      </c>
      <c r="J1" s="53" t="s">
        <v>59</v>
      </c>
      <c r="K1" s="53" t="s">
        <v>60</v>
      </c>
      <c r="L1" s="53" t="s">
        <v>61</v>
      </c>
      <c r="M1" s="53" t="s">
        <v>62</v>
      </c>
      <c r="N1" s="53" t="s">
        <v>63</v>
      </c>
      <c r="O1" s="53" t="s">
        <v>64</v>
      </c>
      <c r="P1" s="53" t="s">
        <v>65</v>
      </c>
      <c r="Q1" s="53" t="s">
        <v>66</v>
      </c>
      <c r="R1" s="53" t="s">
        <v>67</v>
      </c>
      <c r="S1" s="53" t="s">
        <v>68</v>
      </c>
      <c r="T1" s="53" t="s">
        <v>69</v>
      </c>
      <c r="U1" s="53" t="s">
        <v>70</v>
      </c>
      <c r="V1" s="53" t="s">
        <v>71</v>
      </c>
      <c r="W1" s="53" t="s">
        <v>72</v>
      </c>
      <c r="X1" s="53" t="s">
        <v>73</v>
      </c>
      <c r="Y1" s="53" t="s">
        <v>74</v>
      </c>
      <c r="Z1" s="53" t="s">
        <v>75</v>
      </c>
      <c r="AA1" s="53" t="s">
        <v>76</v>
      </c>
      <c r="AB1" s="53" t="s">
        <v>77</v>
      </c>
      <c r="AC1" s="53" t="s">
        <v>78</v>
      </c>
      <c r="AD1" s="53" t="s">
        <v>79</v>
      </c>
      <c r="AE1" s="13"/>
    </row>
    <row r="2" spans="1:31" x14ac:dyDescent="0.25">
      <c r="A2" s="16" t="s">
        <v>5</v>
      </c>
      <c r="B2" s="16" t="s">
        <v>6</v>
      </c>
      <c r="C2" s="19">
        <v>2400</v>
      </c>
      <c r="D2" s="60" t="s">
        <v>51</v>
      </c>
      <c r="E2" s="20">
        <v>45</v>
      </c>
      <c r="F2" s="20">
        <v>48</v>
      </c>
      <c r="G2" s="20">
        <v>53</v>
      </c>
      <c r="H2" s="20">
        <v>56</v>
      </c>
      <c r="I2" s="20">
        <v>58</v>
      </c>
      <c r="J2" s="20">
        <v>64</v>
      </c>
      <c r="K2" s="20">
        <v>67</v>
      </c>
      <c r="L2" s="20">
        <v>69</v>
      </c>
      <c r="M2" s="20">
        <v>70</v>
      </c>
      <c r="N2" s="20">
        <v>70</v>
      </c>
      <c r="O2" s="20">
        <v>71</v>
      </c>
      <c r="P2" s="20">
        <v>71</v>
      </c>
      <c r="Q2" s="20">
        <v>72</v>
      </c>
      <c r="R2" s="16">
        <f>(E2/C2)*1000</f>
        <v>18.75</v>
      </c>
      <c r="S2" s="16">
        <f>(F2/C2)*1000</f>
        <v>20</v>
      </c>
      <c r="T2" s="16">
        <f>(G2/C2)*1000</f>
        <v>22.083333333333332</v>
      </c>
      <c r="U2" s="16">
        <f>(H2/C2)*1000</f>
        <v>23.333333333333336</v>
      </c>
      <c r="V2" s="16">
        <f>(I2/C2)*1000</f>
        <v>24.166666666666668</v>
      </c>
      <c r="W2" s="16">
        <f>(J2/C2)*1000</f>
        <v>26.666666666666668</v>
      </c>
      <c r="X2" s="16">
        <f>(K2/C2)*1000</f>
        <v>27.916666666666664</v>
      </c>
      <c r="Y2" s="16">
        <f>(L2/C2)*1000</f>
        <v>28.75</v>
      </c>
      <c r="Z2" s="16">
        <f>(M2/C2)*1000</f>
        <v>29.166666666666668</v>
      </c>
      <c r="AA2" s="16">
        <f>(N2/C2)*1000</f>
        <v>29.166666666666668</v>
      </c>
      <c r="AB2" s="16">
        <f>(O2/C2)*1000</f>
        <v>29.583333333333332</v>
      </c>
      <c r="AC2" s="16">
        <f>(P2/C2)*1000</f>
        <v>29.583333333333332</v>
      </c>
      <c r="AD2" s="16">
        <f>(Q2/C2)*1000</f>
        <v>30</v>
      </c>
      <c r="AE2" s="13"/>
    </row>
    <row r="3" spans="1:31" x14ac:dyDescent="0.25">
      <c r="A3" s="16" t="s">
        <v>8</v>
      </c>
      <c r="B3" s="16" t="s">
        <v>6</v>
      </c>
      <c r="C3" s="19">
        <v>3780</v>
      </c>
      <c r="D3" s="60" t="s">
        <v>51</v>
      </c>
      <c r="E3" s="19">
        <v>38</v>
      </c>
      <c r="F3" s="19">
        <v>44</v>
      </c>
      <c r="G3" s="19">
        <v>52</v>
      </c>
      <c r="H3" s="19">
        <v>54</v>
      </c>
      <c r="I3" s="19">
        <v>57</v>
      </c>
      <c r="J3" s="19">
        <v>61</v>
      </c>
      <c r="K3" s="19">
        <v>62</v>
      </c>
      <c r="L3" s="19">
        <v>67</v>
      </c>
      <c r="M3" s="19">
        <v>67</v>
      </c>
      <c r="N3" s="19">
        <v>67</v>
      </c>
      <c r="O3" s="19">
        <v>68</v>
      </c>
      <c r="P3" s="19">
        <v>68</v>
      </c>
      <c r="Q3" s="19">
        <v>69</v>
      </c>
      <c r="R3" s="16">
        <f t="shared" ref="R3:R61" si="0">(E3/C3)*1000</f>
        <v>10.052910052910054</v>
      </c>
      <c r="S3" s="16">
        <f t="shared" ref="S3:S61" si="1">(F3/C3)*1000</f>
        <v>11.640211640211639</v>
      </c>
      <c r="T3" s="16">
        <f t="shared" ref="T3:T61" si="2">(G3/C3)*1000</f>
        <v>13.756613756613756</v>
      </c>
      <c r="U3" s="16">
        <f t="shared" ref="U3:U61" si="3">(H3/C3)*1000</f>
        <v>14.285714285714285</v>
      </c>
      <c r="V3" s="16">
        <f t="shared" ref="V3:V61" si="4">(I3/C3)*1000</f>
        <v>15.079365079365079</v>
      </c>
      <c r="W3" s="16">
        <f t="shared" ref="W3:W61" si="5">(J3/C3)*1000</f>
        <v>16.137566137566139</v>
      </c>
      <c r="X3" s="16">
        <f t="shared" ref="X3:X61" si="6">(K3/C3)*1000</f>
        <v>16.402116402116402</v>
      </c>
      <c r="Y3" s="16">
        <f t="shared" ref="Y3:Y61" si="7">(L3/C3)*1000</f>
        <v>17.724867724867725</v>
      </c>
      <c r="Z3" s="16">
        <f t="shared" ref="Z3:Z61" si="8">(M3/C3)*1000</f>
        <v>17.724867724867725</v>
      </c>
      <c r="AA3" s="16">
        <f t="shared" ref="AA3:AA61" si="9">(N3/C3)*1000</f>
        <v>17.724867724867725</v>
      </c>
      <c r="AB3" s="16">
        <f t="shared" ref="AB3:AB61" si="10">(O3/C3)*1000</f>
        <v>17.989417989417991</v>
      </c>
      <c r="AC3" s="16">
        <f t="shared" ref="AC3:AC61" si="11">(P3/C3)*1000</f>
        <v>17.989417989417991</v>
      </c>
      <c r="AD3" s="16">
        <f t="shared" ref="AD3:AD61" si="12">(Q3/C3)*1000</f>
        <v>18.253968253968257</v>
      </c>
      <c r="AE3" s="13"/>
    </row>
    <row r="4" spans="1:31" x14ac:dyDescent="0.25">
      <c r="A4" s="16" t="s">
        <v>7</v>
      </c>
      <c r="B4" s="16" t="s">
        <v>6</v>
      </c>
      <c r="C4" s="19">
        <v>4593</v>
      </c>
      <c r="D4" s="60" t="s">
        <v>52</v>
      </c>
      <c r="E4" s="19">
        <v>41</v>
      </c>
      <c r="F4" s="19">
        <v>46</v>
      </c>
      <c r="G4" s="19">
        <v>49</v>
      </c>
      <c r="H4" s="19">
        <v>53</v>
      </c>
      <c r="I4" s="19">
        <v>56</v>
      </c>
      <c r="J4" s="19">
        <v>58</v>
      </c>
      <c r="K4" s="19">
        <v>60</v>
      </c>
      <c r="L4" s="19">
        <v>61</v>
      </c>
      <c r="M4" s="19">
        <v>62</v>
      </c>
      <c r="N4" s="19">
        <v>62</v>
      </c>
      <c r="O4" s="19">
        <v>63</v>
      </c>
      <c r="P4" s="19">
        <v>63</v>
      </c>
      <c r="Q4" s="19">
        <v>63</v>
      </c>
      <c r="R4" s="16">
        <f t="shared" si="0"/>
        <v>8.9266274765948186</v>
      </c>
      <c r="S4" s="16">
        <f t="shared" si="1"/>
        <v>10.015240583496626</v>
      </c>
      <c r="T4" s="16">
        <f t="shared" si="2"/>
        <v>10.668408447637709</v>
      </c>
      <c r="U4" s="16">
        <f t="shared" si="3"/>
        <v>11.539298933159156</v>
      </c>
      <c r="V4" s="16">
        <f t="shared" si="4"/>
        <v>12.192466797300238</v>
      </c>
      <c r="W4" s="16">
        <f t="shared" si="5"/>
        <v>12.627912040060963</v>
      </c>
      <c r="X4" s="16">
        <f t="shared" si="6"/>
        <v>13.063357282821686</v>
      </c>
      <c r="Y4" s="16">
        <f t="shared" si="7"/>
        <v>13.281079904202047</v>
      </c>
      <c r="Z4" s="16">
        <f t="shared" si="8"/>
        <v>13.498802525582407</v>
      </c>
      <c r="AA4" s="16">
        <f t="shared" si="9"/>
        <v>13.498802525582407</v>
      </c>
      <c r="AB4" s="16">
        <f t="shared" si="10"/>
        <v>13.716525146962768</v>
      </c>
      <c r="AC4" s="16">
        <f t="shared" si="11"/>
        <v>13.716525146962768</v>
      </c>
      <c r="AD4" s="16">
        <f t="shared" si="12"/>
        <v>13.716525146962768</v>
      </c>
      <c r="AE4" s="13"/>
    </row>
    <row r="5" spans="1:31" x14ac:dyDescent="0.25">
      <c r="A5" s="16" t="s">
        <v>9</v>
      </c>
      <c r="B5" s="16" t="s">
        <v>6</v>
      </c>
      <c r="C5" s="19">
        <v>3690</v>
      </c>
      <c r="D5" s="60" t="s">
        <v>51</v>
      </c>
      <c r="E5" s="19">
        <v>33</v>
      </c>
      <c r="F5" s="19">
        <v>37</v>
      </c>
      <c r="G5" s="19">
        <v>39</v>
      </c>
      <c r="H5" s="19">
        <v>44</v>
      </c>
      <c r="I5" s="19">
        <v>46</v>
      </c>
      <c r="J5" s="19">
        <v>48</v>
      </c>
      <c r="K5" s="19">
        <v>49</v>
      </c>
      <c r="L5" s="19">
        <v>52</v>
      </c>
      <c r="M5" s="19">
        <v>52</v>
      </c>
      <c r="N5" s="19">
        <v>52</v>
      </c>
      <c r="O5" s="19">
        <v>53</v>
      </c>
      <c r="P5" s="19">
        <v>53</v>
      </c>
      <c r="Q5" s="19">
        <v>53</v>
      </c>
      <c r="R5" s="16">
        <f t="shared" si="0"/>
        <v>8.9430894308943092</v>
      </c>
      <c r="S5" s="16">
        <f t="shared" si="1"/>
        <v>10.027100271002711</v>
      </c>
      <c r="T5" s="16">
        <f t="shared" si="2"/>
        <v>10.56910569105691</v>
      </c>
      <c r="U5" s="16">
        <f t="shared" si="3"/>
        <v>11.924119241192411</v>
      </c>
      <c r="V5" s="16">
        <f t="shared" si="4"/>
        <v>12.466124661246614</v>
      </c>
      <c r="W5" s="16">
        <f t="shared" si="5"/>
        <v>13.008130081300813</v>
      </c>
      <c r="X5" s="16">
        <f t="shared" si="6"/>
        <v>13.279132791327914</v>
      </c>
      <c r="Y5" s="16">
        <f t="shared" si="7"/>
        <v>14.092140921409214</v>
      </c>
      <c r="Z5" s="16">
        <f t="shared" si="8"/>
        <v>14.092140921409214</v>
      </c>
      <c r="AA5" s="16">
        <f t="shared" si="9"/>
        <v>14.092140921409214</v>
      </c>
      <c r="AB5" s="16">
        <f t="shared" si="10"/>
        <v>14.363143631436316</v>
      </c>
      <c r="AC5" s="16">
        <f t="shared" si="11"/>
        <v>14.363143631436316</v>
      </c>
      <c r="AD5" s="16">
        <f t="shared" si="12"/>
        <v>14.363143631436316</v>
      </c>
      <c r="AE5" s="13"/>
    </row>
    <row r="6" spans="1:31" x14ac:dyDescent="0.25">
      <c r="A6" s="16" t="s">
        <v>10</v>
      </c>
      <c r="B6" s="16" t="s">
        <v>6</v>
      </c>
      <c r="C6" s="19">
        <v>4400</v>
      </c>
      <c r="D6" s="60" t="s">
        <v>51</v>
      </c>
      <c r="E6" s="19">
        <v>55</v>
      </c>
      <c r="F6" s="19">
        <v>58</v>
      </c>
      <c r="G6" s="19">
        <v>63</v>
      </c>
      <c r="H6" s="19">
        <v>66</v>
      </c>
      <c r="I6" s="19">
        <v>68</v>
      </c>
      <c r="J6" s="19">
        <v>74</v>
      </c>
      <c r="K6" s="19">
        <v>77</v>
      </c>
      <c r="L6" s="19">
        <v>79</v>
      </c>
      <c r="M6" s="19">
        <v>80</v>
      </c>
      <c r="N6" s="19">
        <v>80</v>
      </c>
      <c r="O6" s="19">
        <v>81</v>
      </c>
      <c r="P6" s="19">
        <v>81</v>
      </c>
      <c r="Q6" s="19">
        <v>82</v>
      </c>
      <c r="R6" s="16">
        <f t="shared" si="0"/>
        <v>12.5</v>
      </c>
      <c r="S6" s="16">
        <f t="shared" si="1"/>
        <v>13.181818181818182</v>
      </c>
      <c r="T6" s="16">
        <f t="shared" si="2"/>
        <v>14.318181818181818</v>
      </c>
      <c r="U6" s="16">
        <f t="shared" si="3"/>
        <v>15</v>
      </c>
      <c r="V6" s="16">
        <f t="shared" si="4"/>
        <v>15.454545454545455</v>
      </c>
      <c r="W6" s="16">
        <f t="shared" si="5"/>
        <v>16.81818181818182</v>
      </c>
      <c r="X6" s="16">
        <f t="shared" si="6"/>
        <v>17.5</v>
      </c>
      <c r="Y6" s="16">
        <f t="shared" si="7"/>
        <v>17.954545454545457</v>
      </c>
      <c r="Z6" s="16">
        <f t="shared" si="8"/>
        <v>18.18181818181818</v>
      </c>
      <c r="AA6" s="16">
        <f t="shared" si="9"/>
        <v>18.18181818181818</v>
      </c>
      <c r="AB6" s="16">
        <f t="shared" si="10"/>
        <v>18.40909090909091</v>
      </c>
      <c r="AC6" s="16">
        <f t="shared" si="11"/>
        <v>18.40909090909091</v>
      </c>
      <c r="AD6" s="16">
        <f t="shared" si="12"/>
        <v>18.636363636363637</v>
      </c>
      <c r="AE6" s="13"/>
    </row>
    <row r="7" spans="1:31" x14ac:dyDescent="0.25">
      <c r="A7" s="16" t="s">
        <v>11</v>
      </c>
      <c r="B7" s="16" t="s">
        <v>6</v>
      </c>
      <c r="C7" s="19">
        <v>4450</v>
      </c>
      <c r="D7" s="60" t="s">
        <v>51</v>
      </c>
      <c r="E7" s="19">
        <v>56</v>
      </c>
      <c r="F7" s="19">
        <v>62</v>
      </c>
      <c r="G7" s="19">
        <v>70</v>
      </c>
      <c r="H7" s="19">
        <v>72</v>
      </c>
      <c r="I7" s="19">
        <v>75</v>
      </c>
      <c r="J7" s="19">
        <v>79</v>
      </c>
      <c r="K7" s="19">
        <v>80</v>
      </c>
      <c r="L7" s="19">
        <v>85</v>
      </c>
      <c r="M7" s="19">
        <v>85</v>
      </c>
      <c r="N7" s="19">
        <v>85</v>
      </c>
      <c r="O7" s="19">
        <v>86</v>
      </c>
      <c r="P7" s="19">
        <v>86</v>
      </c>
      <c r="Q7" s="19">
        <v>86</v>
      </c>
      <c r="R7" s="16">
        <f t="shared" si="0"/>
        <v>12.584269662921349</v>
      </c>
      <c r="S7" s="16">
        <f t="shared" si="1"/>
        <v>13.932584269662922</v>
      </c>
      <c r="T7" s="16">
        <f t="shared" si="2"/>
        <v>15.730337078651687</v>
      </c>
      <c r="U7" s="16">
        <f t="shared" si="3"/>
        <v>16.179775280898877</v>
      </c>
      <c r="V7" s="16">
        <f t="shared" si="4"/>
        <v>16.853932584269664</v>
      </c>
      <c r="W7" s="16">
        <f t="shared" si="5"/>
        <v>17.752808988764045</v>
      </c>
      <c r="X7" s="16">
        <f t="shared" si="6"/>
        <v>17.977528089887642</v>
      </c>
      <c r="Y7" s="16">
        <f t="shared" si="7"/>
        <v>19.101123595505619</v>
      </c>
      <c r="Z7" s="16">
        <f t="shared" si="8"/>
        <v>19.101123595505619</v>
      </c>
      <c r="AA7" s="16">
        <f t="shared" si="9"/>
        <v>19.101123595505619</v>
      </c>
      <c r="AB7" s="16">
        <f t="shared" si="10"/>
        <v>19.325842696629213</v>
      </c>
      <c r="AC7" s="16">
        <f t="shared" si="11"/>
        <v>19.325842696629213</v>
      </c>
      <c r="AD7" s="16">
        <f t="shared" si="12"/>
        <v>19.325842696629213</v>
      </c>
      <c r="AE7" s="13"/>
    </row>
    <row r="8" spans="1:31" x14ac:dyDescent="0.25">
      <c r="A8" s="16" t="s">
        <v>12</v>
      </c>
      <c r="B8" s="16" t="s">
        <v>6</v>
      </c>
      <c r="C8" s="19">
        <v>4925</v>
      </c>
      <c r="D8" s="60" t="s">
        <v>51</v>
      </c>
      <c r="E8" s="19">
        <v>44</v>
      </c>
      <c r="F8" s="19">
        <v>48</v>
      </c>
      <c r="G8" s="19">
        <v>51</v>
      </c>
      <c r="H8" s="19">
        <v>56</v>
      </c>
      <c r="I8" s="19">
        <v>58</v>
      </c>
      <c r="J8" s="19">
        <v>61</v>
      </c>
      <c r="K8" s="19">
        <v>63</v>
      </c>
      <c r="L8" s="19">
        <v>64</v>
      </c>
      <c r="M8" s="19">
        <v>65</v>
      </c>
      <c r="N8" s="19">
        <v>65</v>
      </c>
      <c r="O8" s="19">
        <v>66</v>
      </c>
      <c r="P8" s="19">
        <v>66</v>
      </c>
      <c r="Q8" s="19">
        <v>66</v>
      </c>
      <c r="R8" s="16">
        <f t="shared" si="0"/>
        <v>8.9340101522842641</v>
      </c>
      <c r="S8" s="16">
        <f t="shared" si="1"/>
        <v>9.746192893401016</v>
      </c>
      <c r="T8" s="16">
        <f t="shared" si="2"/>
        <v>10.355329949238579</v>
      </c>
      <c r="U8" s="16">
        <f t="shared" si="3"/>
        <v>11.370558375634518</v>
      </c>
      <c r="V8" s="16">
        <f t="shared" si="4"/>
        <v>11.776649746192895</v>
      </c>
      <c r="W8" s="16">
        <f t="shared" si="5"/>
        <v>12.385786802030458</v>
      </c>
      <c r="X8" s="16">
        <f t="shared" si="6"/>
        <v>12.791878172588831</v>
      </c>
      <c r="Y8" s="16">
        <f t="shared" si="7"/>
        <v>12.99492385786802</v>
      </c>
      <c r="Z8" s="16">
        <f t="shared" si="8"/>
        <v>13.197969543147208</v>
      </c>
      <c r="AA8" s="16">
        <f t="shared" si="9"/>
        <v>13.197969543147208</v>
      </c>
      <c r="AB8" s="16">
        <f t="shared" si="10"/>
        <v>13.401015228426397</v>
      </c>
      <c r="AC8" s="16">
        <f t="shared" si="11"/>
        <v>13.401015228426397</v>
      </c>
      <c r="AD8" s="16">
        <f t="shared" si="12"/>
        <v>13.401015228426397</v>
      </c>
      <c r="AE8" s="13"/>
    </row>
    <row r="9" spans="1:31" x14ac:dyDescent="0.25">
      <c r="A9" s="16" t="s">
        <v>13</v>
      </c>
      <c r="B9" s="16" t="s">
        <v>6</v>
      </c>
      <c r="C9" s="19">
        <v>5645</v>
      </c>
      <c r="D9" s="60" t="s">
        <v>51</v>
      </c>
      <c r="E9" s="19">
        <v>43</v>
      </c>
      <c r="F9" s="19">
        <v>45</v>
      </c>
      <c r="G9" s="19">
        <v>49</v>
      </c>
      <c r="H9" s="19">
        <v>52</v>
      </c>
      <c r="I9" s="19">
        <v>56</v>
      </c>
      <c r="J9" s="19">
        <v>58</v>
      </c>
      <c r="K9" s="19">
        <v>59</v>
      </c>
      <c r="L9" s="19">
        <v>62</v>
      </c>
      <c r="M9" s="19">
        <v>62</v>
      </c>
      <c r="N9" s="19">
        <v>62</v>
      </c>
      <c r="O9" s="19">
        <v>63</v>
      </c>
      <c r="P9" s="19">
        <v>63</v>
      </c>
      <c r="Q9" s="19">
        <v>64</v>
      </c>
      <c r="R9" s="16">
        <f t="shared" si="0"/>
        <v>7.6173604960141716</v>
      </c>
      <c r="S9" s="16">
        <f t="shared" si="1"/>
        <v>7.9716563330380872</v>
      </c>
      <c r="T9" s="16">
        <f t="shared" si="2"/>
        <v>8.6802480070859165</v>
      </c>
      <c r="U9" s="16">
        <f t="shared" si="3"/>
        <v>9.2116917626217898</v>
      </c>
      <c r="V9" s="16">
        <f t="shared" si="4"/>
        <v>9.9202834366696191</v>
      </c>
      <c r="W9" s="16">
        <f t="shared" si="5"/>
        <v>10.274579273693535</v>
      </c>
      <c r="X9" s="16">
        <f t="shared" si="6"/>
        <v>10.451727192205492</v>
      </c>
      <c r="Y9" s="16">
        <f t="shared" si="7"/>
        <v>10.983170947741364</v>
      </c>
      <c r="Z9" s="16">
        <f t="shared" si="8"/>
        <v>10.983170947741364</v>
      </c>
      <c r="AA9" s="16">
        <f t="shared" si="9"/>
        <v>10.983170947741364</v>
      </c>
      <c r="AB9" s="16">
        <f t="shared" si="10"/>
        <v>11.160318866253322</v>
      </c>
      <c r="AC9" s="16">
        <f t="shared" si="11"/>
        <v>11.160318866253322</v>
      </c>
      <c r="AD9" s="16">
        <f t="shared" si="12"/>
        <v>11.337466784765279</v>
      </c>
      <c r="AE9" s="13"/>
    </row>
    <row r="10" spans="1:31" x14ac:dyDescent="0.25">
      <c r="A10" s="16" t="s">
        <v>15</v>
      </c>
      <c r="B10" s="16" t="s">
        <v>6</v>
      </c>
      <c r="C10" s="19">
        <v>6323</v>
      </c>
      <c r="D10" s="60" t="s">
        <v>52</v>
      </c>
      <c r="E10" s="19">
        <v>38</v>
      </c>
      <c r="F10" s="19">
        <v>42</v>
      </c>
      <c r="G10" s="19">
        <v>45</v>
      </c>
      <c r="H10" s="19">
        <v>50</v>
      </c>
      <c r="I10" s="19">
        <v>52</v>
      </c>
      <c r="J10" s="19">
        <v>55</v>
      </c>
      <c r="K10" s="19">
        <v>57</v>
      </c>
      <c r="L10" s="19">
        <v>58</v>
      </c>
      <c r="M10" s="19">
        <v>59</v>
      </c>
      <c r="N10" s="19">
        <v>59</v>
      </c>
      <c r="O10" s="19">
        <v>60</v>
      </c>
      <c r="P10" s="19">
        <v>60</v>
      </c>
      <c r="Q10" s="19">
        <v>60</v>
      </c>
      <c r="R10" s="16">
        <f t="shared" si="0"/>
        <v>6.0098054720860352</v>
      </c>
      <c r="S10" s="16">
        <f t="shared" si="1"/>
        <v>6.6424165744108805</v>
      </c>
      <c r="T10" s="16">
        <f t="shared" si="2"/>
        <v>7.1168749011545156</v>
      </c>
      <c r="U10" s="16">
        <f t="shared" si="3"/>
        <v>7.9076387790605729</v>
      </c>
      <c r="V10" s="16">
        <f t="shared" si="4"/>
        <v>8.2239443302229951</v>
      </c>
      <c r="W10" s="16">
        <f t="shared" si="5"/>
        <v>8.6984026569666302</v>
      </c>
      <c r="X10" s="16">
        <f t="shared" si="6"/>
        <v>9.0147082081290524</v>
      </c>
      <c r="Y10" s="16">
        <f t="shared" si="7"/>
        <v>9.1728609837102635</v>
      </c>
      <c r="Z10" s="16">
        <f t="shared" si="8"/>
        <v>9.3310137592914764</v>
      </c>
      <c r="AA10" s="16">
        <f t="shared" si="9"/>
        <v>9.3310137592914764</v>
      </c>
      <c r="AB10" s="16">
        <f t="shared" si="10"/>
        <v>9.4891665348726857</v>
      </c>
      <c r="AC10" s="16">
        <f t="shared" si="11"/>
        <v>9.4891665348726857</v>
      </c>
      <c r="AD10" s="16">
        <f t="shared" si="12"/>
        <v>9.4891665348726857</v>
      </c>
      <c r="AE10" s="13"/>
    </row>
    <row r="11" spans="1:31" x14ac:dyDescent="0.25">
      <c r="A11" s="16" t="s">
        <v>16</v>
      </c>
      <c r="B11" s="16" t="s">
        <v>6</v>
      </c>
      <c r="C11" s="19">
        <v>3809</v>
      </c>
      <c r="D11" s="60" t="s">
        <v>52</v>
      </c>
      <c r="E11" s="19">
        <v>42</v>
      </c>
      <c r="F11" s="19">
        <v>44</v>
      </c>
      <c r="G11" s="19">
        <v>48</v>
      </c>
      <c r="H11" s="19">
        <v>51</v>
      </c>
      <c r="I11" s="19">
        <v>55</v>
      </c>
      <c r="J11" s="19">
        <v>57</v>
      </c>
      <c r="K11" s="19">
        <v>58</v>
      </c>
      <c r="L11" s="19">
        <v>61</v>
      </c>
      <c r="M11" s="19">
        <v>61</v>
      </c>
      <c r="N11" s="19">
        <v>61</v>
      </c>
      <c r="O11" s="19">
        <v>62</v>
      </c>
      <c r="P11" s="19">
        <v>62</v>
      </c>
      <c r="Q11" s="19">
        <v>63</v>
      </c>
      <c r="R11" s="16">
        <f t="shared" si="0"/>
        <v>11.026516145970071</v>
      </c>
      <c r="S11" s="16">
        <f t="shared" si="1"/>
        <v>11.551588343397217</v>
      </c>
      <c r="T11" s="16">
        <f t="shared" si="2"/>
        <v>12.60173273825151</v>
      </c>
      <c r="U11" s="16">
        <f t="shared" si="3"/>
        <v>13.389341034392229</v>
      </c>
      <c r="V11" s="16">
        <f t="shared" si="4"/>
        <v>14.439485429246522</v>
      </c>
      <c r="W11" s="16">
        <f t="shared" si="5"/>
        <v>14.964557626673667</v>
      </c>
      <c r="X11" s="16">
        <f t="shared" si="6"/>
        <v>15.22709372538724</v>
      </c>
      <c r="Y11" s="16">
        <f t="shared" si="7"/>
        <v>16.01470202152796</v>
      </c>
      <c r="Z11" s="16">
        <f t="shared" si="8"/>
        <v>16.01470202152796</v>
      </c>
      <c r="AA11" s="16">
        <f t="shared" si="9"/>
        <v>16.01470202152796</v>
      </c>
      <c r="AB11" s="16">
        <f t="shared" si="10"/>
        <v>16.277238120241535</v>
      </c>
      <c r="AC11" s="16">
        <f t="shared" si="11"/>
        <v>16.277238120241535</v>
      </c>
      <c r="AD11" s="16">
        <f t="shared" si="12"/>
        <v>16.539774218955106</v>
      </c>
      <c r="AE11" s="13"/>
    </row>
    <row r="12" spans="1:31" x14ac:dyDescent="0.25">
      <c r="A12" s="16" t="s">
        <v>29</v>
      </c>
      <c r="B12" s="16" t="s">
        <v>6</v>
      </c>
      <c r="C12" s="19">
        <v>2900</v>
      </c>
      <c r="D12" s="60" t="s">
        <v>51</v>
      </c>
      <c r="E12" s="19">
        <v>40</v>
      </c>
      <c r="F12" s="19">
        <v>42</v>
      </c>
      <c r="G12" s="19">
        <v>48</v>
      </c>
      <c r="H12" s="19">
        <v>50</v>
      </c>
      <c r="I12" s="19">
        <v>51</v>
      </c>
      <c r="J12" s="19">
        <v>53</v>
      </c>
      <c r="K12" s="19">
        <v>56</v>
      </c>
      <c r="L12" s="19">
        <v>58</v>
      </c>
      <c r="M12" s="19">
        <v>59</v>
      </c>
      <c r="N12" s="19">
        <v>59</v>
      </c>
      <c r="O12" s="19">
        <v>60</v>
      </c>
      <c r="P12" s="19">
        <v>60</v>
      </c>
      <c r="Q12" s="19">
        <v>61</v>
      </c>
      <c r="R12" s="16">
        <f t="shared" si="0"/>
        <v>13.793103448275861</v>
      </c>
      <c r="S12" s="16">
        <f t="shared" si="1"/>
        <v>14.482758620689657</v>
      </c>
      <c r="T12" s="16">
        <f t="shared" si="2"/>
        <v>16.551724137931036</v>
      </c>
      <c r="U12" s="16">
        <f t="shared" si="3"/>
        <v>17.241379310344826</v>
      </c>
      <c r="V12" s="16">
        <f t="shared" si="4"/>
        <v>17.586206896551726</v>
      </c>
      <c r="W12" s="16">
        <f t="shared" si="5"/>
        <v>18.275862068965516</v>
      </c>
      <c r="X12" s="16">
        <f t="shared" si="6"/>
        <v>19.310344827586206</v>
      </c>
      <c r="Y12" s="16">
        <f t="shared" si="7"/>
        <v>20</v>
      </c>
      <c r="Z12" s="16">
        <f t="shared" si="8"/>
        <v>20.344827586206893</v>
      </c>
      <c r="AA12" s="16">
        <f t="shared" si="9"/>
        <v>20.344827586206893</v>
      </c>
      <c r="AB12" s="16">
        <f t="shared" si="10"/>
        <v>20.689655172413794</v>
      </c>
      <c r="AC12" s="16">
        <f t="shared" si="11"/>
        <v>20.689655172413794</v>
      </c>
      <c r="AD12" s="16">
        <f t="shared" si="12"/>
        <v>21.03448275862069</v>
      </c>
      <c r="AE12" s="13"/>
    </row>
    <row r="13" spans="1:31" x14ac:dyDescent="0.25">
      <c r="A13" s="16" t="s">
        <v>30</v>
      </c>
      <c r="B13" s="16" t="s">
        <v>6</v>
      </c>
      <c r="C13" s="19">
        <v>3800</v>
      </c>
      <c r="D13" s="60" t="s">
        <v>52</v>
      </c>
      <c r="E13" s="19">
        <v>25</v>
      </c>
      <c r="F13" s="19">
        <v>29</v>
      </c>
      <c r="G13" s="19">
        <v>35</v>
      </c>
      <c r="H13" s="19">
        <v>38</v>
      </c>
      <c r="I13" s="19">
        <v>39</v>
      </c>
      <c r="J13" s="19">
        <v>41</v>
      </c>
      <c r="K13" s="19">
        <v>43</v>
      </c>
      <c r="L13" s="19">
        <v>46</v>
      </c>
      <c r="M13" s="19">
        <v>47</v>
      </c>
      <c r="N13" s="19">
        <v>47</v>
      </c>
      <c r="O13" s="19">
        <v>48</v>
      </c>
      <c r="P13" s="19">
        <v>48</v>
      </c>
      <c r="Q13" s="19">
        <v>49</v>
      </c>
      <c r="R13" s="16">
        <f t="shared" si="0"/>
        <v>6.5789473684210522</v>
      </c>
      <c r="S13" s="16">
        <f t="shared" si="1"/>
        <v>7.6315789473684204</v>
      </c>
      <c r="T13" s="16">
        <f t="shared" si="2"/>
        <v>9.2105263157894726</v>
      </c>
      <c r="U13" s="16">
        <f t="shared" si="3"/>
        <v>10</v>
      </c>
      <c r="V13" s="16">
        <f t="shared" si="4"/>
        <v>10.263157894736842</v>
      </c>
      <c r="W13" s="16">
        <f t="shared" si="5"/>
        <v>10.789473684210526</v>
      </c>
      <c r="X13" s="16">
        <f t="shared" si="6"/>
        <v>11.315789473684211</v>
      </c>
      <c r="Y13" s="16">
        <f t="shared" si="7"/>
        <v>12.105263157894736</v>
      </c>
      <c r="Z13" s="16">
        <f t="shared" si="8"/>
        <v>12.368421052631579</v>
      </c>
      <c r="AA13" s="16">
        <f t="shared" si="9"/>
        <v>12.368421052631579</v>
      </c>
      <c r="AB13" s="16">
        <f t="shared" si="10"/>
        <v>12.631578947368421</v>
      </c>
      <c r="AC13" s="16">
        <f t="shared" si="11"/>
        <v>12.631578947368421</v>
      </c>
      <c r="AD13" s="16">
        <f t="shared" si="12"/>
        <v>12.894736842105262</v>
      </c>
      <c r="AE13" s="13"/>
    </row>
    <row r="14" spans="1:31" x14ac:dyDescent="0.25">
      <c r="A14" s="16" t="s">
        <v>31</v>
      </c>
      <c r="B14" s="16" t="s">
        <v>6</v>
      </c>
      <c r="C14" s="19">
        <v>5215</v>
      </c>
      <c r="D14" s="60" t="s">
        <v>51</v>
      </c>
      <c r="E14" s="19">
        <v>36</v>
      </c>
      <c r="F14" s="19">
        <v>39</v>
      </c>
      <c r="G14" s="19">
        <v>43</v>
      </c>
      <c r="H14" s="19">
        <v>48</v>
      </c>
      <c r="I14" s="19">
        <v>49</v>
      </c>
      <c r="J14" s="19">
        <v>53</v>
      </c>
      <c r="K14" s="19">
        <v>54</v>
      </c>
      <c r="L14" s="19">
        <v>56</v>
      </c>
      <c r="M14" s="19">
        <v>57</v>
      </c>
      <c r="N14" s="19">
        <v>57</v>
      </c>
      <c r="O14" s="19">
        <v>58</v>
      </c>
      <c r="P14" s="19">
        <v>58</v>
      </c>
      <c r="Q14" s="19">
        <v>59</v>
      </c>
      <c r="R14" s="16">
        <f t="shared" si="0"/>
        <v>6.9031639501438153</v>
      </c>
      <c r="S14" s="16">
        <f t="shared" si="1"/>
        <v>7.4784276126558007</v>
      </c>
      <c r="T14" s="16">
        <f t="shared" si="2"/>
        <v>8.2454458293384469</v>
      </c>
      <c r="U14" s="16">
        <f t="shared" si="3"/>
        <v>9.2042186001917532</v>
      </c>
      <c r="V14" s="16">
        <f t="shared" si="4"/>
        <v>9.3959731543624159</v>
      </c>
      <c r="W14" s="16">
        <f t="shared" si="5"/>
        <v>10.162991371045063</v>
      </c>
      <c r="X14" s="16">
        <f t="shared" si="6"/>
        <v>10.354745925215724</v>
      </c>
      <c r="Y14" s="16">
        <f t="shared" si="7"/>
        <v>10.738255033557046</v>
      </c>
      <c r="Z14" s="16">
        <f t="shared" si="8"/>
        <v>10.930009587727708</v>
      </c>
      <c r="AA14" s="16">
        <f t="shared" si="9"/>
        <v>10.930009587727708</v>
      </c>
      <c r="AB14" s="16">
        <f t="shared" si="10"/>
        <v>11.121764141898371</v>
      </c>
      <c r="AC14" s="16">
        <f t="shared" si="11"/>
        <v>11.121764141898371</v>
      </c>
      <c r="AD14" s="16">
        <f t="shared" si="12"/>
        <v>11.313518696069032</v>
      </c>
      <c r="AE14" s="13"/>
    </row>
    <row r="15" spans="1:31" x14ac:dyDescent="0.25">
      <c r="A15" s="16" t="s">
        <v>6</v>
      </c>
      <c r="B15" s="16" t="s">
        <v>6</v>
      </c>
      <c r="C15" s="19">
        <v>3900</v>
      </c>
      <c r="D15" s="60" t="s">
        <v>51</v>
      </c>
      <c r="E15" s="19">
        <v>28</v>
      </c>
      <c r="F15" s="19">
        <v>30</v>
      </c>
      <c r="G15" s="19">
        <v>33</v>
      </c>
      <c r="H15" s="19">
        <v>37</v>
      </c>
      <c r="I15" s="19">
        <v>40</v>
      </c>
      <c r="J15" s="19">
        <v>43</v>
      </c>
      <c r="K15" s="19">
        <v>45</v>
      </c>
      <c r="L15" s="19">
        <v>47</v>
      </c>
      <c r="M15" s="19">
        <v>48</v>
      </c>
      <c r="N15" s="19">
        <v>48</v>
      </c>
      <c r="O15" s="19">
        <v>49</v>
      </c>
      <c r="P15" s="19">
        <v>49</v>
      </c>
      <c r="Q15" s="19">
        <v>49</v>
      </c>
      <c r="R15" s="16">
        <f t="shared" si="0"/>
        <v>7.1794871794871797</v>
      </c>
      <c r="S15" s="16">
        <f t="shared" si="1"/>
        <v>7.6923076923076925</v>
      </c>
      <c r="T15" s="16">
        <f t="shared" si="2"/>
        <v>8.4615384615384617</v>
      </c>
      <c r="U15" s="16">
        <f t="shared" si="3"/>
        <v>9.4871794871794872</v>
      </c>
      <c r="V15" s="16">
        <f t="shared" si="4"/>
        <v>10.256410256410257</v>
      </c>
      <c r="W15" s="16">
        <f t="shared" si="5"/>
        <v>11.025641025641026</v>
      </c>
      <c r="X15" s="16">
        <f t="shared" si="6"/>
        <v>11.538461538461538</v>
      </c>
      <c r="Y15" s="16">
        <f t="shared" si="7"/>
        <v>12.051282051282051</v>
      </c>
      <c r="Z15" s="16">
        <f t="shared" si="8"/>
        <v>12.307692307692308</v>
      </c>
      <c r="AA15" s="16">
        <f t="shared" si="9"/>
        <v>12.307692307692308</v>
      </c>
      <c r="AB15" s="16">
        <f t="shared" si="10"/>
        <v>12.564102564102564</v>
      </c>
      <c r="AC15" s="16">
        <f t="shared" si="11"/>
        <v>12.564102564102564</v>
      </c>
      <c r="AD15" s="16">
        <f t="shared" si="12"/>
        <v>12.564102564102564</v>
      </c>
      <c r="AE15" s="13"/>
    </row>
    <row r="16" spans="1:31" x14ac:dyDescent="0.25">
      <c r="A16" s="16" t="s">
        <v>32</v>
      </c>
      <c r="B16" s="16" t="s">
        <v>6</v>
      </c>
      <c r="C16" s="19">
        <v>5100</v>
      </c>
      <c r="D16" s="60" t="s">
        <v>52</v>
      </c>
      <c r="E16" s="19">
        <v>43</v>
      </c>
      <c r="F16" s="19">
        <v>45</v>
      </c>
      <c r="G16" s="19">
        <v>51</v>
      </c>
      <c r="H16" s="19">
        <v>53</v>
      </c>
      <c r="I16" s="19">
        <v>54</v>
      </c>
      <c r="J16" s="19">
        <v>56</v>
      </c>
      <c r="K16" s="19">
        <v>59</v>
      </c>
      <c r="L16" s="19">
        <v>61</v>
      </c>
      <c r="M16" s="19">
        <v>62</v>
      </c>
      <c r="N16" s="19">
        <v>62</v>
      </c>
      <c r="O16" s="19">
        <v>63</v>
      </c>
      <c r="P16" s="19">
        <v>63</v>
      </c>
      <c r="Q16" s="19">
        <v>63</v>
      </c>
      <c r="R16" s="16">
        <f t="shared" si="0"/>
        <v>8.4313725490196063</v>
      </c>
      <c r="S16" s="16">
        <f t="shared" si="1"/>
        <v>8.8235294117647065</v>
      </c>
      <c r="T16" s="16">
        <f t="shared" si="2"/>
        <v>10</v>
      </c>
      <c r="U16" s="16">
        <f t="shared" si="3"/>
        <v>10.392156862745097</v>
      </c>
      <c r="V16" s="16">
        <f t="shared" si="4"/>
        <v>10.588235294117647</v>
      </c>
      <c r="W16" s="16">
        <f t="shared" si="5"/>
        <v>10.980392156862745</v>
      </c>
      <c r="X16" s="16">
        <f t="shared" si="6"/>
        <v>11.568627450980392</v>
      </c>
      <c r="Y16" s="16">
        <f t="shared" si="7"/>
        <v>11.96078431372549</v>
      </c>
      <c r="Z16" s="16">
        <f t="shared" si="8"/>
        <v>12.15686274509804</v>
      </c>
      <c r="AA16" s="16">
        <f t="shared" si="9"/>
        <v>12.15686274509804</v>
      </c>
      <c r="AB16" s="16">
        <f t="shared" si="10"/>
        <v>12.352941176470587</v>
      </c>
      <c r="AC16" s="16">
        <f t="shared" si="11"/>
        <v>12.352941176470587</v>
      </c>
      <c r="AD16" s="16">
        <f t="shared" si="12"/>
        <v>12.352941176470587</v>
      </c>
      <c r="AE16" s="13"/>
    </row>
    <row r="17" spans="1:31" x14ac:dyDescent="0.25">
      <c r="A17" s="16" t="s">
        <v>33</v>
      </c>
      <c r="B17" s="16" t="s">
        <v>6</v>
      </c>
      <c r="C17" s="19">
        <v>5330</v>
      </c>
      <c r="D17" s="60" t="s">
        <v>51</v>
      </c>
      <c r="E17" s="19">
        <v>30</v>
      </c>
      <c r="F17" s="19">
        <v>36</v>
      </c>
      <c r="G17" s="19">
        <v>40</v>
      </c>
      <c r="H17" s="19">
        <v>41</v>
      </c>
      <c r="I17" s="19">
        <v>44</v>
      </c>
      <c r="J17" s="19">
        <v>46</v>
      </c>
      <c r="K17" s="19">
        <v>48</v>
      </c>
      <c r="L17" s="19">
        <v>51</v>
      </c>
      <c r="M17" s="19">
        <v>52</v>
      </c>
      <c r="N17" s="19">
        <v>52</v>
      </c>
      <c r="O17" s="19">
        <v>53</v>
      </c>
      <c r="P17" s="19">
        <v>53</v>
      </c>
      <c r="Q17" s="19">
        <v>53</v>
      </c>
      <c r="R17" s="16">
        <f t="shared" si="0"/>
        <v>5.6285178236397746</v>
      </c>
      <c r="S17" s="16">
        <f t="shared" si="1"/>
        <v>6.7542213883677302</v>
      </c>
      <c r="T17" s="16">
        <f t="shared" si="2"/>
        <v>7.5046904315197001</v>
      </c>
      <c r="U17" s="16">
        <f t="shared" si="3"/>
        <v>7.6923076923076925</v>
      </c>
      <c r="V17" s="16">
        <f t="shared" si="4"/>
        <v>8.2551594746716699</v>
      </c>
      <c r="W17" s="16">
        <f t="shared" si="5"/>
        <v>8.6303939962476548</v>
      </c>
      <c r="X17" s="16">
        <f t="shared" si="6"/>
        <v>9.0056285178236397</v>
      </c>
      <c r="Y17" s="16">
        <f t="shared" si="7"/>
        <v>9.5684803001876162</v>
      </c>
      <c r="Z17" s="16">
        <f t="shared" si="8"/>
        <v>9.7560975609756095</v>
      </c>
      <c r="AA17" s="16">
        <f t="shared" si="9"/>
        <v>9.7560975609756095</v>
      </c>
      <c r="AB17" s="16">
        <f t="shared" si="10"/>
        <v>9.9437148217636029</v>
      </c>
      <c r="AC17" s="16">
        <f t="shared" si="11"/>
        <v>9.9437148217636029</v>
      </c>
      <c r="AD17" s="16">
        <f t="shared" si="12"/>
        <v>9.9437148217636029</v>
      </c>
      <c r="AE17" s="13"/>
    </row>
    <row r="18" spans="1:31" x14ac:dyDescent="0.25">
      <c r="A18" s="16" t="s">
        <v>34</v>
      </c>
      <c r="B18" s="16" t="s">
        <v>6</v>
      </c>
      <c r="C18" s="19">
        <v>5455</v>
      </c>
      <c r="D18" s="60" t="s">
        <v>52</v>
      </c>
      <c r="E18" s="19">
        <v>36</v>
      </c>
      <c r="F18" s="19">
        <v>39</v>
      </c>
      <c r="G18" s="19">
        <v>43</v>
      </c>
      <c r="H18" s="19">
        <v>48</v>
      </c>
      <c r="I18" s="19">
        <v>49</v>
      </c>
      <c r="J18" s="19">
        <v>53</v>
      </c>
      <c r="K18" s="19">
        <v>54</v>
      </c>
      <c r="L18" s="19">
        <v>56</v>
      </c>
      <c r="M18" s="19">
        <v>57</v>
      </c>
      <c r="N18" s="19">
        <v>57</v>
      </c>
      <c r="O18" s="19">
        <v>58</v>
      </c>
      <c r="P18" s="19">
        <v>58</v>
      </c>
      <c r="Q18" s="19">
        <v>58</v>
      </c>
      <c r="R18" s="16">
        <f t="shared" si="0"/>
        <v>6.5994500458295144</v>
      </c>
      <c r="S18" s="16">
        <f t="shared" si="1"/>
        <v>7.1494042163153066</v>
      </c>
      <c r="T18" s="16">
        <f t="shared" si="2"/>
        <v>7.8826764436296974</v>
      </c>
      <c r="U18" s="16">
        <f t="shared" si="3"/>
        <v>8.7992667277726859</v>
      </c>
      <c r="V18" s="16">
        <f t="shared" si="4"/>
        <v>8.9825847846012827</v>
      </c>
      <c r="W18" s="16">
        <f t="shared" si="5"/>
        <v>9.7158570119156735</v>
      </c>
      <c r="X18" s="16">
        <f t="shared" si="6"/>
        <v>9.8991750687442721</v>
      </c>
      <c r="Y18" s="16">
        <f t="shared" si="7"/>
        <v>10.265811182401468</v>
      </c>
      <c r="Z18" s="16">
        <f t="shared" si="8"/>
        <v>10.449129239230064</v>
      </c>
      <c r="AA18" s="16">
        <f t="shared" si="9"/>
        <v>10.449129239230064</v>
      </c>
      <c r="AB18" s="16">
        <f t="shared" si="10"/>
        <v>10.632447296058661</v>
      </c>
      <c r="AC18" s="16">
        <f t="shared" si="11"/>
        <v>10.632447296058661</v>
      </c>
      <c r="AD18" s="16">
        <f t="shared" si="12"/>
        <v>10.632447296058661</v>
      </c>
      <c r="AE18" s="13"/>
    </row>
    <row r="19" spans="1:31" x14ac:dyDescent="0.25">
      <c r="A19" s="16" t="s">
        <v>35</v>
      </c>
      <c r="B19" s="16" t="s">
        <v>6</v>
      </c>
      <c r="C19" s="19">
        <v>6200</v>
      </c>
      <c r="D19" s="60" t="s">
        <v>52</v>
      </c>
      <c r="E19" s="19">
        <v>28</v>
      </c>
      <c r="F19" s="19">
        <v>30</v>
      </c>
      <c r="G19" s="19">
        <v>33</v>
      </c>
      <c r="H19" s="19">
        <v>37</v>
      </c>
      <c r="I19" s="19">
        <v>40</v>
      </c>
      <c r="J19" s="19">
        <v>43</v>
      </c>
      <c r="K19" s="19">
        <v>45</v>
      </c>
      <c r="L19" s="19">
        <v>47</v>
      </c>
      <c r="M19" s="19">
        <v>48</v>
      </c>
      <c r="N19" s="19">
        <v>48</v>
      </c>
      <c r="O19" s="19">
        <v>49</v>
      </c>
      <c r="P19" s="19">
        <v>49</v>
      </c>
      <c r="Q19" s="19">
        <v>49</v>
      </c>
      <c r="R19" s="16">
        <f t="shared" si="0"/>
        <v>4.5161290322580649</v>
      </c>
      <c r="S19" s="16">
        <f t="shared" si="1"/>
        <v>4.838709677419355</v>
      </c>
      <c r="T19" s="16">
        <f t="shared" si="2"/>
        <v>5.32258064516129</v>
      </c>
      <c r="U19" s="16">
        <f t="shared" si="3"/>
        <v>5.967741935483871</v>
      </c>
      <c r="V19" s="16">
        <f t="shared" si="4"/>
        <v>6.4516129032258061</v>
      </c>
      <c r="W19" s="16">
        <f t="shared" si="5"/>
        <v>6.935483870967742</v>
      </c>
      <c r="X19" s="16">
        <f t="shared" si="6"/>
        <v>7.2580645161290329</v>
      </c>
      <c r="Y19" s="16">
        <f t="shared" si="7"/>
        <v>7.580645161290323</v>
      </c>
      <c r="Z19" s="16">
        <f t="shared" si="8"/>
        <v>7.741935483870968</v>
      </c>
      <c r="AA19" s="16">
        <f t="shared" si="9"/>
        <v>7.741935483870968</v>
      </c>
      <c r="AB19" s="16">
        <f t="shared" si="10"/>
        <v>7.9032258064516139</v>
      </c>
      <c r="AC19" s="16">
        <f t="shared" si="11"/>
        <v>7.9032258064516139</v>
      </c>
      <c r="AD19" s="16">
        <f t="shared" si="12"/>
        <v>7.9032258064516139</v>
      </c>
      <c r="AE19" s="13"/>
    </row>
    <row r="20" spans="1:31" x14ac:dyDescent="0.25">
      <c r="A20" s="16" t="s">
        <v>36</v>
      </c>
      <c r="B20" s="16" t="s">
        <v>6</v>
      </c>
      <c r="C20" s="19">
        <v>7100</v>
      </c>
      <c r="D20" s="60" t="s">
        <v>51</v>
      </c>
      <c r="E20" s="20">
        <v>32</v>
      </c>
      <c r="F20" s="20">
        <v>35</v>
      </c>
      <c r="G20" s="20">
        <v>39</v>
      </c>
      <c r="H20" s="20">
        <v>44</v>
      </c>
      <c r="I20" s="20">
        <v>45</v>
      </c>
      <c r="J20" s="20">
        <v>49</v>
      </c>
      <c r="K20" s="20">
        <v>50</v>
      </c>
      <c r="L20" s="20">
        <v>52</v>
      </c>
      <c r="M20" s="20">
        <v>53</v>
      </c>
      <c r="N20" s="20">
        <v>53</v>
      </c>
      <c r="O20" s="20">
        <v>54</v>
      </c>
      <c r="P20" s="20">
        <v>54</v>
      </c>
      <c r="Q20" s="20">
        <v>54</v>
      </c>
      <c r="R20" s="16">
        <f t="shared" si="0"/>
        <v>4.507042253521127</v>
      </c>
      <c r="S20" s="16">
        <f t="shared" si="1"/>
        <v>4.9295774647887329</v>
      </c>
      <c r="T20" s="16">
        <f t="shared" si="2"/>
        <v>5.492957746478873</v>
      </c>
      <c r="U20" s="16">
        <f t="shared" si="3"/>
        <v>6.197183098591549</v>
      </c>
      <c r="V20" s="16">
        <f t="shared" si="4"/>
        <v>6.3380281690140849</v>
      </c>
      <c r="W20" s="16">
        <f t="shared" si="5"/>
        <v>6.901408450704225</v>
      </c>
      <c r="X20" s="16">
        <f t="shared" si="6"/>
        <v>7.042253521126761</v>
      </c>
      <c r="Y20" s="16">
        <f t="shared" si="7"/>
        <v>7.323943661971831</v>
      </c>
      <c r="Z20" s="16">
        <f t="shared" si="8"/>
        <v>7.4647887323943669</v>
      </c>
      <c r="AA20" s="16">
        <f t="shared" si="9"/>
        <v>7.4647887323943669</v>
      </c>
      <c r="AB20" s="16">
        <f t="shared" si="10"/>
        <v>7.605633802816901</v>
      </c>
      <c r="AC20" s="16">
        <f t="shared" si="11"/>
        <v>7.605633802816901</v>
      </c>
      <c r="AD20" s="16">
        <f t="shared" si="12"/>
        <v>7.605633802816901</v>
      </c>
      <c r="AE20" s="13"/>
    </row>
    <row r="21" spans="1:31" x14ac:dyDescent="0.25">
      <c r="A21" s="16" t="s">
        <v>37</v>
      </c>
      <c r="B21" s="16" t="s">
        <v>6</v>
      </c>
      <c r="C21" s="19">
        <v>4204</v>
      </c>
      <c r="D21" s="60" t="s">
        <v>52</v>
      </c>
      <c r="E21" s="19">
        <v>24</v>
      </c>
      <c r="F21" s="19">
        <v>26</v>
      </c>
      <c r="G21" s="19">
        <v>29</v>
      </c>
      <c r="H21" s="19">
        <v>33</v>
      </c>
      <c r="I21" s="19">
        <v>36</v>
      </c>
      <c r="J21" s="19">
        <v>39</v>
      </c>
      <c r="K21" s="19">
        <v>41</v>
      </c>
      <c r="L21" s="19">
        <v>43</v>
      </c>
      <c r="M21" s="19">
        <v>44</v>
      </c>
      <c r="N21" s="19">
        <v>44</v>
      </c>
      <c r="O21" s="19">
        <v>45</v>
      </c>
      <c r="P21" s="19">
        <v>45</v>
      </c>
      <c r="Q21" s="19">
        <v>45</v>
      </c>
      <c r="R21" s="16">
        <f t="shared" si="0"/>
        <v>5.7088487155090393</v>
      </c>
      <c r="S21" s="16">
        <f t="shared" si="1"/>
        <v>6.1845861084681255</v>
      </c>
      <c r="T21" s="16">
        <f t="shared" si="2"/>
        <v>6.8981921979067549</v>
      </c>
      <c r="U21" s="16">
        <f t="shared" si="3"/>
        <v>7.8496669838249291</v>
      </c>
      <c r="V21" s="16">
        <f t="shared" si="4"/>
        <v>8.5632730732635576</v>
      </c>
      <c r="W21" s="16">
        <f t="shared" si="5"/>
        <v>9.2768791627021887</v>
      </c>
      <c r="X21" s="16">
        <f t="shared" si="6"/>
        <v>9.7526165556612749</v>
      </c>
      <c r="Y21" s="16">
        <f t="shared" si="7"/>
        <v>10.228353948620361</v>
      </c>
      <c r="Z21" s="16">
        <f t="shared" si="8"/>
        <v>10.466222645099904</v>
      </c>
      <c r="AA21" s="16">
        <f t="shared" si="9"/>
        <v>10.466222645099904</v>
      </c>
      <c r="AB21" s="16">
        <f t="shared" si="10"/>
        <v>10.704091341579447</v>
      </c>
      <c r="AC21" s="16">
        <f t="shared" si="11"/>
        <v>10.704091341579447</v>
      </c>
      <c r="AD21" s="16">
        <f t="shared" si="12"/>
        <v>10.704091341579447</v>
      </c>
      <c r="AE21" s="13"/>
    </row>
    <row r="22" spans="1:31" x14ac:dyDescent="0.25">
      <c r="A22" s="16" t="s">
        <v>38</v>
      </c>
      <c r="B22" s="16" t="s">
        <v>6</v>
      </c>
      <c r="C22" s="19">
        <v>3200</v>
      </c>
      <c r="D22" s="60" t="s">
        <v>51</v>
      </c>
      <c r="E22" s="19">
        <v>48</v>
      </c>
      <c r="F22" s="19">
        <v>55</v>
      </c>
      <c r="G22" s="19">
        <v>69</v>
      </c>
      <c r="H22" s="19">
        <v>79</v>
      </c>
      <c r="I22" s="19">
        <v>84</v>
      </c>
      <c r="J22" s="19">
        <v>86</v>
      </c>
      <c r="K22" s="19">
        <v>87</v>
      </c>
      <c r="L22" s="19">
        <v>89</v>
      </c>
      <c r="M22" s="19">
        <v>90</v>
      </c>
      <c r="N22" s="19">
        <v>90</v>
      </c>
      <c r="O22" s="19">
        <v>90</v>
      </c>
      <c r="P22" s="19">
        <v>90</v>
      </c>
      <c r="Q22" s="19">
        <v>90</v>
      </c>
      <c r="R22" s="16">
        <f t="shared" si="0"/>
        <v>15</v>
      </c>
      <c r="S22" s="16">
        <f t="shared" si="1"/>
        <v>17.1875</v>
      </c>
      <c r="T22" s="16">
        <f t="shared" si="2"/>
        <v>21.5625</v>
      </c>
      <c r="U22" s="16">
        <f t="shared" si="3"/>
        <v>24.6875</v>
      </c>
      <c r="V22" s="16">
        <f t="shared" si="4"/>
        <v>26.25</v>
      </c>
      <c r="W22" s="16">
        <f t="shared" si="5"/>
        <v>26.875</v>
      </c>
      <c r="X22" s="16">
        <f t="shared" si="6"/>
        <v>27.1875</v>
      </c>
      <c r="Y22" s="16">
        <f t="shared" si="7"/>
        <v>27.8125</v>
      </c>
      <c r="Z22" s="16">
        <f t="shared" si="8"/>
        <v>28.125</v>
      </c>
      <c r="AA22" s="16">
        <f t="shared" si="9"/>
        <v>28.125</v>
      </c>
      <c r="AB22" s="16">
        <f t="shared" si="10"/>
        <v>28.125</v>
      </c>
      <c r="AC22" s="16">
        <f t="shared" si="11"/>
        <v>28.125</v>
      </c>
      <c r="AD22" s="16">
        <f t="shared" si="12"/>
        <v>28.125</v>
      </c>
      <c r="AE22" s="13"/>
    </row>
    <row r="23" spans="1:31" x14ac:dyDescent="0.25">
      <c r="A23" s="16" t="s">
        <v>39</v>
      </c>
      <c r="B23" s="16" t="s">
        <v>6</v>
      </c>
      <c r="C23" s="19">
        <v>5020</v>
      </c>
      <c r="D23" s="60" t="s">
        <v>52</v>
      </c>
      <c r="E23" s="19">
        <v>40</v>
      </c>
      <c r="F23" s="19">
        <v>50</v>
      </c>
      <c r="G23" s="19">
        <v>66</v>
      </c>
      <c r="H23" s="19">
        <v>74</v>
      </c>
      <c r="I23" s="19">
        <v>79</v>
      </c>
      <c r="J23" s="19">
        <v>80</v>
      </c>
      <c r="K23" s="19">
        <v>86</v>
      </c>
      <c r="L23" s="19">
        <v>89</v>
      </c>
      <c r="M23" s="19">
        <v>90</v>
      </c>
      <c r="N23" s="19">
        <v>90</v>
      </c>
      <c r="O23" s="19">
        <v>91</v>
      </c>
      <c r="P23" s="19">
        <v>91</v>
      </c>
      <c r="Q23" s="19">
        <v>91</v>
      </c>
      <c r="R23" s="16">
        <f t="shared" si="0"/>
        <v>7.9681274900398407</v>
      </c>
      <c r="S23" s="16">
        <f t="shared" si="1"/>
        <v>9.9601593625498008</v>
      </c>
      <c r="T23" s="16">
        <f t="shared" si="2"/>
        <v>13.147410358565738</v>
      </c>
      <c r="U23" s="16">
        <f t="shared" si="3"/>
        <v>14.741035856573706</v>
      </c>
      <c r="V23" s="16">
        <f t="shared" si="4"/>
        <v>15.737051792828687</v>
      </c>
      <c r="W23" s="16">
        <f t="shared" si="5"/>
        <v>15.936254980079681</v>
      </c>
      <c r="X23" s="16">
        <f t="shared" si="6"/>
        <v>17.131474103585656</v>
      </c>
      <c r="Y23" s="16">
        <f t="shared" si="7"/>
        <v>17.729083665338646</v>
      </c>
      <c r="Z23" s="16">
        <f t="shared" si="8"/>
        <v>17.928286852589643</v>
      </c>
      <c r="AA23" s="16">
        <f t="shared" si="9"/>
        <v>17.928286852589643</v>
      </c>
      <c r="AB23" s="16">
        <f t="shared" si="10"/>
        <v>18.127490039840637</v>
      </c>
      <c r="AC23" s="16">
        <f t="shared" si="11"/>
        <v>18.127490039840637</v>
      </c>
      <c r="AD23" s="16">
        <f t="shared" si="12"/>
        <v>18.127490039840637</v>
      </c>
      <c r="AE23" s="13"/>
    </row>
    <row r="24" spans="1:31" x14ac:dyDescent="0.25">
      <c r="A24" s="16" t="s">
        <v>40</v>
      </c>
      <c r="B24" s="16" t="s">
        <v>6</v>
      </c>
      <c r="C24" s="19">
        <v>5500</v>
      </c>
      <c r="D24" s="60" t="s">
        <v>52</v>
      </c>
      <c r="E24" s="19">
        <v>30</v>
      </c>
      <c r="F24" s="19">
        <v>35</v>
      </c>
      <c r="G24" s="19">
        <v>48</v>
      </c>
      <c r="H24" s="19">
        <v>62</v>
      </c>
      <c r="I24" s="19">
        <v>70</v>
      </c>
      <c r="J24" s="19">
        <v>76</v>
      </c>
      <c r="K24" s="19">
        <v>78</v>
      </c>
      <c r="L24" s="19">
        <v>79</v>
      </c>
      <c r="M24" s="19">
        <v>80</v>
      </c>
      <c r="N24" s="19">
        <v>80</v>
      </c>
      <c r="O24" s="19">
        <v>81</v>
      </c>
      <c r="P24" s="19">
        <v>81</v>
      </c>
      <c r="Q24" s="19">
        <v>82</v>
      </c>
      <c r="R24" s="16">
        <f t="shared" si="0"/>
        <v>5.454545454545455</v>
      </c>
      <c r="S24" s="16">
        <f t="shared" si="1"/>
        <v>6.3636363636363642</v>
      </c>
      <c r="T24" s="16">
        <f t="shared" si="2"/>
        <v>8.7272727272727284</v>
      </c>
      <c r="U24" s="16">
        <f t="shared" si="3"/>
        <v>11.272727272727273</v>
      </c>
      <c r="V24" s="16">
        <f t="shared" si="4"/>
        <v>12.727272727272728</v>
      </c>
      <c r="W24" s="16">
        <f t="shared" si="5"/>
        <v>13.818181818181818</v>
      </c>
      <c r="X24" s="16">
        <f t="shared" si="6"/>
        <v>14.181818181818183</v>
      </c>
      <c r="Y24" s="16">
        <f t="shared" si="7"/>
        <v>14.363636363636363</v>
      </c>
      <c r="Z24" s="16">
        <f t="shared" si="8"/>
        <v>14.545454545454545</v>
      </c>
      <c r="AA24" s="16">
        <f t="shared" si="9"/>
        <v>14.545454545454545</v>
      </c>
      <c r="AB24" s="16">
        <f t="shared" si="10"/>
        <v>14.727272727272728</v>
      </c>
      <c r="AC24" s="16">
        <f t="shared" si="11"/>
        <v>14.727272727272728</v>
      </c>
      <c r="AD24" s="16">
        <f t="shared" si="12"/>
        <v>14.909090909090908</v>
      </c>
      <c r="AE24" s="13"/>
    </row>
    <row r="25" spans="1:31" x14ac:dyDescent="0.25">
      <c r="A25" s="16" t="s">
        <v>41</v>
      </c>
      <c r="B25" s="16" t="s">
        <v>6</v>
      </c>
      <c r="C25" s="19">
        <v>4500</v>
      </c>
      <c r="D25" s="60" t="s">
        <v>52</v>
      </c>
      <c r="E25" s="19">
        <v>33</v>
      </c>
      <c r="F25" s="19">
        <v>37</v>
      </c>
      <c r="G25" s="19">
        <v>49</v>
      </c>
      <c r="H25" s="19">
        <v>58</v>
      </c>
      <c r="I25" s="19">
        <v>61</v>
      </c>
      <c r="J25" s="19">
        <v>63</v>
      </c>
      <c r="K25" s="19">
        <v>64</v>
      </c>
      <c r="L25" s="19">
        <v>67</v>
      </c>
      <c r="M25" s="19">
        <v>67</v>
      </c>
      <c r="N25" s="19">
        <v>67</v>
      </c>
      <c r="O25" s="19">
        <v>68</v>
      </c>
      <c r="P25" s="19">
        <v>70</v>
      </c>
      <c r="Q25" s="19">
        <v>71</v>
      </c>
      <c r="R25" s="16">
        <f t="shared" si="0"/>
        <v>7.333333333333333</v>
      </c>
      <c r="S25" s="16">
        <f t="shared" si="1"/>
        <v>8.2222222222222232</v>
      </c>
      <c r="T25" s="16">
        <f t="shared" si="2"/>
        <v>10.888888888888889</v>
      </c>
      <c r="U25" s="16">
        <f t="shared" si="3"/>
        <v>12.888888888888889</v>
      </c>
      <c r="V25" s="16">
        <f t="shared" si="4"/>
        <v>13.555555555555555</v>
      </c>
      <c r="W25" s="16">
        <f t="shared" si="5"/>
        <v>14</v>
      </c>
      <c r="X25" s="16">
        <f t="shared" si="6"/>
        <v>14.222222222222223</v>
      </c>
      <c r="Y25" s="16">
        <f t="shared" si="7"/>
        <v>14.888888888888889</v>
      </c>
      <c r="Z25" s="16">
        <f t="shared" si="8"/>
        <v>14.888888888888889</v>
      </c>
      <c r="AA25" s="16">
        <f t="shared" si="9"/>
        <v>14.888888888888889</v>
      </c>
      <c r="AB25" s="16">
        <f t="shared" si="10"/>
        <v>15.111111111111112</v>
      </c>
      <c r="AC25" s="16">
        <f t="shared" si="11"/>
        <v>15.555555555555555</v>
      </c>
      <c r="AD25" s="16">
        <f t="shared" si="12"/>
        <v>15.777777777777779</v>
      </c>
      <c r="AE25" s="13"/>
    </row>
    <row r="26" spans="1:31" x14ac:dyDescent="0.25">
      <c r="A26" s="16" t="s">
        <v>42</v>
      </c>
      <c r="B26" s="16" t="s">
        <v>6</v>
      </c>
      <c r="C26" s="19">
        <v>5600</v>
      </c>
      <c r="D26" s="60" t="s">
        <v>52</v>
      </c>
      <c r="E26" s="19">
        <v>45</v>
      </c>
      <c r="F26" s="19">
        <v>52</v>
      </c>
      <c r="G26" s="19">
        <v>66</v>
      </c>
      <c r="H26" s="19">
        <v>76</v>
      </c>
      <c r="I26" s="19">
        <v>81</v>
      </c>
      <c r="J26" s="19">
        <v>83</v>
      </c>
      <c r="K26" s="19">
        <v>84</v>
      </c>
      <c r="L26" s="19">
        <v>86</v>
      </c>
      <c r="M26" s="19">
        <v>87</v>
      </c>
      <c r="N26" s="19">
        <v>87</v>
      </c>
      <c r="O26" s="19">
        <v>87</v>
      </c>
      <c r="P26" s="19">
        <v>87</v>
      </c>
      <c r="Q26" s="19">
        <v>87</v>
      </c>
      <c r="R26" s="16">
        <f t="shared" si="0"/>
        <v>8.0357142857142847</v>
      </c>
      <c r="S26" s="16">
        <f t="shared" si="1"/>
        <v>9.2857142857142865</v>
      </c>
      <c r="T26" s="16">
        <f t="shared" si="2"/>
        <v>11.785714285714286</v>
      </c>
      <c r="U26" s="16">
        <f t="shared" si="3"/>
        <v>13.571428571428571</v>
      </c>
      <c r="V26" s="16">
        <f t="shared" si="4"/>
        <v>14.464285714285714</v>
      </c>
      <c r="W26" s="16">
        <f t="shared" si="5"/>
        <v>14.821428571428573</v>
      </c>
      <c r="X26" s="16">
        <f t="shared" si="6"/>
        <v>15</v>
      </c>
      <c r="Y26" s="16">
        <f t="shared" si="7"/>
        <v>15.357142857142858</v>
      </c>
      <c r="Z26" s="16">
        <f t="shared" si="8"/>
        <v>15.535714285714286</v>
      </c>
      <c r="AA26" s="16">
        <f t="shared" si="9"/>
        <v>15.535714285714286</v>
      </c>
      <c r="AB26" s="16">
        <f t="shared" si="10"/>
        <v>15.535714285714286</v>
      </c>
      <c r="AC26" s="16">
        <f t="shared" si="11"/>
        <v>15.535714285714286</v>
      </c>
      <c r="AD26" s="16">
        <f t="shared" si="12"/>
        <v>15.535714285714286</v>
      </c>
      <c r="AE26" s="13"/>
    </row>
    <row r="27" spans="1:31" x14ac:dyDescent="0.25">
      <c r="A27" s="16" t="s">
        <v>43</v>
      </c>
      <c r="B27" s="16" t="s">
        <v>6</v>
      </c>
      <c r="C27" s="19">
        <v>5600</v>
      </c>
      <c r="D27" s="60" t="s">
        <v>52</v>
      </c>
      <c r="E27" s="19">
        <v>46</v>
      </c>
      <c r="F27" s="19">
        <v>56</v>
      </c>
      <c r="G27" s="19">
        <v>72</v>
      </c>
      <c r="H27" s="19">
        <v>80</v>
      </c>
      <c r="I27" s="19">
        <v>85</v>
      </c>
      <c r="J27" s="19">
        <v>86</v>
      </c>
      <c r="K27" s="19">
        <v>92</v>
      </c>
      <c r="L27" s="19">
        <v>95</v>
      </c>
      <c r="M27" s="19">
        <v>96</v>
      </c>
      <c r="N27" s="19">
        <v>96</v>
      </c>
      <c r="O27" s="19">
        <v>97</v>
      </c>
      <c r="P27" s="19">
        <v>97</v>
      </c>
      <c r="Q27" s="19">
        <v>97</v>
      </c>
      <c r="R27" s="16">
        <f t="shared" si="0"/>
        <v>8.2142857142857135</v>
      </c>
      <c r="S27" s="16">
        <f t="shared" si="1"/>
        <v>10</v>
      </c>
      <c r="T27" s="16">
        <f t="shared" si="2"/>
        <v>12.857142857142858</v>
      </c>
      <c r="U27" s="16">
        <f t="shared" si="3"/>
        <v>14.285714285714285</v>
      </c>
      <c r="V27" s="16">
        <f t="shared" si="4"/>
        <v>15.178571428571429</v>
      </c>
      <c r="W27" s="16">
        <f t="shared" si="5"/>
        <v>15.357142857142858</v>
      </c>
      <c r="X27" s="16">
        <f t="shared" si="6"/>
        <v>16.428571428571427</v>
      </c>
      <c r="Y27" s="16">
        <f t="shared" si="7"/>
        <v>16.964285714285712</v>
      </c>
      <c r="Z27" s="16">
        <f t="shared" si="8"/>
        <v>17.142857142857142</v>
      </c>
      <c r="AA27" s="16">
        <f t="shared" si="9"/>
        <v>17.142857142857142</v>
      </c>
      <c r="AB27" s="16">
        <f t="shared" si="10"/>
        <v>17.321428571428569</v>
      </c>
      <c r="AC27" s="16">
        <f t="shared" si="11"/>
        <v>17.321428571428569</v>
      </c>
      <c r="AD27" s="16">
        <f t="shared" si="12"/>
        <v>17.321428571428569</v>
      </c>
      <c r="AE27" s="13"/>
    </row>
    <row r="28" spans="1:31" x14ac:dyDescent="0.25">
      <c r="A28" s="16" t="s">
        <v>44</v>
      </c>
      <c r="B28" s="16" t="s">
        <v>6</v>
      </c>
      <c r="C28" s="19">
        <v>6100</v>
      </c>
      <c r="D28" s="60" t="s">
        <v>52</v>
      </c>
      <c r="E28" s="19">
        <v>60</v>
      </c>
      <c r="F28" s="19">
        <v>75</v>
      </c>
      <c r="G28" s="19">
        <v>88</v>
      </c>
      <c r="H28" s="19">
        <v>102</v>
      </c>
      <c r="I28" s="19">
        <v>110</v>
      </c>
      <c r="J28" s="19">
        <v>116</v>
      </c>
      <c r="K28" s="19">
        <v>118</v>
      </c>
      <c r="L28" s="19">
        <v>119</v>
      </c>
      <c r="M28" s="19">
        <v>120</v>
      </c>
      <c r="N28" s="19">
        <v>120</v>
      </c>
      <c r="O28" s="19">
        <v>121</v>
      </c>
      <c r="P28" s="19">
        <v>123</v>
      </c>
      <c r="Q28" s="19">
        <v>123</v>
      </c>
      <c r="R28" s="16">
        <f t="shared" si="0"/>
        <v>9.8360655737704921</v>
      </c>
      <c r="S28" s="16">
        <f t="shared" si="1"/>
        <v>12.295081967213115</v>
      </c>
      <c r="T28" s="16">
        <f t="shared" si="2"/>
        <v>14.426229508196721</v>
      </c>
      <c r="U28" s="16">
        <f t="shared" si="3"/>
        <v>16.721311475409834</v>
      </c>
      <c r="V28" s="16">
        <f t="shared" si="4"/>
        <v>18.032786885245901</v>
      </c>
      <c r="W28" s="16">
        <f t="shared" si="5"/>
        <v>19.016393442622952</v>
      </c>
      <c r="X28" s="16">
        <f t="shared" si="6"/>
        <v>19.344262295081968</v>
      </c>
      <c r="Y28" s="16">
        <f t="shared" si="7"/>
        <v>19.508196721311474</v>
      </c>
      <c r="Z28" s="16">
        <f t="shared" si="8"/>
        <v>19.672131147540984</v>
      </c>
      <c r="AA28" s="16">
        <f t="shared" si="9"/>
        <v>19.672131147540984</v>
      </c>
      <c r="AB28" s="16">
        <f t="shared" si="10"/>
        <v>19.836065573770494</v>
      </c>
      <c r="AC28" s="16">
        <f t="shared" si="11"/>
        <v>20.16393442622951</v>
      </c>
      <c r="AD28" s="16">
        <f t="shared" si="12"/>
        <v>20.16393442622951</v>
      </c>
      <c r="AE28" s="13"/>
    </row>
    <row r="29" spans="1:31" x14ac:dyDescent="0.25">
      <c r="A29" s="16" t="s">
        <v>45</v>
      </c>
      <c r="B29" s="16" t="s">
        <v>6</v>
      </c>
      <c r="C29" s="19">
        <v>6750</v>
      </c>
      <c r="D29" s="60" t="s">
        <v>51</v>
      </c>
      <c r="E29" s="19">
        <v>55</v>
      </c>
      <c r="F29" s="19">
        <v>69</v>
      </c>
      <c r="G29" s="19">
        <v>81</v>
      </c>
      <c r="H29" s="19">
        <v>90</v>
      </c>
      <c r="I29" s="19">
        <v>93</v>
      </c>
      <c r="J29" s="19">
        <v>95</v>
      </c>
      <c r="K29" s="19">
        <v>96</v>
      </c>
      <c r="L29" s="19">
        <v>99</v>
      </c>
      <c r="M29" s="19">
        <v>99</v>
      </c>
      <c r="N29" s="19">
        <v>99</v>
      </c>
      <c r="O29" s="19">
        <v>100</v>
      </c>
      <c r="P29" s="19">
        <v>102</v>
      </c>
      <c r="Q29" s="19">
        <v>102</v>
      </c>
      <c r="R29" s="16">
        <f t="shared" si="0"/>
        <v>8.148148148148147</v>
      </c>
      <c r="S29" s="16">
        <f t="shared" si="1"/>
        <v>10.222222222222223</v>
      </c>
      <c r="T29" s="16">
        <f t="shared" si="2"/>
        <v>12</v>
      </c>
      <c r="U29" s="16">
        <f t="shared" si="3"/>
        <v>13.333333333333334</v>
      </c>
      <c r="V29" s="16">
        <f t="shared" si="4"/>
        <v>13.777777777777779</v>
      </c>
      <c r="W29" s="16">
        <f t="shared" si="5"/>
        <v>14.074074074074074</v>
      </c>
      <c r="X29" s="16">
        <f t="shared" si="6"/>
        <v>14.222222222222223</v>
      </c>
      <c r="Y29" s="16">
        <f t="shared" si="7"/>
        <v>14.666666666666666</v>
      </c>
      <c r="Z29" s="16">
        <f t="shared" si="8"/>
        <v>14.666666666666666</v>
      </c>
      <c r="AA29" s="16">
        <f t="shared" si="9"/>
        <v>14.666666666666666</v>
      </c>
      <c r="AB29" s="16">
        <f t="shared" si="10"/>
        <v>14.814814814814815</v>
      </c>
      <c r="AC29" s="16">
        <f t="shared" si="11"/>
        <v>15.111111111111112</v>
      </c>
      <c r="AD29" s="16">
        <f t="shared" si="12"/>
        <v>15.111111111111112</v>
      </c>
      <c r="AE29" s="13"/>
    </row>
    <row r="30" spans="1:31" x14ac:dyDescent="0.25">
      <c r="A30" s="16" t="s">
        <v>46</v>
      </c>
      <c r="B30" s="16" t="s">
        <v>6</v>
      </c>
      <c r="C30" s="19">
        <v>7504</v>
      </c>
      <c r="D30" s="60" t="s">
        <v>52</v>
      </c>
      <c r="E30" s="19">
        <v>50</v>
      </c>
      <c r="F30" s="19">
        <v>60</v>
      </c>
      <c r="G30" s="19">
        <v>76</v>
      </c>
      <c r="H30" s="19">
        <v>84</v>
      </c>
      <c r="I30" s="19">
        <v>89</v>
      </c>
      <c r="J30" s="19">
        <v>90</v>
      </c>
      <c r="K30" s="19">
        <v>96</v>
      </c>
      <c r="L30" s="19">
        <v>99</v>
      </c>
      <c r="M30" s="19">
        <v>100</v>
      </c>
      <c r="N30" s="19">
        <v>100</v>
      </c>
      <c r="O30" s="19">
        <v>101</v>
      </c>
      <c r="P30" s="19">
        <v>101</v>
      </c>
      <c r="Q30" s="19">
        <v>101</v>
      </c>
      <c r="R30" s="16">
        <f t="shared" si="0"/>
        <v>6.6631130063965882</v>
      </c>
      <c r="S30" s="16">
        <f t="shared" si="1"/>
        <v>7.9957356076759067</v>
      </c>
      <c r="T30" s="16">
        <f t="shared" si="2"/>
        <v>10.127931769722816</v>
      </c>
      <c r="U30" s="16">
        <f t="shared" si="3"/>
        <v>11.194029850746269</v>
      </c>
      <c r="V30" s="16">
        <f t="shared" si="4"/>
        <v>11.860341151385928</v>
      </c>
      <c r="W30" s="16">
        <f t="shared" si="5"/>
        <v>11.99360341151386</v>
      </c>
      <c r="X30" s="16">
        <f t="shared" si="6"/>
        <v>12.793176972281449</v>
      </c>
      <c r="Y30" s="16">
        <f t="shared" si="7"/>
        <v>13.192963752665245</v>
      </c>
      <c r="Z30" s="16">
        <f t="shared" si="8"/>
        <v>13.326226012793176</v>
      </c>
      <c r="AA30" s="16">
        <f t="shared" si="9"/>
        <v>13.326226012793176</v>
      </c>
      <c r="AB30" s="16">
        <f t="shared" si="10"/>
        <v>13.459488272921108</v>
      </c>
      <c r="AC30" s="16">
        <f t="shared" si="11"/>
        <v>13.459488272921108</v>
      </c>
      <c r="AD30" s="16">
        <f t="shared" si="12"/>
        <v>13.459488272921108</v>
      </c>
      <c r="AE30" s="13"/>
    </row>
    <row r="31" spans="1:31" x14ac:dyDescent="0.25">
      <c r="A31" s="16" t="s">
        <v>47</v>
      </c>
      <c r="B31" s="16" t="s">
        <v>6</v>
      </c>
      <c r="C31" s="19">
        <v>4932</v>
      </c>
      <c r="D31" s="60" t="s">
        <v>51</v>
      </c>
      <c r="E31" s="19">
        <v>63</v>
      </c>
      <c r="F31" s="19">
        <v>78</v>
      </c>
      <c r="G31" s="19">
        <v>91</v>
      </c>
      <c r="H31" s="19">
        <v>105</v>
      </c>
      <c r="I31" s="19">
        <v>113</v>
      </c>
      <c r="J31" s="19">
        <v>119</v>
      </c>
      <c r="K31" s="19">
        <v>121</v>
      </c>
      <c r="L31" s="19">
        <v>122</v>
      </c>
      <c r="M31" s="19">
        <v>123</v>
      </c>
      <c r="N31" s="19">
        <v>123</v>
      </c>
      <c r="O31" s="19">
        <v>124</v>
      </c>
      <c r="P31" s="19">
        <v>126</v>
      </c>
      <c r="Q31" s="19">
        <v>126</v>
      </c>
      <c r="R31" s="16">
        <f t="shared" si="0"/>
        <v>12.773722627737227</v>
      </c>
      <c r="S31" s="16">
        <f t="shared" si="1"/>
        <v>15.815085158150852</v>
      </c>
      <c r="T31" s="16">
        <f t="shared" si="2"/>
        <v>18.450932684509329</v>
      </c>
      <c r="U31" s="16">
        <f t="shared" si="3"/>
        <v>21.289537712895374</v>
      </c>
      <c r="V31" s="16">
        <f t="shared" si="4"/>
        <v>22.911597729115979</v>
      </c>
      <c r="W31" s="16">
        <f t="shared" si="5"/>
        <v>24.128142741281426</v>
      </c>
      <c r="X31" s="16">
        <f t="shared" si="6"/>
        <v>24.533657745336576</v>
      </c>
      <c r="Y31" s="16">
        <f t="shared" si="7"/>
        <v>24.73641524736415</v>
      </c>
      <c r="Z31" s="16">
        <f t="shared" si="8"/>
        <v>24.939172749391727</v>
      </c>
      <c r="AA31" s="16">
        <f t="shared" si="9"/>
        <v>24.939172749391727</v>
      </c>
      <c r="AB31" s="16">
        <f t="shared" si="10"/>
        <v>25.141930251419303</v>
      </c>
      <c r="AC31" s="16">
        <f t="shared" si="11"/>
        <v>25.547445255474454</v>
      </c>
      <c r="AD31" s="16">
        <f t="shared" si="12"/>
        <v>25.547445255474454</v>
      </c>
      <c r="AE31" s="13"/>
    </row>
    <row r="32" spans="1:31" x14ac:dyDescent="0.25">
      <c r="A32" s="16" t="s">
        <v>5</v>
      </c>
      <c r="B32" s="16" t="s">
        <v>7</v>
      </c>
      <c r="C32" s="19">
        <v>2400</v>
      </c>
      <c r="D32" s="60" t="s">
        <v>51</v>
      </c>
      <c r="E32" s="20">
        <v>45</v>
      </c>
      <c r="F32" s="19">
        <v>43</v>
      </c>
      <c r="G32" s="19">
        <v>41</v>
      </c>
      <c r="H32" s="19">
        <v>38</v>
      </c>
      <c r="I32" s="19">
        <v>34</v>
      </c>
      <c r="J32" s="19">
        <v>37</v>
      </c>
      <c r="K32" s="19">
        <v>35</v>
      </c>
      <c r="L32" s="19">
        <v>29</v>
      </c>
      <c r="M32" s="19">
        <v>18</v>
      </c>
      <c r="N32" s="19">
        <v>13</v>
      </c>
      <c r="O32" s="19">
        <v>8</v>
      </c>
      <c r="P32" s="19">
        <v>4</v>
      </c>
      <c r="Q32" s="19">
        <v>5</v>
      </c>
      <c r="R32" s="16">
        <f t="shared" si="0"/>
        <v>18.75</v>
      </c>
      <c r="S32" s="16">
        <f t="shared" si="1"/>
        <v>17.916666666666668</v>
      </c>
      <c r="T32" s="16">
        <f t="shared" si="2"/>
        <v>17.083333333333332</v>
      </c>
      <c r="U32" s="16">
        <f t="shared" si="3"/>
        <v>15.833333333333334</v>
      </c>
      <c r="V32" s="16">
        <f t="shared" si="4"/>
        <v>14.166666666666666</v>
      </c>
      <c r="W32" s="16">
        <f t="shared" si="5"/>
        <v>15.416666666666668</v>
      </c>
      <c r="X32" s="16">
        <f t="shared" si="6"/>
        <v>14.583333333333334</v>
      </c>
      <c r="Y32" s="16">
        <f t="shared" si="7"/>
        <v>12.083333333333334</v>
      </c>
      <c r="Z32" s="16">
        <f t="shared" si="8"/>
        <v>7.5</v>
      </c>
      <c r="AA32" s="16">
        <f t="shared" si="9"/>
        <v>5.416666666666667</v>
      </c>
      <c r="AB32" s="16">
        <f t="shared" si="10"/>
        <v>3.3333333333333335</v>
      </c>
      <c r="AC32" s="16">
        <f t="shared" si="11"/>
        <v>1.6666666666666667</v>
      </c>
      <c r="AD32" s="16">
        <f t="shared" si="12"/>
        <v>2.0833333333333335</v>
      </c>
    </row>
    <row r="33" spans="1:30" x14ac:dyDescent="0.25">
      <c r="A33" s="16" t="s">
        <v>8</v>
      </c>
      <c r="B33" s="16" t="s">
        <v>7</v>
      </c>
      <c r="C33" s="19">
        <v>3780</v>
      </c>
      <c r="D33" s="60" t="s">
        <v>51</v>
      </c>
      <c r="E33" s="19">
        <v>38</v>
      </c>
      <c r="F33" s="16">
        <v>40</v>
      </c>
      <c r="G33" s="16">
        <v>40</v>
      </c>
      <c r="H33" s="16">
        <v>39</v>
      </c>
      <c r="I33" s="16">
        <v>37</v>
      </c>
      <c r="J33" s="16">
        <v>36</v>
      </c>
      <c r="K33" s="16">
        <v>30</v>
      </c>
      <c r="L33" s="16">
        <v>27</v>
      </c>
      <c r="M33" s="16">
        <v>17</v>
      </c>
      <c r="N33" s="16">
        <v>11</v>
      </c>
      <c r="O33" s="16">
        <v>5</v>
      </c>
      <c r="P33" s="16">
        <v>2</v>
      </c>
      <c r="Q33" s="16">
        <v>2</v>
      </c>
      <c r="R33" s="16">
        <f t="shared" si="0"/>
        <v>10.052910052910054</v>
      </c>
      <c r="S33" s="16">
        <f t="shared" si="1"/>
        <v>10.582010582010582</v>
      </c>
      <c r="T33" s="16">
        <f t="shared" si="2"/>
        <v>10.582010582010582</v>
      </c>
      <c r="U33" s="16">
        <f t="shared" si="3"/>
        <v>10.317460317460318</v>
      </c>
      <c r="V33" s="16">
        <f t="shared" si="4"/>
        <v>9.7883597883597897</v>
      </c>
      <c r="W33" s="16">
        <f t="shared" si="5"/>
        <v>9.5238095238095255</v>
      </c>
      <c r="X33" s="16">
        <f t="shared" si="6"/>
        <v>7.9365079365079358</v>
      </c>
      <c r="Y33" s="16">
        <f t="shared" si="7"/>
        <v>7.1428571428571423</v>
      </c>
      <c r="Z33" s="16">
        <f t="shared" si="8"/>
        <v>4.4973544973544977</v>
      </c>
      <c r="AA33" s="16">
        <f t="shared" si="9"/>
        <v>2.9100529100529098</v>
      </c>
      <c r="AB33" s="16">
        <f t="shared" si="10"/>
        <v>1.3227513227513228</v>
      </c>
      <c r="AC33" s="16">
        <f t="shared" si="11"/>
        <v>0.52910052910052918</v>
      </c>
      <c r="AD33" s="16">
        <f t="shared" si="12"/>
        <v>0.52910052910052918</v>
      </c>
    </row>
    <row r="34" spans="1:30" x14ac:dyDescent="0.25">
      <c r="A34" s="16" t="s">
        <v>7</v>
      </c>
      <c r="B34" s="16" t="s">
        <v>7</v>
      </c>
      <c r="C34" s="19">
        <v>4593</v>
      </c>
      <c r="D34" s="60" t="s">
        <v>52</v>
      </c>
      <c r="E34" s="19">
        <v>41</v>
      </c>
      <c r="F34" s="16">
        <v>40</v>
      </c>
      <c r="G34" s="16">
        <v>35</v>
      </c>
      <c r="H34" s="16">
        <v>32</v>
      </c>
      <c r="I34" s="16">
        <v>31</v>
      </c>
      <c r="J34" s="16">
        <v>28</v>
      </c>
      <c r="K34" s="16">
        <v>27</v>
      </c>
      <c r="L34" s="16">
        <v>18</v>
      </c>
      <c r="M34" s="16">
        <v>7</v>
      </c>
      <c r="N34" s="16">
        <v>2</v>
      </c>
      <c r="O34" s="16">
        <v>1</v>
      </c>
      <c r="P34" s="16">
        <v>1</v>
      </c>
      <c r="Q34" s="16">
        <v>1</v>
      </c>
      <c r="R34" s="16">
        <f t="shared" si="0"/>
        <v>8.9266274765948186</v>
      </c>
      <c r="S34" s="16">
        <f t="shared" si="1"/>
        <v>8.7089048552144561</v>
      </c>
      <c r="T34" s="16">
        <f t="shared" si="2"/>
        <v>7.62029174831265</v>
      </c>
      <c r="U34" s="16">
        <f t="shared" si="3"/>
        <v>6.9671238841715653</v>
      </c>
      <c r="V34" s="16">
        <f t="shared" si="4"/>
        <v>6.7494012627912037</v>
      </c>
      <c r="W34" s="16">
        <f t="shared" si="5"/>
        <v>6.0962333986501189</v>
      </c>
      <c r="X34" s="16">
        <f t="shared" si="6"/>
        <v>5.8785107772697582</v>
      </c>
      <c r="Y34" s="16">
        <f t="shared" si="7"/>
        <v>3.9190071848465058</v>
      </c>
      <c r="Z34" s="16">
        <f t="shared" si="8"/>
        <v>1.5240583496625297</v>
      </c>
      <c r="AA34" s="16">
        <f t="shared" si="9"/>
        <v>0.43544524276072283</v>
      </c>
      <c r="AB34" s="16">
        <f t="shared" si="10"/>
        <v>0.21772262138036141</v>
      </c>
      <c r="AC34" s="16">
        <f t="shared" si="11"/>
        <v>0.21772262138036141</v>
      </c>
      <c r="AD34" s="16">
        <f t="shared" si="12"/>
        <v>0.21772262138036141</v>
      </c>
    </row>
    <row r="35" spans="1:30" x14ac:dyDescent="0.25">
      <c r="A35" s="16" t="s">
        <v>9</v>
      </c>
      <c r="B35" s="16" t="s">
        <v>7</v>
      </c>
      <c r="C35" s="19">
        <v>3690</v>
      </c>
      <c r="D35" s="60" t="s">
        <v>51</v>
      </c>
      <c r="E35" s="19">
        <v>33</v>
      </c>
      <c r="F35" s="16">
        <v>29</v>
      </c>
      <c r="G35" s="16">
        <v>27</v>
      </c>
      <c r="H35" s="16">
        <v>28</v>
      </c>
      <c r="I35" s="16">
        <v>25</v>
      </c>
      <c r="J35" s="16">
        <v>24</v>
      </c>
      <c r="K35" s="16">
        <v>18</v>
      </c>
      <c r="L35" s="16">
        <v>13</v>
      </c>
      <c r="M35" s="16">
        <v>6</v>
      </c>
      <c r="N35" s="16">
        <v>2</v>
      </c>
      <c r="O35" s="16">
        <v>1</v>
      </c>
      <c r="P35" s="16">
        <v>0</v>
      </c>
      <c r="Q35" s="16">
        <v>0</v>
      </c>
      <c r="R35" s="16">
        <f t="shared" si="0"/>
        <v>8.9430894308943092</v>
      </c>
      <c r="S35" s="16">
        <f t="shared" si="1"/>
        <v>7.8590785907859084</v>
      </c>
      <c r="T35" s="16">
        <f t="shared" si="2"/>
        <v>7.3170731707317076</v>
      </c>
      <c r="U35" s="16">
        <f t="shared" si="3"/>
        <v>7.588075880758808</v>
      </c>
      <c r="V35" s="16">
        <f t="shared" si="4"/>
        <v>6.7750677506775068</v>
      </c>
      <c r="W35" s="16">
        <f t="shared" si="5"/>
        <v>6.5040650406504064</v>
      </c>
      <c r="X35" s="16">
        <f t="shared" si="6"/>
        <v>4.8780487804878048</v>
      </c>
      <c r="Y35" s="16">
        <f t="shared" si="7"/>
        <v>3.5230352303523036</v>
      </c>
      <c r="Z35" s="16">
        <f t="shared" si="8"/>
        <v>1.6260162601626016</v>
      </c>
      <c r="AA35" s="16">
        <f t="shared" si="9"/>
        <v>0.54200542005420049</v>
      </c>
      <c r="AB35" s="16">
        <f t="shared" si="10"/>
        <v>0.27100271002710025</v>
      </c>
      <c r="AC35" s="16">
        <f t="shared" si="11"/>
        <v>0</v>
      </c>
      <c r="AD35" s="16">
        <f t="shared" si="12"/>
        <v>0</v>
      </c>
    </row>
    <row r="36" spans="1:30" x14ac:dyDescent="0.25">
      <c r="A36" s="16" t="s">
        <v>10</v>
      </c>
      <c r="B36" s="16" t="s">
        <v>7</v>
      </c>
      <c r="C36" s="19">
        <v>4400</v>
      </c>
      <c r="D36" s="60" t="s">
        <v>51</v>
      </c>
      <c r="E36" s="19">
        <v>55</v>
      </c>
      <c r="F36" s="16">
        <v>50</v>
      </c>
      <c r="G36" s="16">
        <v>48</v>
      </c>
      <c r="H36" s="16">
        <v>42</v>
      </c>
      <c r="I36" s="16">
        <v>38</v>
      </c>
      <c r="J36" s="16">
        <v>39</v>
      </c>
      <c r="K36" s="16">
        <v>37</v>
      </c>
      <c r="L36" s="16">
        <v>31</v>
      </c>
      <c r="M36" s="16">
        <v>20</v>
      </c>
      <c r="N36" s="16">
        <v>15</v>
      </c>
      <c r="O36" s="16">
        <v>10</v>
      </c>
      <c r="P36" s="16">
        <v>6</v>
      </c>
      <c r="Q36" s="16">
        <v>6</v>
      </c>
      <c r="R36" s="16">
        <f t="shared" si="0"/>
        <v>12.5</v>
      </c>
      <c r="S36" s="16">
        <f t="shared" si="1"/>
        <v>11.363636363636363</v>
      </c>
      <c r="T36" s="16">
        <f t="shared" si="2"/>
        <v>10.90909090909091</v>
      </c>
      <c r="U36" s="16">
        <f t="shared" si="3"/>
        <v>9.5454545454545467</v>
      </c>
      <c r="V36" s="16">
        <f t="shared" si="4"/>
        <v>8.6363636363636367</v>
      </c>
      <c r="W36" s="16">
        <f t="shared" si="5"/>
        <v>8.8636363636363633</v>
      </c>
      <c r="X36" s="16">
        <f t="shared" si="6"/>
        <v>8.4090909090909101</v>
      </c>
      <c r="Y36" s="16">
        <f t="shared" si="7"/>
        <v>7.0454545454545459</v>
      </c>
      <c r="Z36" s="16">
        <f t="shared" si="8"/>
        <v>4.545454545454545</v>
      </c>
      <c r="AA36" s="16">
        <f t="shared" si="9"/>
        <v>3.4090909090909087</v>
      </c>
      <c r="AB36" s="16">
        <f t="shared" si="10"/>
        <v>2.2727272727272725</v>
      </c>
      <c r="AC36" s="16">
        <f t="shared" si="11"/>
        <v>1.3636363636363638</v>
      </c>
      <c r="AD36" s="16">
        <f t="shared" si="12"/>
        <v>1.3636363636363638</v>
      </c>
    </row>
    <row r="37" spans="1:30" x14ac:dyDescent="0.25">
      <c r="A37" s="16" t="s">
        <v>11</v>
      </c>
      <c r="B37" s="16" t="s">
        <v>7</v>
      </c>
      <c r="C37" s="19">
        <v>4450</v>
      </c>
      <c r="D37" s="60" t="s">
        <v>51</v>
      </c>
      <c r="E37" s="19">
        <v>56</v>
      </c>
      <c r="F37" s="16">
        <v>52</v>
      </c>
      <c r="G37" s="16">
        <v>52</v>
      </c>
      <c r="H37" s="16">
        <v>41</v>
      </c>
      <c r="I37" s="16">
        <v>39</v>
      </c>
      <c r="J37" s="16">
        <v>38</v>
      </c>
      <c r="K37" s="16">
        <v>30</v>
      </c>
      <c r="L37" s="16">
        <v>27</v>
      </c>
      <c r="M37" s="16">
        <v>17</v>
      </c>
      <c r="N37" s="16">
        <v>11</v>
      </c>
      <c r="O37" s="16">
        <v>5</v>
      </c>
      <c r="P37" s="16">
        <v>2</v>
      </c>
      <c r="Q37" s="16">
        <v>2</v>
      </c>
      <c r="R37" s="16">
        <f t="shared" si="0"/>
        <v>12.584269662921349</v>
      </c>
      <c r="S37" s="16">
        <f t="shared" si="1"/>
        <v>11.685393258426966</v>
      </c>
      <c r="T37" s="16">
        <f t="shared" si="2"/>
        <v>11.685393258426966</v>
      </c>
      <c r="U37" s="16">
        <f t="shared" si="3"/>
        <v>9.213483146067416</v>
      </c>
      <c r="V37" s="16">
        <f t="shared" si="4"/>
        <v>8.7640449438202257</v>
      </c>
      <c r="W37" s="16">
        <f t="shared" si="5"/>
        <v>8.5393258426966305</v>
      </c>
      <c r="X37" s="16">
        <f t="shared" si="6"/>
        <v>6.7415730337078656</v>
      </c>
      <c r="Y37" s="16">
        <f t="shared" si="7"/>
        <v>6.0674157303370784</v>
      </c>
      <c r="Z37" s="16">
        <f t="shared" si="8"/>
        <v>3.8202247191011236</v>
      </c>
      <c r="AA37" s="16">
        <f t="shared" si="9"/>
        <v>2.4719101123595504</v>
      </c>
      <c r="AB37" s="16">
        <f t="shared" si="10"/>
        <v>1.1235955056179776</v>
      </c>
      <c r="AC37" s="16">
        <f t="shared" si="11"/>
        <v>0.44943820224719105</v>
      </c>
      <c r="AD37" s="16">
        <f t="shared" si="12"/>
        <v>0.44943820224719105</v>
      </c>
    </row>
    <row r="38" spans="1:30" x14ac:dyDescent="0.25">
      <c r="A38" s="16" t="s">
        <v>12</v>
      </c>
      <c r="B38" s="16" t="s">
        <v>7</v>
      </c>
      <c r="C38" s="19">
        <v>4925</v>
      </c>
      <c r="D38" s="60" t="s">
        <v>51</v>
      </c>
      <c r="E38" s="19">
        <v>44</v>
      </c>
      <c r="F38" s="16">
        <v>42</v>
      </c>
      <c r="G38" s="16">
        <v>37</v>
      </c>
      <c r="H38" s="16">
        <v>35</v>
      </c>
      <c r="I38" s="16">
        <v>33</v>
      </c>
      <c r="J38" s="16">
        <v>29</v>
      </c>
      <c r="K38" s="16">
        <v>26</v>
      </c>
      <c r="L38" s="16">
        <v>17</v>
      </c>
      <c r="M38" s="16">
        <v>7</v>
      </c>
      <c r="N38" s="16">
        <v>2</v>
      </c>
      <c r="O38" s="16">
        <v>1</v>
      </c>
      <c r="P38" s="16">
        <v>1</v>
      </c>
      <c r="Q38" s="16">
        <v>1</v>
      </c>
      <c r="R38" s="16">
        <f t="shared" si="0"/>
        <v>8.9340101522842641</v>
      </c>
      <c r="S38" s="16">
        <f t="shared" si="1"/>
        <v>8.5279187817258872</v>
      </c>
      <c r="T38" s="16">
        <f t="shared" si="2"/>
        <v>7.5126903553299496</v>
      </c>
      <c r="U38" s="16">
        <f t="shared" si="3"/>
        <v>7.1065989847715736</v>
      </c>
      <c r="V38" s="16">
        <f t="shared" si="4"/>
        <v>6.7005076142131985</v>
      </c>
      <c r="W38" s="16">
        <f t="shared" si="5"/>
        <v>5.8883248730964475</v>
      </c>
      <c r="X38" s="16">
        <f t="shared" si="6"/>
        <v>5.2791878172588831</v>
      </c>
      <c r="Y38" s="16">
        <f t="shared" si="7"/>
        <v>3.4517766497461926</v>
      </c>
      <c r="Z38" s="16">
        <f t="shared" si="8"/>
        <v>1.4213197969543148</v>
      </c>
      <c r="AA38" s="16">
        <f t="shared" si="9"/>
        <v>0.40609137055837563</v>
      </c>
      <c r="AB38" s="16">
        <f t="shared" si="10"/>
        <v>0.20304568527918782</v>
      </c>
      <c r="AC38" s="16">
        <f t="shared" si="11"/>
        <v>0.20304568527918782</v>
      </c>
      <c r="AD38" s="16">
        <f t="shared" si="12"/>
        <v>0.20304568527918782</v>
      </c>
    </row>
    <row r="39" spans="1:30" x14ac:dyDescent="0.25">
      <c r="A39" s="16" t="s">
        <v>13</v>
      </c>
      <c r="B39" s="16" t="s">
        <v>7</v>
      </c>
      <c r="C39" s="19">
        <v>5645</v>
      </c>
      <c r="D39" s="60" t="s">
        <v>51</v>
      </c>
      <c r="E39" s="19">
        <v>43</v>
      </c>
      <c r="F39" s="16">
        <v>37</v>
      </c>
      <c r="G39" s="16">
        <v>35</v>
      </c>
      <c r="H39" s="16">
        <v>34</v>
      </c>
      <c r="I39" s="16">
        <v>33</v>
      </c>
      <c r="J39" s="16">
        <v>30</v>
      </c>
      <c r="K39" s="16">
        <v>24</v>
      </c>
      <c r="L39" s="16">
        <v>19</v>
      </c>
      <c r="M39" s="16">
        <v>12</v>
      </c>
      <c r="N39" s="16">
        <v>6</v>
      </c>
      <c r="O39" s="16">
        <v>4</v>
      </c>
      <c r="P39" s="16">
        <v>2</v>
      </c>
      <c r="Q39" s="16">
        <v>2</v>
      </c>
      <c r="R39" s="16">
        <f t="shared" si="0"/>
        <v>7.6173604960141716</v>
      </c>
      <c r="S39" s="16">
        <f t="shared" si="1"/>
        <v>6.5544729849424268</v>
      </c>
      <c r="T39" s="16">
        <f t="shared" si="2"/>
        <v>6.2001771479185122</v>
      </c>
      <c r="U39" s="16">
        <f t="shared" si="3"/>
        <v>6.0230292294065544</v>
      </c>
      <c r="V39" s="16">
        <f t="shared" si="4"/>
        <v>5.8458813108945975</v>
      </c>
      <c r="W39" s="16">
        <f t="shared" si="5"/>
        <v>5.3144375553587242</v>
      </c>
      <c r="X39" s="16">
        <f t="shared" si="6"/>
        <v>4.2515500442869794</v>
      </c>
      <c r="Y39" s="16">
        <f t="shared" si="7"/>
        <v>3.3658104517271918</v>
      </c>
      <c r="Z39" s="16">
        <f t="shared" si="8"/>
        <v>2.1257750221434897</v>
      </c>
      <c r="AA39" s="16">
        <f t="shared" si="9"/>
        <v>1.0628875110717448</v>
      </c>
      <c r="AB39" s="16">
        <f t="shared" si="10"/>
        <v>0.70859167404782997</v>
      </c>
      <c r="AC39" s="16">
        <f t="shared" si="11"/>
        <v>0.35429583702391498</v>
      </c>
      <c r="AD39" s="16">
        <f t="shared" si="12"/>
        <v>0.35429583702391498</v>
      </c>
    </row>
    <row r="40" spans="1:30" x14ac:dyDescent="0.25">
      <c r="A40" s="16" t="s">
        <v>15</v>
      </c>
      <c r="B40" s="16" t="s">
        <v>7</v>
      </c>
      <c r="C40" s="19">
        <v>6323</v>
      </c>
      <c r="D40" s="60" t="s">
        <v>52</v>
      </c>
      <c r="E40" s="19">
        <v>38</v>
      </c>
      <c r="F40" s="16">
        <v>36</v>
      </c>
      <c r="G40" s="16">
        <v>33</v>
      </c>
      <c r="H40" s="16">
        <v>31</v>
      </c>
      <c r="I40" s="16">
        <v>29</v>
      </c>
      <c r="J40" s="16">
        <v>25</v>
      </c>
      <c r="K40" s="16">
        <v>22</v>
      </c>
      <c r="L40" s="16">
        <v>17</v>
      </c>
      <c r="M40" s="16">
        <v>7</v>
      </c>
      <c r="N40" s="16">
        <v>2</v>
      </c>
      <c r="O40" s="16">
        <v>1</v>
      </c>
      <c r="P40" s="16">
        <v>1</v>
      </c>
      <c r="Q40" s="16">
        <v>1</v>
      </c>
      <c r="R40" s="16">
        <f t="shared" si="0"/>
        <v>6.0098054720860352</v>
      </c>
      <c r="S40" s="16">
        <f t="shared" si="1"/>
        <v>5.6934999209236121</v>
      </c>
      <c r="T40" s="16">
        <f t="shared" si="2"/>
        <v>5.2190415941799779</v>
      </c>
      <c r="U40" s="16">
        <f t="shared" si="3"/>
        <v>4.9027360430175548</v>
      </c>
      <c r="V40" s="16">
        <f t="shared" si="4"/>
        <v>4.5864304918551317</v>
      </c>
      <c r="W40" s="16">
        <f t="shared" si="5"/>
        <v>3.9538193895302864</v>
      </c>
      <c r="X40" s="16">
        <f t="shared" si="6"/>
        <v>3.4793610627866518</v>
      </c>
      <c r="Y40" s="16">
        <f t="shared" si="7"/>
        <v>2.688597184880595</v>
      </c>
      <c r="Z40" s="16">
        <f t="shared" si="8"/>
        <v>1.1070694290684802</v>
      </c>
      <c r="AA40" s="16">
        <f t="shared" si="9"/>
        <v>0.31630555116242293</v>
      </c>
      <c r="AB40" s="16">
        <f t="shared" si="10"/>
        <v>0.15815277558121146</v>
      </c>
      <c r="AC40" s="16">
        <f t="shared" si="11"/>
        <v>0.15815277558121146</v>
      </c>
      <c r="AD40" s="16">
        <f t="shared" si="12"/>
        <v>0.15815277558121146</v>
      </c>
    </row>
    <row r="41" spans="1:30" x14ac:dyDescent="0.25">
      <c r="A41" s="16" t="s">
        <v>16</v>
      </c>
      <c r="B41" s="16" t="s">
        <v>7</v>
      </c>
      <c r="C41" s="19">
        <v>3809</v>
      </c>
      <c r="D41" s="60" t="s">
        <v>52</v>
      </c>
      <c r="E41" s="19">
        <v>42</v>
      </c>
      <c r="F41" s="16">
        <v>36</v>
      </c>
      <c r="G41" s="16">
        <v>34</v>
      </c>
      <c r="H41" s="16">
        <v>33</v>
      </c>
      <c r="I41" s="16">
        <v>32</v>
      </c>
      <c r="J41" s="16">
        <v>29</v>
      </c>
      <c r="K41" s="16">
        <v>23</v>
      </c>
      <c r="L41" s="16">
        <v>18</v>
      </c>
      <c r="M41" s="16">
        <v>12</v>
      </c>
      <c r="N41" s="16">
        <v>6</v>
      </c>
      <c r="O41" s="16">
        <v>4</v>
      </c>
      <c r="P41" s="16">
        <v>2</v>
      </c>
      <c r="Q41" s="16">
        <v>2</v>
      </c>
      <c r="R41" s="16">
        <f t="shared" si="0"/>
        <v>11.026516145970071</v>
      </c>
      <c r="S41" s="16">
        <f t="shared" si="1"/>
        <v>9.4512995536886333</v>
      </c>
      <c r="T41" s="16">
        <f t="shared" si="2"/>
        <v>8.9262273562614851</v>
      </c>
      <c r="U41" s="16">
        <f t="shared" si="3"/>
        <v>8.6636912575479137</v>
      </c>
      <c r="V41" s="16">
        <f t="shared" si="4"/>
        <v>8.4011551588343405</v>
      </c>
      <c r="W41" s="16">
        <f t="shared" si="5"/>
        <v>7.61354686269362</v>
      </c>
      <c r="X41" s="16">
        <f t="shared" si="6"/>
        <v>6.0383302704121817</v>
      </c>
      <c r="Y41" s="16">
        <f t="shared" si="7"/>
        <v>4.7256497768443166</v>
      </c>
      <c r="Z41" s="16">
        <f t="shared" si="8"/>
        <v>3.1504331845628775</v>
      </c>
      <c r="AA41" s="16">
        <f t="shared" si="9"/>
        <v>1.5752165922814387</v>
      </c>
      <c r="AB41" s="16">
        <f t="shared" si="10"/>
        <v>1.0501443948542926</v>
      </c>
      <c r="AC41" s="16">
        <f t="shared" si="11"/>
        <v>0.52507219742714628</v>
      </c>
      <c r="AD41" s="16">
        <f t="shared" si="12"/>
        <v>0.52507219742714628</v>
      </c>
    </row>
    <row r="42" spans="1:30" x14ac:dyDescent="0.25">
      <c r="A42" s="16" t="s">
        <v>29</v>
      </c>
      <c r="B42" s="16" t="s">
        <v>7</v>
      </c>
      <c r="C42" s="19">
        <v>2900</v>
      </c>
      <c r="D42" s="60" t="s">
        <v>51</v>
      </c>
      <c r="E42" s="19">
        <v>40</v>
      </c>
      <c r="F42" s="16">
        <v>37</v>
      </c>
      <c r="G42" s="16">
        <v>39</v>
      </c>
      <c r="H42" s="16">
        <v>35</v>
      </c>
      <c r="I42" s="16">
        <v>29</v>
      </c>
      <c r="J42" s="16">
        <v>28</v>
      </c>
      <c r="K42" s="16">
        <v>29</v>
      </c>
      <c r="L42" s="16">
        <v>22</v>
      </c>
      <c r="M42" s="16">
        <v>15</v>
      </c>
      <c r="N42" s="16">
        <v>10</v>
      </c>
      <c r="O42" s="16">
        <v>5</v>
      </c>
      <c r="P42" s="16">
        <v>1</v>
      </c>
      <c r="Q42" s="16">
        <v>2</v>
      </c>
      <c r="R42" s="16">
        <f t="shared" si="0"/>
        <v>13.793103448275861</v>
      </c>
      <c r="S42" s="16">
        <f t="shared" si="1"/>
        <v>12.758620689655173</v>
      </c>
      <c r="T42" s="16">
        <f t="shared" si="2"/>
        <v>13.448275862068966</v>
      </c>
      <c r="U42" s="16">
        <f t="shared" si="3"/>
        <v>12.068965517241379</v>
      </c>
      <c r="V42" s="16">
        <f t="shared" si="4"/>
        <v>10</v>
      </c>
      <c r="W42" s="16">
        <f t="shared" si="5"/>
        <v>9.6551724137931032</v>
      </c>
      <c r="X42" s="16">
        <f t="shared" si="6"/>
        <v>10</v>
      </c>
      <c r="Y42" s="16">
        <f t="shared" si="7"/>
        <v>7.5862068965517242</v>
      </c>
      <c r="Z42" s="16">
        <f t="shared" si="8"/>
        <v>5.1724137931034484</v>
      </c>
      <c r="AA42" s="16">
        <f t="shared" si="9"/>
        <v>3.4482758620689653</v>
      </c>
      <c r="AB42" s="16">
        <f t="shared" si="10"/>
        <v>1.7241379310344827</v>
      </c>
      <c r="AC42" s="16">
        <f t="shared" si="11"/>
        <v>0.34482758620689652</v>
      </c>
      <c r="AD42" s="16">
        <f t="shared" si="12"/>
        <v>0.68965517241379304</v>
      </c>
    </row>
    <row r="43" spans="1:30" x14ac:dyDescent="0.25">
      <c r="A43" s="16" t="s">
        <v>30</v>
      </c>
      <c r="B43" s="16" t="s">
        <v>7</v>
      </c>
      <c r="C43" s="19">
        <v>3800</v>
      </c>
      <c r="D43" s="60" t="s">
        <v>52</v>
      </c>
      <c r="E43" s="19">
        <v>25</v>
      </c>
      <c r="F43" s="16">
        <v>25</v>
      </c>
      <c r="G43" s="16">
        <v>23</v>
      </c>
      <c r="H43" s="16">
        <v>23</v>
      </c>
      <c r="I43" s="16">
        <v>19</v>
      </c>
      <c r="J43" s="16">
        <v>16</v>
      </c>
      <c r="K43" s="16">
        <v>11</v>
      </c>
      <c r="L43" s="16">
        <v>6</v>
      </c>
      <c r="M43" s="16">
        <v>1</v>
      </c>
      <c r="N43" s="16">
        <v>0</v>
      </c>
      <c r="O43" s="16">
        <v>1</v>
      </c>
      <c r="P43" s="16">
        <v>0</v>
      </c>
      <c r="Q43" s="16">
        <v>0</v>
      </c>
      <c r="R43" s="16">
        <f t="shared" si="0"/>
        <v>6.5789473684210522</v>
      </c>
      <c r="S43" s="16">
        <f t="shared" si="1"/>
        <v>6.5789473684210522</v>
      </c>
      <c r="T43" s="16">
        <f t="shared" si="2"/>
        <v>6.0526315789473681</v>
      </c>
      <c r="U43" s="16">
        <f t="shared" si="3"/>
        <v>6.0526315789473681</v>
      </c>
      <c r="V43" s="16">
        <f t="shared" si="4"/>
        <v>5</v>
      </c>
      <c r="W43" s="16">
        <f t="shared" si="5"/>
        <v>4.2105263157894735</v>
      </c>
      <c r="X43" s="16">
        <f t="shared" si="6"/>
        <v>2.8947368421052633</v>
      </c>
      <c r="Y43" s="16">
        <f t="shared" si="7"/>
        <v>1.5789473684210527</v>
      </c>
      <c r="Z43" s="16">
        <f t="shared" si="8"/>
        <v>0.26315789473684209</v>
      </c>
      <c r="AA43" s="16">
        <f t="shared" si="9"/>
        <v>0</v>
      </c>
      <c r="AB43" s="16">
        <f t="shared" si="10"/>
        <v>0.26315789473684209</v>
      </c>
      <c r="AC43" s="16">
        <f t="shared" si="11"/>
        <v>0</v>
      </c>
      <c r="AD43" s="16">
        <f t="shared" si="12"/>
        <v>0</v>
      </c>
    </row>
    <row r="44" spans="1:30" x14ac:dyDescent="0.25">
      <c r="A44" s="16" t="s">
        <v>31</v>
      </c>
      <c r="B44" s="16" t="s">
        <v>7</v>
      </c>
      <c r="C44" s="19">
        <v>5215</v>
      </c>
      <c r="D44" s="60" t="s">
        <v>51</v>
      </c>
      <c r="E44" s="19">
        <v>36</v>
      </c>
      <c r="F44" s="16">
        <v>33</v>
      </c>
      <c r="G44" s="16">
        <v>30</v>
      </c>
      <c r="H44" s="16">
        <v>30</v>
      </c>
      <c r="I44" s="16">
        <v>27</v>
      </c>
      <c r="J44" s="16">
        <v>25</v>
      </c>
      <c r="K44" s="16">
        <v>23</v>
      </c>
      <c r="L44" s="16">
        <v>15</v>
      </c>
      <c r="M44" s="16">
        <v>6</v>
      </c>
      <c r="N44" s="16">
        <v>1</v>
      </c>
      <c r="O44" s="16">
        <v>0</v>
      </c>
      <c r="P44" s="16">
        <v>0</v>
      </c>
      <c r="Q44" s="16">
        <v>0</v>
      </c>
      <c r="R44" s="16">
        <f t="shared" si="0"/>
        <v>6.9031639501438153</v>
      </c>
      <c r="S44" s="16">
        <f t="shared" si="1"/>
        <v>6.3279002876318318</v>
      </c>
      <c r="T44" s="16">
        <f t="shared" si="2"/>
        <v>5.7526366251198464</v>
      </c>
      <c r="U44" s="16">
        <f t="shared" si="3"/>
        <v>5.7526366251198464</v>
      </c>
      <c r="V44" s="16">
        <f t="shared" si="4"/>
        <v>5.177372962607862</v>
      </c>
      <c r="W44" s="16">
        <f t="shared" si="5"/>
        <v>4.7938638542665393</v>
      </c>
      <c r="X44" s="16">
        <f t="shared" si="6"/>
        <v>4.4103547459252157</v>
      </c>
      <c r="Y44" s="16">
        <f t="shared" si="7"/>
        <v>2.8763183125599232</v>
      </c>
      <c r="Z44" s="16">
        <f t="shared" si="8"/>
        <v>1.1505273250239691</v>
      </c>
      <c r="AA44" s="16">
        <f t="shared" si="9"/>
        <v>0.19175455417066153</v>
      </c>
      <c r="AB44" s="16">
        <f t="shared" si="10"/>
        <v>0</v>
      </c>
      <c r="AC44" s="16">
        <f t="shared" si="11"/>
        <v>0</v>
      </c>
      <c r="AD44" s="16">
        <f t="shared" si="12"/>
        <v>0</v>
      </c>
    </row>
    <row r="45" spans="1:30" x14ac:dyDescent="0.25">
      <c r="A45" s="16" t="s">
        <v>6</v>
      </c>
      <c r="B45" s="16" t="s">
        <v>7</v>
      </c>
      <c r="C45" s="19">
        <v>3900</v>
      </c>
      <c r="D45" s="60" t="s">
        <v>51</v>
      </c>
      <c r="E45" s="19">
        <v>28</v>
      </c>
      <c r="F45" s="16">
        <v>22</v>
      </c>
      <c r="G45" s="16">
        <v>21</v>
      </c>
      <c r="H45" s="16">
        <v>21</v>
      </c>
      <c r="I45" s="16">
        <v>19</v>
      </c>
      <c r="J45" s="16">
        <v>17</v>
      </c>
      <c r="K45" s="16">
        <v>12</v>
      </c>
      <c r="L45" s="16">
        <v>6</v>
      </c>
      <c r="M45" s="16">
        <v>3</v>
      </c>
      <c r="N45" s="16">
        <v>2</v>
      </c>
      <c r="O45" s="16">
        <v>1</v>
      </c>
      <c r="P45" s="16">
        <v>0</v>
      </c>
      <c r="Q45" s="16">
        <v>0</v>
      </c>
      <c r="R45" s="16">
        <f t="shared" si="0"/>
        <v>7.1794871794871797</v>
      </c>
      <c r="S45" s="16">
        <f t="shared" si="1"/>
        <v>5.6410256410256414</v>
      </c>
      <c r="T45" s="16">
        <f t="shared" si="2"/>
        <v>5.3846153846153841</v>
      </c>
      <c r="U45" s="16">
        <f t="shared" si="3"/>
        <v>5.3846153846153841</v>
      </c>
      <c r="V45" s="16">
        <f t="shared" si="4"/>
        <v>4.8717948717948723</v>
      </c>
      <c r="W45" s="16">
        <f t="shared" si="5"/>
        <v>4.3589743589743586</v>
      </c>
      <c r="X45" s="16">
        <f t="shared" si="6"/>
        <v>3.0769230769230771</v>
      </c>
      <c r="Y45" s="16">
        <f t="shared" si="7"/>
        <v>1.5384615384615385</v>
      </c>
      <c r="Z45" s="16">
        <f t="shared" si="8"/>
        <v>0.76923076923076927</v>
      </c>
      <c r="AA45" s="16">
        <f t="shared" si="9"/>
        <v>0.51282051282051277</v>
      </c>
      <c r="AB45" s="16">
        <f t="shared" si="10"/>
        <v>0.25641025641025639</v>
      </c>
      <c r="AC45" s="16">
        <f t="shared" si="11"/>
        <v>0</v>
      </c>
      <c r="AD45" s="16">
        <f t="shared" si="12"/>
        <v>0</v>
      </c>
    </row>
    <row r="46" spans="1:30" x14ac:dyDescent="0.25">
      <c r="A46" s="16" t="s">
        <v>32</v>
      </c>
      <c r="B46" s="16" t="s">
        <v>7</v>
      </c>
      <c r="C46" s="19">
        <v>5100</v>
      </c>
      <c r="D46" s="60" t="s">
        <v>52</v>
      </c>
      <c r="E46" s="19">
        <v>43</v>
      </c>
      <c r="F46" s="16">
        <v>40</v>
      </c>
      <c r="G46" s="16">
        <v>42</v>
      </c>
      <c r="H46" s="16">
        <v>38</v>
      </c>
      <c r="I46" s="16">
        <v>32</v>
      </c>
      <c r="J46" s="16">
        <v>31</v>
      </c>
      <c r="K46" s="16">
        <v>29</v>
      </c>
      <c r="L46" s="16">
        <v>22</v>
      </c>
      <c r="M46" s="16">
        <v>15</v>
      </c>
      <c r="N46" s="16">
        <v>10</v>
      </c>
      <c r="O46" s="16">
        <v>5</v>
      </c>
      <c r="P46" s="16">
        <v>1</v>
      </c>
      <c r="Q46" s="16">
        <v>1</v>
      </c>
      <c r="R46" s="16">
        <f t="shared" si="0"/>
        <v>8.4313725490196063</v>
      </c>
      <c r="S46" s="16">
        <f t="shared" si="1"/>
        <v>7.8431372549019605</v>
      </c>
      <c r="T46" s="16">
        <f t="shared" si="2"/>
        <v>8.2352941176470598</v>
      </c>
      <c r="U46" s="16">
        <f t="shared" si="3"/>
        <v>7.4509803921568629</v>
      </c>
      <c r="V46" s="16">
        <f t="shared" si="4"/>
        <v>6.2745098039215685</v>
      </c>
      <c r="W46" s="16">
        <f t="shared" si="5"/>
        <v>6.0784313725490202</v>
      </c>
      <c r="X46" s="16">
        <f t="shared" si="6"/>
        <v>5.6862745098039209</v>
      </c>
      <c r="Y46" s="16">
        <f t="shared" si="7"/>
        <v>4.3137254901960782</v>
      </c>
      <c r="Z46" s="16">
        <f t="shared" si="8"/>
        <v>2.9411764705882351</v>
      </c>
      <c r="AA46" s="16">
        <f t="shared" si="9"/>
        <v>1.9607843137254901</v>
      </c>
      <c r="AB46" s="16">
        <f t="shared" si="10"/>
        <v>0.98039215686274506</v>
      </c>
      <c r="AC46" s="16">
        <f t="shared" si="11"/>
        <v>0.19607843137254902</v>
      </c>
      <c r="AD46" s="16">
        <f t="shared" si="12"/>
        <v>0.19607843137254902</v>
      </c>
    </row>
    <row r="47" spans="1:30" x14ac:dyDescent="0.25">
      <c r="A47" s="16" t="s">
        <v>33</v>
      </c>
      <c r="B47" s="16" t="s">
        <v>7</v>
      </c>
      <c r="C47" s="19">
        <v>5330</v>
      </c>
      <c r="D47" s="60" t="s">
        <v>51</v>
      </c>
      <c r="E47" s="19">
        <v>30</v>
      </c>
      <c r="F47" s="16">
        <v>32</v>
      </c>
      <c r="G47" s="16">
        <v>28</v>
      </c>
      <c r="H47" s="16">
        <v>23</v>
      </c>
      <c r="I47" s="16">
        <v>18</v>
      </c>
      <c r="J47" s="16">
        <v>15</v>
      </c>
      <c r="K47" s="16">
        <v>10</v>
      </c>
      <c r="L47" s="16">
        <v>7</v>
      </c>
      <c r="M47" s="16">
        <v>1</v>
      </c>
      <c r="N47" s="16">
        <v>0</v>
      </c>
      <c r="O47" s="16">
        <v>1</v>
      </c>
      <c r="P47" s="16">
        <v>0</v>
      </c>
      <c r="Q47" s="16">
        <v>0</v>
      </c>
      <c r="R47" s="16">
        <f t="shared" si="0"/>
        <v>5.6285178236397746</v>
      </c>
      <c r="S47" s="16">
        <f t="shared" si="1"/>
        <v>6.0037523452157595</v>
      </c>
      <c r="T47" s="16">
        <f t="shared" si="2"/>
        <v>5.2532833020637897</v>
      </c>
      <c r="U47" s="16">
        <f t="shared" si="3"/>
        <v>4.3151969981238274</v>
      </c>
      <c r="V47" s="16">
        <f t="shared" si="4"/>
        <v>3.3771106941838651</v>
      </c>
      <c r="W47" s="16">
        <f t="shared" si="5"/>
        <v>2.8142589118198873</v>
      </c>
      <c r="X47" s="16">
        <f t="shared" si="6"/>
        <v>1.876172607879925</v>
      </c>
      <c r="Y47" s="16">
        <f t="shared" si="7"/>
        <v>1.3133208255159474</v>
      </c>
      <c r="Z47" s="16">
        <f t="shared" si="8"/>
        <v>0.18761726078799248</v>
      </c>
      <c r="AA47" s="16">
        <f t="shared" si="9"/>
        <v>0</v>
      </c>
      <c r="AB47" s="16">
        <f t="shared" si="10"/>
        <v>0.18761726078799248</v>
      </c>
      <c r="AC47" s="16">
        <f t="shared" si="11"/>
        <v>0</v>
      </c>
      <c r="AD47" s="16">
        <f t="shared" si="12"/>
        <v>0</v>
      </c>
    </row>
    <row r="48" spans="1:30" x14ac:dyDescent="0.25">
      <c r="A48" s="16" t="s">
        <v>34</v>
      </c>
      <c r="B48" s="16" t="s">
        <v>7</v>
      </c>
      <c r="C48" s="19">
        <v>5455</v>
      </c>
      <c r="D48" s="60" t="s">
        <v>52</v>
      </c>
      <c r="E48" s="19">
        <v>36</v>
      </c>
      <c r="F48" s="16">
        <v>33</v>
      </c>
      <c r="G48" s="16">
        <v>30</v>
      </c>
      <c r="H48" s="16">
        <v>30</v>
      </c>
      <c r="I48" s="16">
        <v>27</v>
      </c>
      <c r="J48" s="16">
        <v>25</v>
      </c>
      <c r="K48" s="16">
        <v>23</v>
      </c>
      <c r="L48" s="16">
        <v>15</v>
      </c>
      <c r="M48" s="16">
        <v>6</v>
      </c>
      <c r="N48" s="16">
        <v>1</v>
      </c>
      <c r="O48" s="16">
        <v>0</v>
      </c>
      <c r="P48" s="16">
        <v>0</v>
      </c>
      <c r="Q48" s="16">
        <v>0</v>
      </c>
      <c r="R48" s="16">
        <f t="shared" si="0"/>
        <v>6.5994500458295144</v>
      </c>
      <c r="S48" s="16">
        <f t="shared" si="1"/>
        <v>6.0494958753437214</v>
      </c>
      <c r="T48" s="16">
        <f t="shared" si="2"/>
        <v>5.4995417048579283</v>
      </c>
      <c r="U48" s="16">
        <f t="shared" si="3"/>
        <v>5.4995417048579283</v>
      </c>
      <c r="V48" s="16">
        <f t="shared" si="4"/>
        <v>4.9495875343721361</v>
      </c>
      <c r="W48" s="16">
        <f t="shared" si="5"/>
        <v>4.5829514207149407</v>
      </c>
      <c r="X48" s="16">
        <f t="shared" si="6"/>
        <v>4.2163153070577453</v>
      </c>
      <c r="Y48" s="16">
        <f t="shared" si="7"/>
        <v>2.7497708524289641</v>
      </c>
      <c r="Z48" s="16">
        <f t="shared" si="8"/>
        <v>1.0999083409715857</v>
      </c>
      <c r="AA48" s="16">
        <f t="shared" si="9"/>
        <v>0.18331805682859761</v>
      </c>
      <c r="AB48" s="16">
        <f t="shared" si="10"/>
        <v>0</v>
      </c>
      <c r="AC48" s="16">
        <f t="shared" si="11"/>
        <v>0</v>
      </c>
      <c r="AD48" s="16">
        <f t="shared" si="12"/>
        <v>0</v>
      </c>
    </row>
    <row r="49" spans="1:30" x14ac:dyDescent="0.25">
      <c r="A49" s="16" t="s">
        <v>35</v>
      </c>
      <c r="B49" s="16" t="s">
        <v>7</v>
      </c>
      <c r="C49" s="19">
        <v>6200</v>
      </c>
      <c r="D49" s="60" t="s">
        <v>52</v>
      </c>
      <c r="E49" s="19">
        <v>28</v>
      </c>
      <c r="F49" s="16">
        <v>22</v>
      </c>
      <c r="G49" s="16">
        <v>21</v>
      </c>
      <c r="H49" s="16">
        <v>21</v>
      </c>
      <c r="I49" s="16">
        <v>19</v>
      </c>
      <c r="J49" s="16">
        <v>17</v>
      </c>
      <c r="K49" s="16">
        <v>12</v>
      </c>
      <c r="L49" s="16">
        <v>6</v>
      </c>
      <c r="M49" s="16">
        <v>3</v>
      </c>
      <c r="N49" s="16">
        <v>2</v>
      </c>
      <c r="O49" s="16">
        <v>1</v>
      </c>
      <c r="P49" s="16">
        <v>0</v>
      </c>
      <c r="Q49" s="16">
        <v>0</v>
      </c>
      <c r="R49" s="16">
        <f t="shared" si="0"/>
        <v>4.5161290322580649</v>
      </c>
      <c r="S49" s="16">
        <f t="shared" si="1"/>
        <v>3.5483870967741939</v>
      </c>
      <c r="T49" s="16">
        <f t="shared" si="2"/>
        <v>3.3870967741935485</v>
      </c>
      <c r="U49" s="16">
        <f t="shared" si="3"/>
        <v>3.3870967741935485</v>
      </c>
      <c r="V49" s="16">
        <f t="shared" si="4"/>
        <v>3.064516129032258</v>
      </c>
      <c r="W49" s="16">
        <f t="shared" si="5"/>
        <v>2.7419354838709675</v>
      </c>
      <c r="X49" s="16">
        <f t="shared" si="6"/>
        <v>1.935483870967742</v>
      </c>
      <c r="Y49" s="16">
        <f t="shared" si="7"/>
        <v>0.967741935483871</v>
      </c>
      <c r="Z49" s="16">
        <f t="shared" si="8"/>
        <v>0.4838709677419355</v>
      </c>
      <c r="AA49" s="16">
        <f t="shared" si="9"/>
        <v>0.32258064516129031</v>
      </c>
      <c r="AB49" s="16">
        <f t="shared" si="10"/>
        <v>0.16129032258064516</v>
      </c>
      <c r="AC49" s="16">
        <f t="shared" si="11"/>
        <v>0</v>
      </c>
      <c r="AD49" s="16">
        <f t="shared" si="12"/>
        <v>0</v>
      </c>
    </row>
    <row r="50" spans="1:30" x14ac:dyDescent="0.25">
      <c r="A50" s="16" t="s">
        <v>36</v>
      </c>
      <c r="B50" s="16" t="s">
        <v>7</v>
      </c>
      <c r="C50" s="19">
        <v>7100</v>
      </c>
      <c r="D50" s="60" t="s">
        <v>51</v>
      </c>
      <c r="E50" s="20">
        <v>32</v>
      </c>
      <c r="F50" s="16">
        <v>29</v>
      </c>
      <c r="G50" s="16">
        <v>26</v>
      </c>
      <c r="H50" s="16">
        <v>26</v>
      </c>
      <c r="I50" s="16">
        <v>23</v>
      </c>
      <c r="J50" s="16">
        <v>21</v>
      </c>
      <c r="K50" s="16">
        <v>19</v>
      </c>
      <c r="L50" s="16">
        <v>13</v>
      </c>
      <c r="M50" s="16">
        <v>6</v>
      </c>
      <c r="N50" s="16">
        <v>1</v>
      </c>
      <c r="O50" s="16">
        <v>0</v>
      </c>
      <c r="P50" s="16">
        <v>0</v>
      </c>
      <c r="Q50" s="16">
        <v>0</v>
      </c>
      <c r="R50" s="16">
        <f t="shared" si="0"/>
        <v>4.507042253521127</v>
      </c>
      <c r="S50" s="16">
        <f t="shared" si="1"/>
        <v>4.084507042253521</v>
      </c>
      <c r="T50" s="16">
        <f t="shared" si="2"/>
        <v>3.6619718309859155</v>
      </c>
      <c r="U50" s="16">
        <f t="shared" si="3"/>
        <v>3.6619718309859155</v>
      </c>
      <c r="V50" s="16">
        <f t="shared" si="4"/>
        <v>3.2394366197183095</v>
      </c>
      <c r="W50" s="16">
        <f t="shared" si="5"/>
        <v>2.9577464788732395</v>
      </c>
      <c r="X50" s="16">
        <f t="shared" si="6"/>
        <v>2.676056338028169</v>
      </c>
      <c r="Y50" s="16">
        <f t="shared" si="7"/>
        <v>1.8309859154929577</v>
      </c>
      <c r="Z50" s="16">
        <f t="shared" si="8"/>
        <v>0.84507042253521136</v>
      </c>
      <c r="AA50" s="16">
        <f t="shared" si="9"/>
        <v>0.14084507042253522</v>
      </c>
      <c r="AB50" s="16">
        <f t="shared" si="10"/>
        <v>0</v>
      </c>
      <c r="AC50" s="16">
        <f t="shared" si="11"/>
        <v>0</v>
      </c>
      <c r="AD50" s="16">
        <f t="shared" si="12"/>
        <v>0</v>
      </c>
    </row>
    <row r="51" spans="1:30" x14ac:dyDescent="0.25">
      <c r="A51" s="16" t="s">
        <v>37</v>
      </c>
      <c r="B51" s="16" t="s">
        <v>7</v>
      </c>
      <c r="C51" s="19">
        <v>4204</v>
      </c>
      <c r="D51" s="60" t="s">
        <v>52</v>
      </c>
      <c r="E51" s="19">
        <v>24</v>
      </c>
      <c r="F51" s="16">
        <v>18</v>
      </c>
      <c r="G51" s="16">
        <v>17</v>
      </c>
      <c r="H51" s="16">
        <v>17</v>
      </c>
      <c r="I51" s="16">
        <v>15</v>
      </c>
      <c r="J51" s="16">
        <v>13</v>
      </c>
      <c r="K51" s="16">
        <v>8</v>
      </c>
      <c r="L51" s="16">
        <v>4</v>
      </c>
      <c r="M51" s="16">
        <v>3</v>
      </c>
      <c r="N51" s="16">
        <v>2</v>
      </c>
      <c r="O51" s="16">
        <v>1</v>
      </c>
      <c r="P51" s="16">
        <v>0</v>
      </c>
      <c r="Q51" s="16">
        <v>0</v>
      </c>
      <c r="R51" s="16">
        <f t="shared" si="0"/>
        <v>5.7088487155090393</v>
      </c>
      <c r="S51" s="16">
        <f t="shared" si="1"/>
        <v>4.2816365366317788</v>
      </c>
      <c r="T51" s="16">
        <f t="shared" si="2"/>
        <v>4.0437678401522366</v>
      </c>
      <c r="U51" s="16">
        <f t="shared" si="3"/>
        <v>4.0437678401522366</v>
      </c>
      <c r="V51" s="16">
        <f t="shared" si="4"/>
        <v>3.5680304471931494</v>
      </c>
      <c r="W51" s="16">
        <f t="shared" si="5"/>
        <v>3.0922930542340628</v>
      </c>
      <c r="X51" s="16">
        <f t="shared" si="6"/>
        <v>1.9029495718363465</v>
      </c>
      <c r="Y51" s="16">
        <f t="shared" si="7"/>
        <v>0.95147478591817325</v>
      </c>
      <c r="Z51" s="16">
        <f t="shared" si="8"/>
        <v>0.71360608943862991</v>
      </c>
      <c r="AA51" s="16">
        <f t="shared" si="9"/>
        <v>0.47573739295908662</v>
      </c>
      <c r="AB51" s="16">
        <f t="shared" si="10"/>
        <v>0.23786869647954331</v>
      </c>
      <c r="AC51" s="16">
        <f t="shared" si="11"/>
        <v>0</v>
      </c>
      <c r="AD51" s="16">
        <f t="shared" si="12"/>
        <v>0</v>
      </c>
    </row>
    <row r="52" spans="1:30" x14ac:dyDescent="0.25">
      <c r="A52" s="16" t="s">
        <v>38</v>
      </c>
      <c r="B52" s="16" t="s">
        <v>7</v>
      </c>
      <c r="C52" s="19">
        <v>3200</v>
      </c>
      <c r="D52" s="60" t="s">
        <v>51</v>
      </c>
      <c r="E52" s="19">
        <v>48</v>
      </c>
      <c r="F52" s="16">
        <v>50</v>
      </c>
      <c r="G52" s="16">
        <v>57</v>
      </c>
      <c r="H52" s="16">
        <v>61</v>
      </c>
      <c r="I52" s="16">
        <v>60</v>
      </c>
      <c r="J52" s="16">
        <v>55</v>
      </c>
      <c r="K52" s="16">
        <v>51</v>
      </c>
      <c r="L52" s="16">
        <v>45</v>
      </c>
      <c r="M52" s="16">
        <v>34</v>
      </c>
      <c r="N52" s="16">
        <v>29</v>
      </c>
      <c r="O52" s="16">
        <v>21</v>
      </c>
      <c r="P52" s="16">
        <v>16</v>
      </c>
      <c r="Q52" s="16">
        <v>16</v>
      </c>
      <c r="R52" s="16">
        <f t="shared" si="0"/>
        <v>15</v>
      </c>
      <c r="S52" s="16">
        <f t="shared" si="1"/>
        <v>15.625</v>
      </c>
      <c r="T52" s="16">
        <f t="shared" si="2"/>
        <v>17.8125</v>
      </c>
      <c r="U52" s="16">
        <f t="shared" si="3"/>
        <v>19.0625</v>
      </c>
      <c r="V52" s="16">
        <f t="shared" si="4"/>
        <v>18.75</v>
      </c>
      <c r="W52" s="16">
        <f t="shared" si="5"/>
        <v>17.1875</v>
      </c>
      <c r="X52" s="16">
        <f t="shared" si="6"/>
        <v>15.9375</v>
      </c>
      <c r="Y52" s="16">
        <f t="shared" si="7"/>
        <v>14.0625</v>
      </c>
      <c r="Z52" s="16">
        <f t="shared" si="8"/>
        <v>10.625</v>
      </c>
      <c r="AA52" s="16">
        <f t="shared" si="9"/>
        <v>9.0625</v>
      </c>
      <c r="AB52" s="16">
        <f t="shared" si="10"/>
        <v>6.5625</v>
      </c>
      <c r="AC52" s="16">
        <f t="shared" si="11"/>
        <v>5</v>
      </c>
      <c r="AD52" s="16">
        <f t="shared" si="12"/>
        <v>5</v>
      </c>
    </row>
    <row r="53" spans="1:30" x14ac:dyDescent="0.25">
      <c r="A53" s="16" t="s">
        <v>39</v>
      </c>
      <c r="B53" s="16" t="s">
        <v>7</v>
      </c>
      <c r="C53" s="19">
        <v>5020</v>
      </c>
      <c r="D53" s="60" t="s">
        <v>52</v>
      </c>
      <c r="E53" s="19">
        <v>40</v>
      </c>
      <c r="F53" s="16">
        <v>46</v>
      </c>
      <c r="G53" s="16">
        <v>51</v>
      </c>
      <c r="H53" s="16">
        <v>54</v>
      </c>
      <c r="I53" s="16">
        <v>55</v>
      </c>
      <c r="J53" s="16">
        <v>50</v>
      </c>
      <c r="K53" s="16">
        <v>52</v>
      </c>
      <c r="L53" s="16">
        <v>49</v>
      </c>
      <c r="M53" s="16">
        <v>44</v>
      </c>
      <c r="N53" s="16">
        <v>41</v>
      </c>
      <c r="O53" s="16">
        <v>37</v>
      </c>
      <c r="P53" s="16">
        <v>28</v>
      </c>
      <c r="Q53" s="16">
        <v>28</v>
      </c>
      <c r="R53" s="16">
        <f t="shared" si="0"/>
        <v>7.9681274900398407</v>
      </c>
      <c r="S53" s="16">
        <f t="shared" si="1"/>
        <v>9.1633466135458157</v>
      </c>
      <c r="T53" s="16">
        <f t="shared" si="2"/>
        <v>10.159362549800797</v>
      </c>
      <c r="U53" s="16">
        <f t="shared" si="3"/>
        <v>10.756972111553786</v>
      </c>
      <c r="V53" s="16">
        <f t="shared" si="4"/>
        <v>10.956175298804782</v>
      </c>
      <c r="W53" s="16">
        <f t="shared" si="5"/>
        <v>9.9601593625498008</v>
      </c>
      <c r="X53" s="16">
        <f t="shared" si="6"/>
        <v>10.358565737051793</v>
      </c>
      <c r="Y53" s="16">
        <f t="shared" si="7"/>
        <v>9.760956175298805</v>
      </c>
      <c r="Z53" s="16">
        <f t="shared" si="8"/>
        <v>8.7649402390438258</v>
      </c>
      <c r="AA53" s="16">
        <f t="shared" si="9"/>
        <v>8.1673306772908365</v>
      </c>
      <c r="AB53" s="16">
        <f t="shared" si="10"/>
        <v>7.3705179282868531</v>
      </c>
      <c r="AC53" s="16">
        <f t="shared" si="11"/>
        <v>5.5776892430278888</v>
      </c>
      <c r="AD53" s="16">
        <f t="shared" si="12"/>
        <v>5.5776892430278888</v>
      </c>
    </row>
    <row r="54" spans="1:30" x14ac:dyDescent="0.25">
      <c r="A54" s="16" t="s">
        <v>40</v>
      </c>
      <c r="B54" s="16" t="s">
        <v>7</v>
      </c>
      <c r="C54" s="19">
        <v>5500</v>
      </c>
      <c r="D54" s="60" t="s">
        <v>52</v>
      </c>
      <c r="E54" s="19">
        <v>30</v>
      </c>
      <c r="F54" s="16">
        <v>29</v>
      </c>
      <c r="G54" s="16">
        <v>34</v>
      </c>
      <c r="H54" s="16">
        <v>41</v>
      </c>
      <c r="I54" s="16">
        <v>42</v>
      </c>
      <c r="J54" s="16">
        <v>42</v>
      </c>
      <c r="K54" s="16">
        <v>41</v>
      </c>
      <c r="L54" s="16">
        <v>32</v>
      </c>
      <c r="M54" s="16">
        <v>21</v>
      </c>
      <c r="N54" s="16">
        <v>16</v>
      </c>
      <c r="O54" s="16">
        <v>11</v>
      </c>
      <c r="P54" s="16">
        <v>7</v>
      </c>
      <c r="Q54" s="16">
        <v>8</v>
      </c>
      <c r="R54" s="16">
        <f t="shared" si="0"/>
        <v>5.454545454545455</v>
      </c>
      <c r="S54" s="16">
        <f t="shared" si="1"/>
        <v>5.2727272727272725</v>
      </c>
      <c r="T54" s="16">
        <f t="shared" si="2"/>
        <v>6.1818181818181817</v>
      </c>
      <c r="U54" s="16">
        <f t="shared" si="3"/>
        <v>7.4545454545454541</v>
      </c>
      <c r="V54" s="16">
        <f t="shared" si="4"/>
        <v>7.6363636363636367</v>
      </c>
      <c r="W54" s="16">
        <f t="shared" si="5"/>
        <v>7.6363636363636367</v>
      </c>
      <c r="X54" s="16">
        <f t="shared" si="6"/>
        <v>7.4545454545454541</v>
      </c>
      <c r="Y54" s="16">
        <f t="shared" si="7"/>
        <v>5.8181818181818175</v>
      </c>
      <c r="Z54" s="16">
        <f t="shared" si="8"/>
        <v>3.8181818181818183</v>
      </c>
      <c r="AA54" s="16">
        <f t="shared" si="9"/>
        <v>2.9090909090909087</v>
      </c>
      <c r="AB54" s="16">
        <f t="shared" si="10"/>
        <v>2</v>
      </c>
      <c r="AC54" s="16">
        <f t="shared" si="11"/>
        <v>1.2727272727272727</v>
      </c>
      <c r="AD54" s="16">
        <f t="shared" si="12"/>
        <v>1.4545454545454544</v>
      </c>
    </row>
    <row r="55" spans="1:30" x14ac:dyDescent="0.25">
      <c r="A55" s="16" t="s">
        <v>41</v>
      </c>
      <c r="B55" s="16" t="s">
        <v>7</v>
      </c>
      <c r="C55" s="19">
        <v>4500</v>
      </c>
      <c r="D55" s="60" t="s">
        <v>52</v>
      </c>
      <c r="E55" s="19">
        <v>33</v>
      </c>
      <c r="F55" s="16">
        <v>29</v>
      </c>
      <c r="G55" s="16">
        <v>33</v>
      </c>
      <c r="H55" s="16">
        <v>36</v>
      </c>
      <c r="I55" s="16">
        <v>34</v>
      </c>
      <c r="J55" s="16">
        <v>29</v>
      </c>
      <c r="K55" s="16">
        <v>23</v>
      </c>
      <c r="L55" s="16">
        <v>24</v>
      </c>
      <c r="M55" s="16">
        <v>17</v>
      </c>
      <c r="N55" s="16">
        <v>11</v>
      </c>
      <c r="O55" s="16">
        <v>5</v>
      </c>
      <c r="P55" s="16">
        <v>6</v>
      </c>
      <c r="Q55" s="16">
        <v>7</v>
      </c>
      <c r="R55" s="16">
        <f t="shared" si="0"/>
        <v>7.333333333333333</v>
      </c>
      <c r="S55" s="16">
        <f t="shared" si="1"/>
        <v>6.4444444444444446</v>
      </c>
      <c r="T55" s="16">
        <f t="shared" si="2"/>
        <v>7.333333333333333</v>
      </c>
      <c r="U55" s="16">
        <f t="shared" si="3"/>
        <v>8</v>
      </c>
      <c r="V55" s="16">
        <f t="shared" si="4"/>
        <v>7.5555555555555562</v>
      </c>
      <c r="W55" s="16">
        <f t="shared" si="5"/>
        <v>6.4444444444444446</v>
      </c>
      <c r="X55" s="16">
        <f t="shared" si="6"/>
        <v>5.1111111111111116</v>
      </c>
      <c r="Y55" s="16">
        <f t="shared" si="7"/>
        <v>5.333333333333333</v>
      </c>
      <c r="Z55" s="16">
        <f t="shared" si="8"/>
        <v>3.7777777777777781</v>
      </c>
      <c r="AA55" s="16">
        <f t="shared" si="9"/>
        <v>2.4444444444444442</v>
      </c>
      <c r="AB55" s="16">
        <f t="shared" si="10"/>
        <v>1.1111111111111112</v>
      </c>
      <c r="AC55" s="16">
        <f t="shared" si="11"/>
        <v>1.3333333333333333</v>
      </c>
      <c r="AD55" s="16">
        <f t="shared" si="12"/>
        <v>1.5555555555555554</v>
      </c>
    </row>
    <row r="56" spans="1:30" x14ac:dyDescent="0.25">
      <c r="A56" s="16" t="s">
        <v>42</v>
      </c>
      <c r="B56" s="16" t="s">
        <v>7</v>
      </c>
      <c r="C56" s="19">
        <v>5600</v>
      </c>
      <c r="D56" s="60" t="s">
        <v>52</v>
      </c>
      <c r="E56" s="19">
        <v>45</v>
      </c>
      <c r="F56" s="16">
        <v>47</v>
      </c>
      <c r="G56" s="16">
        <v>54</v>
      </c>
      <c r="H56" s="16">
        <v>58</v>
      </c>
      <c r="I56" s="16">
        <v>57</v>
      </c>
      <c r="J56" s="16">
        <v>52</v>
      </c>
      <c r="K56" s="16">
        <v>48</v>
      </c>
      <c r="L56" s="16">
        <v>42</v>
      </c>
      <c r="M56" s="16">
        <v>31</v>
      </c>
      <c r="N56" s="16">
        <v>26</v>
      </c>
      <c r="O56" s="16">
        <v>20</v>
      </c>
      <c r="P56" s="16">
        <v>15</v>
      </c>
      <c r="Q56" s="16">
        <v>15</v>
      </c>
      <c r="R56" s="16">
        <f t="shared" si="0"/>
        <v>8.0357142857142847</v>
      </c>
      <c r="S56" s="16">
        <f t="shared" si="1"/>
        <v>8.3928571428571423</v>
      </c>
      <c r="T56" s="16">
        <f t="shared" si="2"/>
        <v>9.6428571428571423</v>
      </c>
      <c r="U56" s="16">
        <f t="shared" si="3"/>
        <v>10.357142857142856</v>
      </c>
      <c r="V56" s="16">
        <f t="shared" si="4"/>
        <v>10.178571428571429</v>
      </c>
      <c r="W56" s="16">
        <f t="shared" si="5"/>
        <v>9.2857142857142865</v>
      </c>
      <c r="X56" s="16">
        <f t="shared" si="6"/>
        <v>8.5714285714285712</v>
      </c>
      <c r="Y56" s="16">
        <f t="shared" si="7"/>
        <v>7.5</v>
      </c>
      <c r="Z56" s="16">
        <f t="shared" si="8"/>
        <v>5.5357142857142856</v>
      </c>
      <c r="AA56" s="16">
        <f t="shared" si="9"/>
        <v>4.6428571428571432</v>
      </c>
      <c r="AB56" s="16">
        <f t="shared" si="10"/>
        <v>3.5714285714285712</v>
      </c>
      <c r="AC56" s="16">
        <f t="shared" si="11"/>
        <v>2.6785714285714284</v>
      </c>
      <c r="AD56" s="16">
        <f t="shared" si="12"/>
        <v>2.6785714285714284</v>
      </c>
    </row>
    <row r="57" spans="1:30" x14ac:dyDescent="0.25">
      <c r="A57" s="16" t="s">
        <v>43</v>
      </c>
      <c r="B57" s="16" t="s">
        <v>7</v>
      </c>
      <c r="C57" s="19">
        <v>5600</v>
      </c>
      <c r="D57" s="60" t="s">
        <v>52</v>
      </c>
      <c r="E57" s="19">
        <v>46</v>
      </c>
      <c r="F57" s="16">
        <v>52</v>
      </c>
      <c r="G57" s="16">
        <v>57</v>
      </c>
      <c r="H57" s="16">
        <v>60</v>
      </c>
      <c r="I57" s="16">
        <v>57</v>
      </c>
      <c r="J57" s="16">
        <v>52</v>
      </c>
      <c r="K57" s="16">
        <v>54</v>
      </c>
      <c r="L57" s="16">
        <v>51</v>
      </c>
      <c r="M57" s="16">
        <v>44</v>
      </c>
      <c r="N57" s="16">
        <v>41</v>
      </c>
      <c r="O57" s="16">
        <v>37</v>
      </c>
      <c r="P57" s="16">
        <v>28</v>
      </c>
      <c r="Q57" s="16">
        <v>28</v>
      </c>
      <c r="R57" s="16">
        <f t="shared" si="0"/>
        <v>8.2142857142857135</v>
      </c>
      <c r="S57" s="16">
        <f t="shared" si="1"/>
        <v>9.2857142857142865</v>
      </c>
      <c r="T57" s="16">
        <f t="shared" si="2"/>
        <v>10.178571428571429</v>
      </c>
      <c r="U57" s="16">
        <f t="shared" si="3"/>
        <v>10.714285714285714</v>
      </c>
      <c r="V57" s="16">
        <f t="shared" si="4"/>
        <v>10.178571428571429</v>
      </c>
      <c r="W57" s="16">
        <f t="shared" si="5"/>
        <v>9.2857142857142865</v>
      </c>
      <c r="X57" s="16">
        <f t="shared" si="6"/>
        <v>9.6428571428571423</v>
      </c>
      <c r="Y57" s="16">
        <f t="shared" si="7"/>
        <v>9.1071428571428577</v>
      </c>
      <c r="Z57" s="16">
        <f t="shared" si="8"/>
        <v>7.8571428571428577</v>
      </c>
      <c r="AA57" s="16">
        <f t="shared" si="9"/>
        <v>7.3214285714285712</v>
      </c>
      <c r="AB57" s="16">
        <f t="shared" si="10"/>
        <v>6.6071428571428577</v>
      </c>
      <c r="AC57" s="16">
        <f t="shared" si="11"/>
        <v>5</v>
      </c>
      <c r="AD57" s="16">
        <f t="shared" si="12"/>
        <v>5</v>
      </c>
    </row>
    <row r="58" spans="1:30" x14ac:dyDescent="0.25">
      <c r="A58" s="16" t="s">
        <v>44</v>
      </c>
      <c r="B58" s="16" t="s">
        <v>7</v>
      </c>
      <c r="C58" s="19">
        <v>6100</v>
      </c>
      <c r="D58" s="60" t="s">
        <v>52</v>
      </c>
      <c r="E58" s="19">
        <v>60</v>
      </c>
      <c r="F58" s="16">
        <v>69</v>
      </c>
      <c r="G58" s="16">
        <v>74</v>
      </c>
      <c r="H58" s="16">
        <v>81</v>
      </c>
      <c r="I58" s="16">
        <v>82</v>
      </c>
      <c r="J58" s="16">
        <v>82</v>
      </c>
      <c r="K58" s="16">
        <v>79</v>
      </c>
      <c r="L58" s="16">
        <v>70</v>
      </c>
      <c r="M58" s="16">
        <v>59</v>
      </c>
      <c r="N58" s="16">
        <v>44</v>
      </c>
      <c r="O58" s="16">
        <v>29</v>
      </c>
      <c r="P58" s="16">
        <v>24</v>
      </c>
      <c r="Q58" s="16">
        <v>24</v>
      </c>
      <c r="R58" s="16">
        <f t="shared" si="0"/>
        <v>9.8360655737704921</v>
      </c>
      <c r="S58" s="16">
        <f t="shared" si="1"/>
        <v>11.311475409836065</v>
      </c>
      <c r="T58" s="16">
        <f t="shared" si="2"/>
        <v>12.131147540983607</v>
      </c>
      <c r="U58" s="16">
        <f t="shared" si="3"/>
        <v>13.278688524590164</v>
      </c>
      <c r="V58" s="16">
        <f t="shared" si="4"/>
        <v>13.442622950819672</v>
      </c>
      <c r="W58" s="16">
        <f t="shared" si="5"/>
        <v>13.442622950819672</v>
      </c>
      <c r="X58" s="16">
        <f t="shared" si="6"/>
        <v>12.950819672131148</v>
      </c>
      <c r="Y58" s="16">
        <f t="shared" si="7"/>
        <v>11.475409836065573</v>
      </c>
      <c r="Z58" s="16">
        <f t="shared" si="8"/>
        <v>9.6721311475409841</v>
      </c>
      <c r="AA58" s="16">
        <f t="shared" si="9"/>
        <v>7.2131147540983607</v>
      </c>
      <c r="AB58" s="16">
        <f t="shared" si="10"/>
        <v>4.7540983606557381</v>
      </c>
      <c r="AC58" s="16">
        <f t="shared" si="11"/>
        <v>3.9344262295081966</v>
      </c>
      <c r="AD58" s="16">
        <f t="shared" si="12"/>
        <v>3.9344262295081966</v>
      </c>
    </row>
    <row r="59" spans="1:30" x14ac:dyDescent="0.25">
      <c r="A59" s="16" t="s">
        <v>45</v>
      </c>
      <c r="B59" s="16" t="s">
        <v>7</v>
      </c>
      <c r="C59" s="19">
        <v>6750</v>
      </c>
      <c r="D59" s="60" t="s">
        <v>51</v>
      </c>
      <c r="E59" s="19">
        <v>55</v>
      </c>
      <c r="F59" s="16">
        <v>61</v>
      </c>
      <c r="G59" s="16">
        <v>65</v>
      </c>
      <c r="H59" s="16">
        <v>58</v>
      </c>
      <c r="I59" s="16">
        <v>52</v>
      </c>
      <c r="J59" s="16">
        <v>47</v>
      </c>
      <c r="K59" s="16">
        <v>41</v>
      </c>
      <c r="L59" s="16">
        <v>42</v>
      </c>
      <c r="M59" s="16">
        <v>25</v>
      </c>
      <c r="N59" s="16">
        <v>19</v>
      </c>
      <c r="O59" s="16">
        <v>13</v>
      </c>
      <c r="P59" s="16">
        <v>14</v>
      </c>
      <c r="Q59" s="16">
        <v>14</v>
      </c>
      <c r="R59" s="16">
        <f t="shared" si="0"/>
        <v>8.148148148148147</v>
      </c>
      <c r="S59" s="16">
        <f t="shared" si="1"/>
        <v>9.0370370370370381</v>
      </c>
      <c r="T59" s="16">
        <f t="shared" si="2"/>
        <v>9.6296296296296298</v>
      </c>
      <c r="U59" s="16">
        <f t="shared" si="3"/>
        <v>8.5925925925925934</v>
      </c>
      <c r="V59" s="16">
        <f t="shared" si="4"/>
        <v>7.7037037037037042</v>
      </c>
      <c r="W59" s="16">
        <f t="shared" si="5"/>
        <v>6.9629629629629637</v>
      </c>
      <c r="X59" s="16">
        <f t="shared" si="6"/>
        <v>6.0740740740740735</v>
      </c>
      <c r="Y59" s="16">
        <f t="shared" si="7"/>
        <v>6.2222222222222214</v>
      </c>
      <c r="Z59" s="16">
        <f t="shared" si="8"/>
        <v>3.7037037037037037</v>
      </c>
      <c r="AA59" s="16">
        <f t="shared" si="9"/>
        <v>2.8148148148148149</v>
      </c>
      <c r="AB59" s="16">
        <f t="shared" si="10"/>
        <v>1.925925925925926</v>
      </c>
      <c r="AC59" s="16">
        <f t="shared" si="11"/>
        <v>2.074074074074074</v>
      </c>
      <c r="AD59" s="16">
        <f t="shared" si="12"/>
        <v>2.074074074074074</v>
      </c>
    </row>
    <row r="60" spans="1:30" x14ac:dyDescent="0.25">
      <c r="A60" s="16" t="s">
        <v>46</v>
      </c>
      <c r="B60" s="16" t="s">
        <v>7</v>
      </c>
      <c r="C60" s="19">
        <v>7504</v>
      </c>
      <c r="D60" s="60" t="s">
        <v>52</v>
      </c>
      <c r="E60" s="19">
        <v>50</v>
      </c>
      <c r="F60" s="16">
        <v>56</v>
      </c>
      <c r="G60" s="16">
        <v>61</v>
      </c>
      <c r="H60" s="16">
        <v>64</v>
      </c>
      <c r="I60" s="16">
        <v>61</v>
      </c>
      <c r="J60" s="16">
        <v>56</v>
      </c>
      <c r="K60" s="16">
        <v>58</v>
      </c>
      <c r="L60" s="16">
        <v>55</v>
      </c>
      <c r="M60" s="16">
        <v>48</v>
      </c>
      <c r="N60" s="16">
        <v>45</v>
      </c>
      <c r="O60" s="16">
        <v>41</v>
      </c>
      <c r="P60" s="16">
        <v>32</v>
      </c>
      <c r="Q60" s="16">
        <v>32</v>
      </c>
      <c r="R60" s="16">
        <f t="shared" si="0"/>
        <v>6.6631130063965882</v>
      </c>
      <c r="S60" s="16">
        <f t="shared" si="1"/>
        <v>7.4626865671641793</v>
      </c>
      <c r="T60" s="16">
        <f t="shared" si="2"/>
        <v>8.1289978678038377</v>
      </c>
      <c r="U60" s="16">
        <f t="shared" si="3"/>
        <v>8.5287846481876333</v>
      </c>
      <c r="V60" s="16">
        <f t="shared" si="4"/>
        <v>8.1289978678038377</v>
      </c>
      <c r="W60" s="16">
        <f t="shared" si="5"/>
        <v>7.4626865671641793</v>
      </c>
      <c r="X60" s="16">
        <f t="shared" si="6"/>
        <v>7.7292110874200421</v>
      </c>
      <c r="Y60" s="16">
        <f t="shared" si="7"/>
        <v>7.3294243070362475</v>
      </c>
      <c r="Z60" s="16">
        <f t="shared" si="8"/>
        <v>6.3965884861407245</v>
      </c>
      <c r="AA60" s="16">
        <f t="shared" si="9"/>
        <v>5.9968017057569298</v>
      </c>
      <c r="AB60" s="16">
        <f t="shared" si="10"/>
        <v>5.4637526652452024</v>
      </c>
      <c r="AC60" s="16">
        <f t="shared" si="11"/>
        <v>4.2643923240938166</v>
      </c>
      <c r="AD60" s="16">
        <f t="shared" si="12"/>
        <v>4.2643923240938166</v>
      </c>
    </row>
    <row r="61" spans="1:30" x14ac:dyDescent="0.25">
      <c r="A61" s="16" t="s">
        <v>47</v>
      </c>
      <c r="B61" s="16" t="s">
        <v>7</v>
      </c>
      <c r="C61" s="19">
        <v>4932</v>
      </c>
      <c r="D61" s="60" t="s">
        <v>51</v>
      </c>
      <c r="E61" s="19">
        <v>63</v>
      </c>
      <c r="F61" s="16">
        <v>72</v>
      </c>
      <c r="G61" s="16">
        <v>77</v>
      </c>
      <c r="H61" s="16">
        <v>84</v>
      </c>
      <c r="I61" s="16">
        <v>85</v>
      </c>
      <c r="J61" s="16">
        <v>85</v>
      </c>
      <c r="K61" s="16">
        <v>82</v>
      </c>
      <c r="L61" s="16">
        <v>73</v>
      </c>
      <c r="M61" s="16">
        <v>62</v>
      </c>
      <c r="N61" s="16">
        <v>47</v>
      </c>
      <c r="O61" s="16">
        <v>32</v>
      </c>
      <c r="P61" s="16">
        <v>27</v>
      </c>
      <c r="Q61" s="16">
        <v>27</v>
      </c>
      <c r="R61" s="16">
        <f t="shared" si="0"/>
        <v>12.773722627737227</v>
      </c>
      <c r="S61" s="16">
        <f t="shared" si="1"/>
        <v>14.598540145985401</v>
      </c>
      <c r="T61" s="16">
        <f t="shared" si="2"/>
        <v>15.612327656123275</v>
      </c>
      <c r="U61" s="16">
        <f t="shared" si="3"/>
        <v>17.031630170316301</v>
      </c>
      <c r="V61" s="16">
        <f t="shared" si="4"/>
        <v>17.234387672343875</v>
      </c>
      <c r="W61" s="16">
        <f t="shared" si="5"/>
        <v>17.234387672343875</v>
      </c>
      <c r="X61" s="16">
        <f t="shared" si="6"/>
        <v>16.626115166261151</v>
      </c>
      <c r="Y61" s="16">
        <f t="shared" si="7"/>
        <v>14.801297648012977</v>
      </c>
      <c r="Z61" s="16">
        <f t="shared" si="8"/>
        <v>12.570965125709652</v>
      </c>
      <c r="AA61" s="16">
        <f t="shared" si="9"/>
        <v>9.5296025952960264</v>
      </c>
      <c r="AB61" s="16">
        <f t="shared" si="10"/>
        <v>6.488240064882401</v>
      </c>
      <c r="AC61" s="16">
        <f t="shared" si="11"/>
        <v>5.4744525547445262</v>
      </c>
      <c r="AD61" s="16">
        <f t="shared" si="12"/>
        <v>5.4744525547445262</v>
      </c>
    </row>
    <row r="62" spans="1:3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3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25.8" customHeight="1" x14ac:dyDescent="0.25">
      <c r="A65" s="69" t="s">
        <v>133</v>
      </c>
      <c r="B65" s="150" t="s">
        <v>142</v>
      </c>
      <c r="C65" s="147" t="s">
        <v>143</v>
      </c>
      <c r="D65" s="151" t="s">
        <v>144</v>
      </c>
      <c r="E65" s="148" t="s">
        <v>145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6.8" customHeight="1" x14ac:dyDescent="0.25">
      <c r="A66" s="13">
        <v>0</v>
      </c>
      <c r="B66" s="149">
        <f>AVERAGE(R2:R31)</f>
        <v>8.8205902296583751</v>
      </c>
      <c r="C66" s="13">
        <f>AVERAGE(R32:R61)</f>
        <v>8.8205902296583751</v>
      </c>
      <c r="D66" s="13">
        <f>AVERAGE(R4:R30)</f>
        <v>8.26078052626311</v>
      </c>
      <c r="E66" s="13">
        <f>AVERAGE(R34:R60)</f>
        <v>8.26078052626311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5">
      <c r="A67" s="13">
        <v>1</v>
      </c>
      <c r="B67" s="149">
        <f>AVERAGE(S2:S31)</f>
        <v>9.934042247332318</v>
      </c>
      <c r="C67" s="13">
        <f>AVERAGE(S32:S61)</f>
        <v>8.6018040205062611</v>
      </c>
      <c r="D67" s="13">
        <f>AVERAGE(S4:S30)</f>
        <v>9.2802211341335958</v>
      </c>
      <c r="E67" s="13">
        <f>AVERAGE(S34:S60)</f>
        <v>7.9613667859453763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13">
        <v>2</v>
      </c>
      <c r="B68" s="149">
        <f>AVERAGE(T2:T31)</f>
        <v>11.514150700350427</v>
      </c>
      <c r="C68" s="13">
        <f>AVERAGE(T32:T61)</f>
        <v>8.6861663269056439</v>
      </c>
      <c r="D68" s="13">
        <f>AVERAGE(T4:T30)</f>
        <v>10.782727453187272</v>
      </c>
      <c r="E68" s="13">
        <f>AVERAGE(T34:T60)</f>
        <v>8.0484191939148939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5">
      <c r="A69" s="13">
        <v>3</v>
      </c>
      <c r="B69" s="149">
        <f>AVERAGE(U2:U31)</f>
        <v>12.698602632405551</v>
      </c>
      <c r="C69" s="13">
        <f>AVERAGE(U32:U61)</f>
        <v>8.5851844447199461</v>
      </c>
      <c r="D69" s="13">
        <f>AVERAGE(U4:U30)</f>
        <v>11.927759023711985</v>
      </c>
      <c r="E69" s="13">
        <f>AVERAGE(U34:U60)</f>
        <v>7.9397447970551287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5">
      <c r="A70" s="13">
        <v>4</v>
      </c>
      <c r="B70" s="149">
        <f>AVERAGE(V2:V31)</f>
        <v>13.391644894957357</v>
      </c>
      <c r="C70" s="13">
        <f>AVERAGE(V32:V61)</f>
        <v>8.0567062409946057</v>
      </c>
      <c r="D70" s="13">
        <f>AVERAGE(V4:V30)</f>
        <v>12.577471013836035</v>
      </c>
      <c r="E70" s="13">
        <f>AVERAGE(V34:V60)</f>
        <v>7.4263619667580691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5">
      <c r="A71" s="13">
        <v>5</v>
      </c>
      <c r="B71" s="149">
        <f>AVERAGE(W2:W31)</f>
        <v>14.068306559583075</v>
      </c>
      <c r="C71" s="13">
        <f>AVERAGE(W32:W61)</f>
        <v>7.5967525116583827</v>
      </c>
      <c r="D71" s="13">
        <f>AVERAGE(W4:W30)</f>
        <v>13.152474860813998</v>
      </c>
      <c r="E71" s="13">
        <f>AVERAGE(W34:W60)</f>
        <v>6.8788041291456086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5">
      <c r="A72" s="13">
        <v>6</v>
      </c>
      <c r="B72" s="149">
        <f>AVERAGE(X2:X31)</f>
        <v>14.523827369922127</v>
      </c>
      <c r="C72" s="13">
        <f>AVERAGE(X32:X61)</f>
        <v>6.8868996284183419</v>
      </c>
      <c r="D72" s="13">
        <f>AVERAGE(X4:X30)</f>
        <v>13.587495566057189</v>
      </c>
      <c r="E72" s="13">
        <f>AVERAGE(X34:X60)</f>
        <v>6.2022604598684374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5">
      <c r="A73" s="13">
        <v>7</v>
      </c>
      <c r="B73" s="149">
        <f>AVERAGE(Y2:Y31)</f>
        <v>15.037067136653622</v>
      </c>
      <c r="C73" s="13">
        <f>AVERAGE(Y32:Y61)</f>
        <v>5.7043453116234426</v>
      </c>
      <c r="D73" s="13">
        <f>AVERAGE(Y4:Y30)</f>
        <v>14.070397449162105</v>
      </c>
      <c r="E73" s="13">
        <f>AVERAGE(Y34:Y60)</f>
        <v>5.0778841194259199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5">
      <c r="A74" s="13">
        <v>8</v>
      </c>
      <c r="B74" s="149">
        <f>AVERAGE(Z2:Z31)</f>
        <v>15.20162203734608</v>
      </c>
      <c r="C74" s="13">
        <f>AVERAGE(Z32:Z61)</f>
        <v>3.9222143526526239</v>
      </c>
      <c r="D74" s="13">
        <f>AVERAGE(Z4:Z30)</f>
        <v>14.230294591831715</v>
      </c>
      <c r="E74" s="13">
        <f>AVERAGE(Z34:Z60)</f>
        <v>3.4480781835746139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5">
      <c r="A75" s="13">
        <v>9</v>
      </c>
      <c r="B75" s="149">
        <f>AVERAGE(AA2:AA31)</f>
        <v>15.20162203734608</v>
      </c>
      <c r="C75" s="13">
        <f>AVERAGE(AA32:AA61)</f>
        <v>2.8627924769764705</v>
      </c>
      <c r="D75" s="13">
        <f>AVERAGE(AA4:AA30)</f>
        <v>14.230294591831715</v>
      </c>
      <c r="E75" s="13">
        <f>AVERAGE(AA34:AA60)</f>
        <v>2.5195352643436486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5">
      <c r="A76" s="13">
        <v>10</v>
      </c>
      <c r="B76" s="149">
        <f>AVERAGE(AB2:AB31)</f>
        <v>15.402152105862715</v>
      </c>
      <c r="C76" s="13">
        <f>AVERAGE(AB32:AB61)</f>
        <v>2.0108886433057021</v>
      </c>
      <c r="D76" s="13">
        <f>AVERAGE(AB4:AB30)</f>
        <v>14.420365985248552</v>
      </c>
      <c r="E76" s="13">
        <f>AVERAGE(AB34:AB60)</f>
        <v>1.8215679473408892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5">
      <c r="A77" s="13">
        <v>11</v>
      </c>
      <c r="B77" s="149">
        <f>AVERAGE(AC2:AC31)</f>
        <v>15.451289592437877</v>
      </c>
      <c r="C77" s="13">
        <f>AVERAGE(AC32:AC61)</f>
        <v>1.4205901118667519</v>
      </c>
      <c r="D77" s="13">
        <f>AVERAGE(AC4:AC30)</f>
        <v>14.459944118330021</v>
      </c>
      <c r="E77" s="13">
        <f>AVERAGE(AC34:AC60)</f>
        <v>1.2943512446478085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5">
      <c r="A78" s="13">
        <v>12</v>
      </c>
      <c r="B78" s="149">
        <f>AVERAGE(AD2:AD31)</f>
        <v>15.536354729600211</v>
      </c>
      <c r="C78" s="13">
        <f>AVERAGE(AD32:AD61)</f>
        <v>1.4594412670972174</v>
      </c>
      <c r="D78" s="13">
        <f>AVERAGE(AD4:AD30)</f>
        <v>14.529230680687544</v>
      </c>
      <c r="E78" s="13">
        <f>AVERAGE(AD34:AD60)</f>
        <v>1.3220870961384494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5"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E37C-BE46-504D-835F-B93B8DFA148F}">
  <dimension ref="A1:AZ43"/>
  <sheetViews>
    <sheetView topLeftCell="A3" workbookViewId="0">
      <selection activeCell="P16" sqref="P16"/>
    </sheetView>
  </sheetViews>
  <sheetFormatPr defaultColWidth="11.44140625" defaultRowHeight="13.2" x14ac:dyDescent="0.25"/>
  <cols>
    <col min="1" max="1" width="10.77734375" customWidth="1"/>
    <col min="2" max="2" width="11.44140625" customWidth="1"/>
  </cols>
  <sheetData>
    <row r="1" spans="1:52" ht="13.8" thickBot="1" x14ac:dyDescent="0.3">
      <c r="A1" s="78" t="s">
        <v>81</v>
      </c>
      <c r="B1" s="92" t="s">
        <v>82</v>
      </c>
      <c r="E1" s="94"/>
      <c r="F1" s="95">
        <v>2015</v>
      </c>
      <c r="G1" s="95">
        <v>2016</v>
      </c>
      <c r="H1" s="95">
        <v>2017</v>
      </c>
      <c r="I1" s="13"/>
    </row>
    <row r="2" spans="1:52" ht="13.8" thickBot="1" x14ac:dyDescent="0.3">
      <c r="A2" s="86">
        <v>42005</v>
      </c>
      <c r="B2" s="87">
        <v>71</v>
      </c>
      <c r="C2" s="13"/>
      <c r="D2" s="13"/>
      <c r="E2" s="93" t="s">
        <v>83</v>
      </c>
      <c r="F2" s="62">
        <f>MIN(B2:B11)</f>
        <v>53</v>
      </c>
      <c r="G2" s="62">
        <f>MIN(B12:B21)</f>
        <v>45</v>
      </c>
      <c r="H2" s="62">
        <f>MIN(B22:B31)</f>
        <v>70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ht="13.8" thickBot="1" x14ac:dyDescent="0.3">
      <c r="A3" s="88">
        <v>42036</v>
      </c>
      <c r="B3" s="89">
        <v>68</v>
      </c>
      <c r="C3" s="13"/>
      <c r="D3" s="13"/>
      <c r="E3" s="61" t="s">
        <v>84</v>
      </c>
      <c r="F3" s="62">
        <f>AVERAGE(B2:B11)</f>
        <v>67.3</v>
      </c>
      <c r="G3" s="62">
        <f>AVERAGE(B12:B21)</f>
        <v>53.7</v>
      </c>
      <c r="H3" s="62">
        <f>AVERAGE(B22:B31)</f>
        <v>96.8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ht="13.8" thickBot="1" x14ac:dyDescent="0.3">
      <c r="A4" s="88">
        <v>42064</v>
      </c>
      <c r="B4" s="89">
        <v>63</v>
      </c>
      <c r="C4" s="13"/>
      <c r="D4" s="13"/>
      <c r="E4" s="55" t="s">
        <v>85</v>
      </c>
      <c r="F4" s="62">
        <f>MAX(B2:B11)</f>
        <v>86</v>
      </c>
      <c r="G4" s="62">
        <f>MAX(B12:B21)</f>
        <v>63</v>
      </c>
      <c r="H4" s="62">
        <f>MAX(B22:B31)</f>
        <v>126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25">
      <c r="A5" s="88">
        <v>42125</v>
      </c>
      <c r="B5" s="89">
        <v>53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25">
      <c r="A6" s="88">
        <v>42156</v>
      </c>
      <c r="B6" s="89">
        <v>81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25">
      <c r="A7" s="88">
        <v>42186</v>
      </c>
      <c r="B7" s="89">
        <v>86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x14ac:dyDescent="0.25">
      <c r="A8" s="88">
        <v>42217</v>
      </c>
      <c r="B8" s="89">
        <v>66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x14ac:dyDescent="0.25">
      <c r="A9" s="88">
        <v>42278</v>
      </c>
      <c r="B9" s="89">
        <v>63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 x14ac:dyDescent="0.25">
      <c r="A10" s="88">
        <v>42309</v>
      </c>
      <c r="B10" s="89">
        <v>60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x14ac:dyDescent="0.25">
      <c r="A11" s="88">
        <v>42339</v>
      </c>
      <c r="B11" s="89">
        <v>62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x14ac:dyDescent="0.25">
      <c r="A12" s="88">
        <v>42370</v>
      </c>
      <c r="B12" s="89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25">
      <c r="A13" s="88">
        <v>42415</v>
      </c>
      <c r="B13" s="89">
        <v>48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25">
      <c r="A14" s="88">
        <v>42430</v>
      </c>
      <c r="B14" s="89">
        <v>58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25">
      <c r="A15" s="88">
        <v>42491</v>
      </c>
      <c r="B15" s="89">
        <v>49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25">
      <c r="A16" s="88">
        <v>42536</v>
      </c>
      <c r="B16" s="89">
        <v>63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25">
      <c r="A17" s="88">
        <v>42552</v>
      </c>
      <c r="B17" s="89">
        <v>53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25">
      <c r="A18" s="88">
        <v>42583</v>
      </c>
      <c r="B18" s="89">
        <v>58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25">
      <c r="A19" s="88">
        <v>42644</v>
      </c>
      <c r="B19" s="89">
        <v>49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25">
      <c r="A20" s="88">
        <v>42675</v>
      </c>
      <c r="B20" s="89">
        <v>54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25">
      <c r="A21" s="88">
        <v>42705</v>
      </c>
      <c r="B21" s="89">
        <v>45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25">
      <c r="A22" s="88">
        <v>42736</v>
      </c>
      <c r="B22" s="89">
        <v>90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25">
      <c r="A23" s="88">
        <v>42794</v>
      </c>
      <c r="B23" s="89">
        <v>91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25">
      <c r="A24" s="88">
        <v>42795</v>
      </c>
      <c r="B24" s="89">
        <v>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25">
      <c r="A25" s="88">
        <v>42856</v>
      </c>
      <c r="B25" s="89">
        <v>70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25">
      <c r="A26" s="88">
        <v>42887</v>
      </c>
      <c r="B26" s="89">
        <v>87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25">
      <c r="A27" s="88">
        <v>42946</v>
      </c>
      <c r="B27" s="89">
        <v>97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25">
      <c r="A28" s="88">
        <v>42948</v>
      </c>
      <c r="B28" s="89">
        <v>123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25">
      <c r="A29" s="88">
        <v>43009</v>
      </c>
      <c r="B29" s="89">
        <v>102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25">
      <c r="A30" s="88">
        <v>43040</v>
      </c>
      <c r="B30" s="89">
        <v>101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ht="13.8" thickBot="1" x14ac:dyDescent="0.3">
      <c r="A31" s="90">
        <v>43070</v>
      </c>
      <c r="B31" s="91">
        <v>126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F1D5-3E4D-B641-805B-E9CD600DF582}">
  <dimension ref="A1:P49"/>
  <sheetViews>
    <sheetView workbookViewId="0">
      <selection activeCell="J46" sqref="J46"/>
    </sheetView>
  </sheetViews>
  <sheetFormatPr defaultColWidth="11.44140625" defaultRowHeight="13.2" x14ac:dyDescent="0.25"/>
  <sheetData>
    <row r="1" spans="1:16" ht="13.8" thickBot="1" x14ac:dyDescent="0.3">
      <c r="A1" s="78" t="s">
        <v>81</v>
      </c>
      <c r="B1" s="92" t="s">
        <v>82</v>
      </c>
      <c r="E1" s="277" t="s">
        <v>86</v>
      </c>
      <c r="F1" s="277" t="s">
        <v>87</v>
      </c>
      <c r="G1" s="277"/>
      <c r="H1" s="277"/>
      <c r="I1" s="13"/>
      <c r="J1" s="13"/>
      <c r="K1" s="13"/>
      <c r="L1" s="13"/>
      <c r="M1" s="13"/>
      <c r="N1" s="13"/>
      <c r="O1" s="13"/>
      <c r="P1" s="13"/>
    </row>
    <row r="2" spans="1:16" ht="13.8" thickBot="1" x14ac:dyDescent="0.3">
      <c r="A2" s="86">
        <v>42005</v>
      </c>
      <c r="B2" s="87">
        <v>71</v>
      </c>
      <c r="E2" s="277"/>
      <c r="F2" s="64" t="s">
        <v>83</v>
      </c>
      <c r="G2" s="65" t="s">
        <v>84</v>
      </c>
      <c r="H2" s="66" t="s">
        <v>85</v>
      </c>
      <c r="I2" s="13"/>
      <c r="J2" s="13"/>
      <c r="K2" s="13"/>
      <c r="L2" s="13"/>
      <c r="M2" s="13"/>
      <c r="N2" s="13"/>
      <c r="O2" s="13"/>
      <c r="P2" s="13"/>
    </row>
    <row r="3" spans="1:16" ht="13.8" thickBot="1" x14ac:dyDescent="0.3">
      <c r="A3" s="88">
        <v>42036</v>
      </c>
      <c r="B3" s="89">
        <v>68</v>
      </c>
      <c r="E3" s="63" t="s">
        <v>88</v>
      </c>
      <c r="F3" s="63">
        <f>MIN(B2:B4)</f>
        <v>63</v>
      </c>
      <c r="G3" s="63">
        <f>AVERAGE(B2:B4)</f>
        <v>67.333333333333329</v>
      </c>
      <c r="H3" s="63">
        <f>MAX(B2:B4)</f>
        <v>71</v>
      </c>
      <c r="I3" s="13"/>
      <c r="J3" s="13"/>
      <c r="K3" s="13"/>
      <c r="L3" s="13"/>
      <c r="M3" s="13"/>
      <c r="N3" s="13"/>
      <c r="O3" s="13"/>
      <c r="P3" s="13"/>
    </row>
    <row r="4" spans="1:16" ht="13.8" thickBot="1" x14ac:dyDescent="0.3">
      <c r="A4" s="88">
        <v>42064</v>
      </c>
      <c r="B4" s="89">
        <v>63</v>
      </c>
      <c r="E4" s="63" t="s">
        <v>89</v>
      </c>
      <c r="F4" s="63">
        <f>MIN(B5:B7)</f>
        <v>53</v>
      </c>
      <c r="G4" s="63">
        <f>AVERAGE(B5:B7)</f>
        <v>73.333333333333329</v>
      </c>
      <c r="H4" s="63">
        <f>MAX(B5:B7)</f>
        <v>86</v>
      </c>
      <c r="I4" s="13"/>
      <c r="J4" s="13"/>
      <c r="K4" s="13"/>
      <c r="L4" s="13"/>
      <c r="M4" s="13"/>
      <c r="N4" s="13"/>
      <c r="O4" s="13"/>
      <c r="P4" s="13"/>
    </row>
    <row r="5" spans="1:16" ht="13.8" thickBot="1" x14ac:dyDescent="0.3">
      <c r="A5" s="88">
        <v>42125</v>
      </c>
      <c r="B5" s="89">
        <v>53</v>
      </c>
      <c r="E5" s="63" t="s">
        <v>90</v>
      </c>
      <c r="F5" s="63">
        <f>MIN(B8:B11)</f>
        <v>60</v>
      </c>
      <c r="G5" s="63">
        <f>AVERAGE(B8:B11)</f>
        <v>62.75</v>
      </c>
      <c r="H5" s="63">
        <f>MAX(B8:B11)</f>
        <v>66</v>
      </c>
      <c r="I5" s="13"/>
      <c r="J5" s="13"/>
      <c r="K5" s="13"/>
      <c r="L5" s="13"/>
      <c r="M5" s="13"/>
      <c r="N5" s="13"/>
      <c r="O5" s="13"/>
      <c r="P5" s="13"/>
    </row>
    <row r="6" spans="1:16" ht="13.8" thickBot="1" x14ac:dyDescent="0.3">
      <c r="A6" s="88">
        <v>42156</v>
      </c>
      <c r="B6" s="89">
        <v>81</v>
      </c>
      <c r="E6" s="63" t="s">
        <v>91</v>
      </c>
      <c r="F6" s="63">
        <f>MIN(B12:B14)</f>
        <v>48</v>
      </c>
      <c r="G6" s="63">
        <f>AVERAGE(B12:B14)</f>
        <v>55.333333333333336</v>
      </c>
      <c r="H6" s="63">
        <f>MAX(B12:B14)</f>
        <v>60</v>
      </c>
      <c r="I6" s="13"/>
      <c r="J6" s="13"/>
      <c r="K6" s="13"/>
      <c r="L6" s="13"/>
      <c r="M6" s="13"/>
      <c r="N6" s="13"/>
      <c r="O6" s="13"/>
      <c r="P6" s="13"/>
    </row>
    <row r="7" spans="1:16" ht="13.8" thickBot="1" x14ac:dyDescent="0.3">
      <c r="A7" s="88">
        <v>42186</v>
      </c>
      <c r="B7" s="89">
        <v>86</v>
      </c>
      <c r="E7" s="63" t="s">
        <v>92</v>
      </c>
      <c r="F7" s="63">
        <f>MIN(B15:B17)</f>
        <v>49</v>
      </c>
      <c r="G7" s="63">
        <f>AVERAGE(B15:B17)</f>
        <v>55</v>
      </c>
      <c r="H7" s="63">
        <f>MAX(B15:B17)</f>
        <v>63</v>
      </c>
      <c r="I7" s="13"/>
      <c r="J7" s="13"/>
      <c r="K7" s="13"/>
      <c r="L7" s="13"/>
      <c r="M7" s="13"/>
      <c r="N7" s="13"/>
      <c r="O7" s="13"/>
      <c r="P7" s="13"/>
    </row>
    <row r="8" spans="1:16" ht="13.8" thickBot="1" x14ac:dyDescent="0.3">
      <c r="A8" s="88">
        <v>42217</v>
      </c>
      <c r="B8" s="89">
        <v>66</v>
      </c>
      <c r="E8" s="63" t="s">
        <v>93</v>
      </c>
      <c r="F8" s="63">
        <f>MIN(B18:B21)</f>
        <v>45</v>
      </c>
      <c r="G8" s="63">
        <f>AVERAGE(B18:B21)</f>
        <v>51.5</v>
      </c>
      <c r="H8" s="63">
        <f>MAX(B18:B21)</f>
        <v>58</v>
      </c>
      <c r="I8" s="13"/>
      <c r="J8" s="13"/>
      <c r="K8" s="13"/>
      <c r="L8" s="13"/>
      <c r="M8" s="13"/>
      <c r="N8" s="13"/>
      <c r="O8" s="13"/>
      <c r="P8" s="13"/>
    </row>
    <row r="9" spans="1:16" ht="13.8" thickBot="1" x14ac:dyDescent="0.3">
      <c r="A9" s="88">
        <v>42278</v>
      </c>
      <c r="B9" s="89">
        <v>63</v>
      </c>
      <c r="E9" s="63" t="s">
        <v>94</v>
      </c>
      <c r="F9" s="63">
        <f>MIN(B22:B24)</f>
        <v>81</v>
      </c>
      <c r="G9" s="63">
        <f>AVERAGE(B22:B24)</f>
        <v>87.333333333333329</v>
      </c>
      <c r="H9" s="63">
        <f>MAX(B22:B24)</f>
        <v>91</v>
      </c>
      <c r="I9" s="13"/>
      <c r="J9" s="13"/>
      <c r="K9" s="13"/>
      <c r="L9" s="13"/>
      <c r="M9" s="13"/>
      <c r="N9" s="13"/>
      <c r="O9" s="13"/>
      <c r="P9" s="13"/>
    </row>
    <row r="10" spans="1:16" ht="13.8" thickBot="1" x14ac:dyDescent="0.3">
      <c r="A10" s="88">
        <v>42309</v>
      </c>
      <c r="B10" s="89">
        <v>60</v>
      </c>
      <c r="E10" s="63" t="s">
        <v>95</v>
      </c>
      <c r="F10" s="63">
        <f>MIN(B25:B27)</f>
        <v>70</v>
      </c>
      <c r="G10" s="63">
        <f>AVERAGE(B25:B27)</f>
        <v>84.666666666666671</v>
      </c>
      <c r="H10" s="63">
        <f>MAX(B25:B27)</f>
        <v>97</v>
      </c>
      <c r="I10" s="13"/>
      <c r="J10" s="13"/>
      <c r="K10" s="13"/>
      <c r="L10" s="13"/>
      <c r="M10" s="13"/>
      <c r="N10" s="13"/>
      <c r="O10" s="13"/>
      <c r="P10" s="13"/>
    </row>
    <row r="11" spans="1:16" ht="13.8" thickBot="1" x14ac:dyDescent="0.3">
      <c r="A11" s="88">
        <v>42339</v>
      </c>
      <c r="B11" s="89">
        <v>62</v>
      </c>
      <c r="E11" s="63" t="s">
        <v>96</v>
      </c>
      <c r="F11" s="63">
        <f>MIN(B28:B31)</f>
        <v>101</v>
      </c>
      <c r="G11" s="63">
        <f>AVERAGE(B28:B31)</f>
        <v>113</v>
      </c>
      <c r="H11" s="63">
        <f>MAX(B28:B31)</f>
        <v>126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25">
      <c r="A12" s="88">
        <v>42370</v>
      </c>
      <c r="B12" s="89">
        <v>60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25">
      <c r="A13" s="88">
        <v>42415</v>
      </c>
      <c r="B13" s="89">
        <v>48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25">
      <c r="A14" s="88">
        <v>42430</v>
      </c>
      <c r="B14" s="89">
        <v>58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5">
      <c r="A15" s="88">
        <v>42491</v>
      </c>
      <c r="B15" s="89">
        <v>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5">
      <c r="A16" s="88">
        <v>42536</v>
      </c>
      <c r="B16" s="89">
        <v>63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88">
        <v>42552</v>
      </c>
      <c r="B17" s="89">
        <v>53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88">
        <v>42583</v>
      </c>
      <c r="B18" s="89">
        <v>58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88">
        <v>42644</v>
      </c>
      <c r="B19" s="89">
        <v>49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88">
        <v>42675</v>
      </c>
      <c r="B20" s="89">
        <v>54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88">
        <v>42705</v>
      </c>
      <c r="B21" s="89">
        <v>45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88">
        <v>42736</v>
      </c>
      <c r="B22" s="89">
        <v>90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88">
        <v>42794</v>
      </c>
      <c r="B23" s="89">
        <v>91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88">
        <v>42795</v>
      </c>
      <c r="B24" s="89">
        <v>81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8">
        <v>42856</v>
      </c>
      <c r="B25" s="89">
        <v>70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88">
        <v>42887</v>
      </c>
      <c r="B26" s="89">
        <v>87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88">
        <v>42946</v>
      </c>
      <c r="B27" s="89">
        <v>97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88">
        <v>42948</v>
      </c>
      <c r="B28" s="89">
        <v>123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88">
        <v>43009</v>
      </c>
      <c r="B29" s="89">
        <v>102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88">
        <v>43040</v>
      </c>
      <c r="B30" s="89">
        <v>101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3.8" thickBot="1" x14ac:dyDescent="0.3">
      <c r="A31" s="90">
        <v>43070</v>
      </c>
      <c r="B31" s="91">
        <v>126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5:16" x14ac:dyDescent="0.25"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5:16" x14ac:dyDescent="0.25"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5:16" x14ac:dyDescent="0.25"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5:16" x14ac:dyDescent="0.25"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5:16" x14ac:dyDescent="0.25"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5:16" x14ac:dyDescent="0.25"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5:16" x14ac:dyDescent="0.25"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5:16" x14ac:dyDescent="0.25"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5:16" x14ac:dyDescent="0.25"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5:16" x14ac:dyDescent="0.25"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5:16" x14ac:dyDescent="0.25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5:16" x14ac:dyDescent="0.25"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5:16" x14ac:dyDescent="0.25"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5:16" x14ac:dyDescent="0.25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5:16" x14ac:dyDescent="0.25"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5:16" x14ac:dyDescent="0.25"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5:16" x14ac:dyDescent="0.25"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</sheetData>
  <mergeCells count="2">
    <mergeCell ref="F1:H1"/>
    <mergeCell ref="E1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B8F4-7952-4146-A730-6A67B23CC1FE}">
  <dimension ref="A1:BE73"/>
  <sheetViews>
    <sheetView topLeftCell="M62" zoomScale="75" workbookViewId="0">
      <selection activeCell="AO115" sqref="AO115"/>
    </sheetView>
  </sheetViews>
  <sheetFormatPr defaultColWidth="8.77734375" defaultRowHeight="13.2" x14ac:dyDescent="0.25"/>
  <cols>
    <col min="1" max="1" width="10.6640625" style="29" customWidth="1"/>
    <col min="2" max="2" width="8.77734375" style="29"/>
    <col min="3" max="3" width="0" style="29" hidden="1" customWidth="1"/>
    <col min="4" max="6" width="8.77734375" style="29"/>
    <col min="7" max="7" width="10.6640625" style="29" customWidth="1"/>
    <col min="8" max="8" width="12.33203125" style="29" customWidth="1"/>
    <col min="9" max="9" width="26.33203125" style="29" customWidth="1"/>
    <col min="10" max="16384" width="8.77734375" style="29"/>
  </cols>
  <sheetData>
    <row r="1" spans="1:56" x14ac:dyDescent="0.25">
      <c r="A1" s="39"/>
      <c r="B1" s="39" t="s">
        <v>14</v>
      </c>
      <c r="C1" s="39"/>
      <c r="D1" s="39"/>
      <c r="E1" s="39"/>
      <c r="F1" s="39"/>
      <c r="G1" s="39"/>
      <c r="H1" s="39"/>
      <c r="I1" s="39"/>
      <c r="J1" s="39"/>
      <c r="K1" s="39"/>
      <c r="L1" s="265">
        <v>2018</v>
      </c>
      <c r="M1" s="265" t="s">
        <v>17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</row>
    <row r="2" spans="1:56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x14ac:dyDescent="0.25">
      <c r="A3" s="264"/>
      <c r="B3" s="264"/>
      <c r="C3" s="264"/>
      <c r="D3" s="264"/>
      <c r="E3" s="264"/>
      <c r="F3" s="264"/>
      <c r="G3" s="264" t="s">
        <v>0</v>
      </c>
      <c r="H3" s="264"/>
      <c r="I3" s="26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</row>
    <row r="4" spans="1:56" ht="13.8" thickBot="1" x14ac:dyDescent="0.3">
      <c r="A4" s="262" t="s">
        <v>1</v>
      </c>
      <c r="B4" s="260" t="s">
        <v>2</v>
      </c>
      <c r="C4" s="260" t="s">
        <v>48</v>
      </c>
      <c r="D4" s="260" t="s">
        <v>49</v>
      </c>
      <c r="E4" s="260" t="s">
        <v>19</v>
      </c>
      <c r="F4" s="260" t="s">
        <v>3</v>
      </c>
      <c r="G4" s="261" t="s">
        <v>4</v>
      </c>
      <c r="H4" s="260" t="s">
        <v>152</v>
      </c>
      <c r="I4" s="243">
        <f>DATE($L$1-3,1,1)</f>
        <v>42005</v>
      </c>
      <c r="J4" s="243">
        <f>DATE($L$1-3,2,1)</f>
        <v>42036</v>
      </c>
      <c r="K4" s="243">
        <f>DATE($L$1-3,3,1)</f>
        <v>42064</v>
      </c>
      <c r="L4" s="243">
        <f>DATE($L$1-3,4,1)</f>
        <v>42095</v>
      </c>
      <c r="M4" s="243">
        <f>DATE($L$1-3,5,1)</f>
        <v>42125</v>
      </c>
      <c r="N4" s="243">
        <f>DATE($L$1-3,6,1)</f>
        <v>42156</v>
      </c>
      <c r="O4" s="243">
        <f>DATE($L$1-3,7,1)</f>
        <v>42186</v>
      </c>
      <c r="P4" s="243">
        <f>DATE($L$1-3,8,1)</f>
        <v>42217</v>
      </c>
      <c r="Q4" s="243">
        <f>DATE($L$1-3,9,1)</f>
        <v>42248</v>
      </c>
      <c r="R4" s="243">
        <f>DATE($L$1-3,10,1)</f>
        <v>42278</v>
      </c>
      <c r="S4" s="243">
        <f>DATE($L$1-3,11,1)</f>
        <v>42309</v>
      </c>
      <c r="T4" s="243">
        <f>DATE($L$1-3,12,1)</f>
        <v>42339</v>
      </c>
      <c r="U4" s="243">
        <f>DATE($L$1-2,1,1)</f>
        <v>42370</v>
      </c>
      <c r="V4" s="243">
        <f>DATE($L$1-2,2,1)</f>
        <v>42401</v>
      </c>
      <c r="W4" s="243">
        <f>DATE($L$1-2,3,1)</f>
        <v>42430</v>
      </c>
      <c r="X4" s="243">
        <f>DATE($L$1-2,4,1)</f>
        <v>42461</v>
      </c>
      <c r="Y4" s="243">
        <f>DATE($L$1-2,5,1)</f>
        <v>42491</v>
      </c>
      <c r="Z4" s="243">
        <f>DATE($L$1-2,6,1)</f>
        <v>42522</v>
      </c>
      <c r="AA4" s="243">
        <f>DATE($L$1-2,7,1)</f>
        <v>42552</v>
      </c>
      <c r="AB4" s="243">
        <f>DATE($L$1-2,8,1)</f>
        <v>42583</v>
      </c>
      <c r="AC4" s="243">
        <f>DATE($L$1-2,9,1)</f>
        <v>42614</v>
      </c>
      <c r="AD4" s="243">
        <f>DATE($L$1-2,10,1)</f>
        <v>42644</v>
      </c>
      <c r="AE4" s="243">
        <f>DATE($L$1-2,11,1)</f>
        <v>42675</v>
      </c>
      <c r="AF4" s="243">
        <f>DATE($L$1-2,12,1)</f>
        <v>42705</v>
      </c>
      <c r="AG4" s="243">
        <f>DATE($L$1-1,1,1)</f>
        <v>42736</v>
      </c>
      <c r="AH4" s="243">
        <f>DATE($L$1-1,2,1)</f>
        <v>42767</v>
      </c>
      <c r="AI4" s="243">
        <f>DATE($L$1-1,3,1)</f>
        <v>42795</v>
      </c>
      <c r="AJ4" s="243">
        <f>DATE($L$1-1,4,1)</f>
        <v>42826</v>
      </c>
      <c r="AK4" s="243">
        <f>DATE($L$1-1,5,1)</f>
        <v>42856</v>
      </c>
      <c r="AL4" s="243">
        <f>DATE($L$1-1,6,1)</f>
        <v>42887</v>
      </c>
      <c r="AM4" s="243">
        <f>DATE($L$1-1,7,1)</f>
        <v>42917</v>
      </c>
      <c r="AN4" s="243">
        <f>DATE($L$1-1,8,1)</f>
        <v>42948</v>
      </c>
      <c r="AO4" s="243">
        <f>DATE($L$1-1,9,1)</f>
        <v>42979</v>
      </c>
      <c r="AP4" s="243">
        <f>DATE($L$1-1,10,1)</f>
        <v>43009</v>
      </c>
      <c r="AQ4" s="243">
        <f>DATE($L$1-1,11,1)</f>
        <v>43040</v>
      </c>
      <c r="AR4" s="243">
        <f>DATE($L$1-1,12,1)</f>
        <v>43070</v>
      </c>
      <c r="AS4" s="243">
        <f>DATE($L$1,1,1)</f>
        <v>43101</v>
      </c>
      <c r="AT4" s="243">
        <f>DATE($L$1,2,1)</f>
        <v>43132</v>
      </c>
      <c r="AU4" s="243">
        <f>DATE($L$1,3,1)</f>
        <v>43160</v>
      </c>
      <c r="AV4" s="243">
        <f>DATE($L$1,4,1)</f>
        <v>43191</v>
      </c>
      <c r="AW4" s="243">
        <f>DATE($L$1,5,1)</f>
        <v>43221</v>
      </c>
      <c r="AX4" s="243">
        <f>DATE($L$1,6,1)</f>
        <v>43252</v>
      </c>
      <c r="AY4" s="243">
        <f>DATE($L$1,7,1)</f>
        <v>43282</v>
      </c>
      <c r="AZ4" s="243">
        <f>DATE($L$1,8,1)</f>
        <v>43313</v>
      </c>
      <c r="BA4" s="243">
        <f>DATE($L$1,9,1)</f>
        <v>43344</v>
      </c>
      <c r="BB4" s="243">
        <f>DATE($L$1,10,1)</f>
        <v>43374</v>
      </c>
      <c r="BC4" s="243">
        <f>DATE($L$1,11,1)</f>
        <v>43405</v>
      </c>
      <c r="BD4" s="243">
        <f>DATE($L$1,12,1)</f>
        <v>43435</v>
      </c>
    </row>
    <row r="5" spans="1:56" ht="13.8" thickTop="1" x14ac:dyDescent="0.25">
      <c r="A5" s="255">
        <f>DATE($L$1-3,1,1)</f>
        <v>42005</v>
      </c>
      <c r="B5" s="254" t="s">
        <v>5</v>
      </c>
      <c r="C5" s="254">
        <f t="shared" ref="C5:C36" si="0">SUM(I5:BD5)</f>
        <v>72</v>
      </c>
      <c r="D5" s="254" t="s">
        <v>53</v>
      </c>
      <c r="E5" s="254" t="s">
        <v>51</v>
      </c>
      <c r="F5" s="39">
        <v>2400</v>
      </c>
      <c r="G5" s="259" t="s">
        <v>6</v>
      </c>
      <c r="H5" s="252">
        <v>4</v>
      </c>
      <c r="I5" s="40">
        <v>45</v>
      </c>
      <c r="J5" s="39">
        <v>3</v>
      </c>
      <c r="K5" s="39">
        <v>5</v>
      </c>
      <c r="L5" s="39">
        <v>3</v>
      </c>
      <c r="M5" s="39">
        <v>2</v>
      </c>
      <c r="N5" s="39">
        <v>6</v>
      </c>
      <c r="O5" s="39">
        <v>3</v>
      </c>
      <c r="P5" s="39">
        <v>2</v>
      </c>
      <c r="Q5" s="39">
        <v>1</v>
      </c>
      <c r="R5" s="39">
        <v>0</v>
      </c>
      <c r="S5" s="39">
        <v>1</v>
      </c>
      <c r="T5" s="39">
        <v>0</v>
      </c>
      <c r="U5" s="39">
        <v>1</v>
      </c>
      <c r="V5" s="257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</row>
    <row r="6" spans="1:56" s="246" customFormat="1" ht="15.6" x14ac:dyDescent="0.3">
      <c r="A6" s="251">
        <f>DATE(($L$1-3),1,1)</f>
        <v>42005</v>
      </c>
      <c r="B6" s="250" t="s">
        <v>5</v>
      </c>
      <c r="C6" s="250">
        <f t="shared" si="0"/>
        <v>67</v>
      </c>
      <c r="D6" s="250" t="s">
        <v>53</v>
      </c>
      <c r="E6" s="250" t="s">
        <v>51</v>
      </c>
      <c r="F6" s="246">
        <v>2400</v>
      </c>
      <c r="G6" s="249" t="s">
        <v>7</v>
      </c>
      <c r="H6" s="248">
        <v>4</v>
      </c>
      <c r="I6" s="247">
        <v>0</v>
      </c>
      <c r="J6" s="246">
        <v>5</v>
      </c>
      <c r="K6" s="246">
        <v>7</v>
      </c>
      <c r="L6" s="246">
        <v>6</v>
      </c>
      <c r="M6" s="246">
        <v>6</v>
      </c>
      <c r="N6" s="246">
        <v>3</v>
      </c>
      <c r="O6" s="246">
        <v>5</v>
      </c>
      <c r="P6" s="246">
        <v>8</v>
      </c>
      <c r="Q6" s="246">
        <v>12</v>
      </c>
      <c r="R6" s="246">
        <v>5</v>
      </c>
      <c r="S6" s="246">
        <v>6</v>
      </c>
      <c r="T6" s="246">
        <v>4</v>
      </c>
      <c r="U6" s="246">
        <v>0</v>
      </c>
    </row>
    <row r="7" spans="1:56" ht="15.6" x14ac:dyDescent="0.3">
      <c r="A7" s="255">
        <f>DATE(($L$1-3),2,1)</f>
        <v>42036</v>
      </c>
      <c r="B7" s="254" t="s">
        <v>8</v>
      </c>
      <c r="C7" s="254">
        <f t="shared" si="0"/>
        <v>69</v>
      </c>
      <c r="D7" s="254" t="s">
        <v>50</v>
      </c>
      <c r="E7" s="254" t="s">
        <v>51</v>
      </c>
      <c r="F7" s="39">
        <v>3780</v>
      </c>
      <c r="G7" s="253" t="s">
        <v>6</v>
      </c>
      <c r="H7" s="252">
        <v>3</v>
      </c>
      <c r="I7" s="258">
        <f>I6</f>
        <v>0</v>
      </c>
      <c r="J7" s="40">
        <v>38</v>
      </c>
      <c r="K7" s="39">
        <v>6</v>
      </c>
      <c r="L7" s="39">
        <v>8</v>
      </c>
      <c r="M7" s="39">
        <v>2</v>
      </c>
      <c r="N7" s="39">
        <v>3</v>
      </c>
      <c r="O7" s="39">
        <v>4</v>
      </c>
      <c r="P7" s="39">
        <v>1</v>
      </c>
      <c r="Q7" s="39">
        <v>5</v>
      </c>
      <c r="R7" s="39">
        <v>0</v>
      </c>
      <c r="S7" s="39">
        <v>0</v>
      </c>
      <c r="T7" s="39">
        <v>1</v>
      </c>
      <c r="U7" s="39">
        <v>0</v>
      </c>
      <c r="V7" s="39">
        <v>1</v>
      </c>
      <c r="W7" s="257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</row>
    <row r="8" spans="1:56" s="246" customFormat="1" ht="15.6" x14ac:dyDescent="0.3">
      <c r="A8" s="251">
        <f>DATE(($L$1-3),2,1)</f>
        <v>42036</v>
      </c>
      <c r="B8" s="250" t="s">
        <v>8</v>
      </c>
      <c r="C8" s="250">
        <f t="shared" si="0"/>
        <v>67</v>
      </c>
      <c r="D8" s="250" t="s">
        <v>50</v>
      </c>
      <c r="E8" s="250" t="s">
        <v>51</v>
      </c>
      <c r="F8" s="246">
        <v>3780</v>
      </c>
      <c r="G8" s="249" t="s">
        <v>7</v>
      </c>
      <c r="H8" s="248">
        <v>3</v>
      </c>
      <c r="I8" s="256"/>
      <c r="J8" s="247">
        <v>0</v>
      </c>
      <c r="K8" s="246">
        <v>4</v>
      </c>
      <c r="L8" s="246">
        <v>8</v>
      </c>
      <c r="M8" s="246">
        <v>3</v>
      </c>
      <c r="N8" s="246">
        <v>5</v>
      </c>
      <c r="O8" s="246">
        <v>5</v>
      </c>
      <c r="P8" s="246">
        <v>7</v>
      </c>
      <c r="Q8" s="246">
        <v>8</v>
      </c>
      <c r="R8" s="246">
        <v>10</v>
      </c>
      <c r="S8" s="246">
        <v>6</v>
      </c>
      <c r="T8" s="246">
        <v>7</v>
      </c>
      <c r="U8" s="246">
        <v>3</v>
      </c>
      <c r="V8" s="246">
        <v>1</v>
      </c>
    </row>
    <row r="9" spans="1:56" x14ac:dyDescent="0.25">
      <c r="A9" s="255">
        <f>DATE(($L$1-3),3,1)</f>
        <v>42064</v>
      </c>
      <c r="B9" s="254" t="s">
        <v>7</v>
      </c>
      <c r="C9" s="254">
        <f t="shared" si="0"/>
        <v>68</v>
      </c>
      <c r="D9" s="254" t="s">
        <v>53</v>
      </c>
      <c r="E9" s="254" t="s">
        <v>52</v>
      </c>
      <c r="F9" s="39">
        <v>4593</v>
      </c>
      <c r="G9" s="253" t="s">
        <v>6</v>
      </c>
      <c r="H9" s="252">
        <v>2</v>
      </c>
      <c r="I9" s="40"/>
      <c r="J9" s="39">
        <f>J6+J8</f>
        <v>5</v>
      </c>
      <c r="K9" s="39">
        <v>41</v>
      </c>
      <c r="L9" s="39">
        <v>5</v>
      </c>
      <c r="M9" s="39">
        <v>3</v>
      </c>
      <c r="N9" s="39">
        <v>4</v>
      </c>
      <c r="O9" s="39">
        <v>3</v>
      </c>
      <c r="P9" s="39">
        <v>2</v>
      </c>
      <c r="Q9" s="39">
        <v>2</v>
      </c>
      <c r="R9" s="39">
        <v>1</v>
      </c>
      <c r="S9" s="39">
        <v>1</v>
      </c>
      <c r="T9" s="39">
        <v>0</v>
      </c>
      <c r="U9" s="39">
        <v>1</v>
      </c>
      <c r="V9" s="39">
        <v>0</v>
      </c>
      <c r="W9" s="39">
        <v>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</row>
    <row r="10" spans="1:56" s="246" customFormat="1" ht="15.6" x14ac:dyDescent="0.3">
      <c r="A10" s="251">
        <f>DATE(($L$1-3),3,1)</f>
        <v>42064</v>
      </c>
      <c r="B10" s="250" t="s">
        <v>7</v>
      </c>
      <c r="C10" s="250">
        <f t="shared" si="0"/>
        <v>67</v>
      </c>
      <c r="D10" s="250" t="s">
        <v>53</v>
      </c>
      <c r="E10" s="250" t="s">
        <v>52</v>
      </c>
      <c r="F10" s="246">
        <v>4593</v>
      </c>
      <c r="G10" s="249" t="s">
        <v>7</v>
      </c>
      <c r="H10" s="248">
        <v>2</v>
      </c>
      <c r="I10" s="247"/>
      <c r="J10" s="245">
        <f>J6+J8</f>
        <v>5</v>
      </c>
      <c r="K10" s="246">
        <v>0</v>
      </c>
      <c r="L10" s="246">
        <v>6</v>
      </c>
      <c r="M10" s="246">
        <v>8</v>
      </c>
      <c r="N10" s="246">
        <v>7</v>
      </c>
      <c r="O10" s="246">
        <v>4</v>
      </c>
      <c r="P10" s="246">
        <v>5</v>
      </c>
      <c r="Q10" s="246">
        <v>3</v>
      </c>
      <c r="R10" s="246">
        <v>10</v>
      </c>
      <c r="S10" s="246">
        <v>12</v>
      </c>
      <c r="T10" s="246">
        <v>5</v>
      </c>
      <c r="U10" s="246">
        <v>2</v>
      </c>
      <c r="V10" s="246">
        <v>0</v>
      </c>
      <c r="W10" s="246">
        <v>0</v>
      </c>
    </row>
    <row r="11" spans="1:56" ht="15.6" x14ac:dyDescent="0.3">
      <c r="A11" s="255">
        <f>DATE(($L$1-3),5,1)</f>
        <v>42125</v>
      </c>
      <c r="B11" s="254" t="s">
        <v>9</v>
      </c>
      <c r="C11" s="254">
        <f t="shared" si="0"/>
        <v>84</v>
      </c>
      <c r="D11" s="254" t="s">
        <v>53</v>
      </c>
      <c r="E11" s="254" t="s">
        <v>51</v>
      </c>
      <c r="F11" s="39">
        <v>3690</v>
      </c>
      <c r="G11" s="253" t="s">
        <v>6</v>
      </c>
      <c r="H11" s="252">
        <v>2</v>
      </c>
      <c r="I11" s="40"/>
      <c r="J11" s="39"/>
      <c r="K11" s="245">
        <f>K6+K8+K10</f>
        <v>11</v>
      </c>
      <c r="L11" s="245">
        <f>L6+L8+L10</f>
        <v>20</v>
      </c>
      <c r="M11" s="39">
        <v>33</v>
      </c>
      <c r="N11" s="39">
        <v>4</v>
      </c>
      <c r="O11" s="39">
        <v>2</v>
      </c>
      <c r="P11" s="39">
        <v>5</v>
      </c>
      <c r="Q11" s="39">
        <v>2</v>
      </c>
      <c r="R11" s="39">
        <v>2</v>
      </c>
      <c r="S11" s="39">
        <v>1</v>
      </c>
      <c r="T11" s="39">
        <v>3</v>
      </c>
      <c r="U11" s="39">
        <v>0</v>
      </c>
      <c r="V11" s="39">
        <v>0</v>
      </c>
      <c r="W11" s="39">
        <v>1</v>
      </c>
      <c r="X11" s="39">
        <v>0</v>
      </c>
      <c r="Y11" s="39">
        <v>0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</row>
    <row r="12" spans="1:56" s="246" customFormat="1" ht="15.6" x14ac:dyDescent="0.3">
      <c r="A12" s="251">
        <f>DATE(($L$1-3),5,1)</f>
        <v>42125</v>
      </c>
      <c r="B12" s="250" t="s">
        <v>9</v>
      </c>
      <c r="C12" s="250">
        <f t="shared" si="0"/>
        <v>53</v>
      </c>
      <c r="D12" s="250" t="s">
        <v>53</v>
      </c>
      <c r="E12" s="250" t="s">
        <v>51</v>
      </c>
      <c r="F12" s="246">
        <v>3690</v>
      </c>
      <c r="G12" s="249" t="s">
        <v>7</v>
      </c>
      <c r="H12" s="248">
        <v>2</v>
      </c>
      <c r="I12" s="247"/>
      <c r="M12" s="246">
        <v>0</v>
      </c>
      <c r="N12" s="246">
        <v>8</v>
      </c>
      <c r="O12" s="246">
        <v>4</v>
      </c>
      <c r="P12" s="246">
        <v>4</v>
      </c>
      <c r="Q12" s="246">
        <v>5</v>
      </c>
      <c r="R12" s="246">
        <v>3</v>
      </c>
      <c r="S12" s="246">
        <v>7</v>
      </c>
      <c r="T12" s="246">
        <v>8</v>
      </c>
      <c r="U12" s="246">
        <v>7</v>
      </c>
      <c r="V12" s="246">
        <v>4</v>
      </c>
      <c r="W12" s="246">
        <v>2</v>
      </c>
      <c r="X12" s="246">
        <v>1</v>
      </c>
      <c r="Y12" s="246">
        <v>0</v>
      </c>
    </row>
    <row r="13" spans="1:56" ht="15.6" x14ac:dyDescent="0.3">
      <c r="A13" s="255">
        <f>DATE(($L$1-3),6,1)</f>
        <v>42156</v>
      </c>
      <c r="B13" s="254" t="s">
        <v>10</v>
      </c>
      <c r="C13" s="254">
        <f t="shared" si="0"/>
        <v>99</v>
      </c>
      <c r="D13" s="254" t="s">
        <v>53</v>
      </c>
      <c r="E13" s="254" t="s">
        <v>51</v>
      </c>
      <c r="F13" s="39">
        <v>4400</v>
      </c>
      <c r="G13" s="253" t="s">
        <v>6</v>
      </c>
      <c r="H13" s="252">
        <v>3</v>
      </c>
      <c r="I13" s="40"/>
      <c r="J13" s="39"/>
      <c r="K13" s="39"/>
      <c r="L13" s="39"/>
      <c r="M13" s="245">
        <f>M6+M8+M10+M12</f>
        <v>17</v>
      </c>
      <c r="N13" s="39">
        <v>55</v>
      </c>
      <c r="O13" s="39">
        <v>3</v>
      </c>
      <c r="P13" s="39">
        <v>5</v>
      </c>
      <c r="Q13" s="39">
        <v>3</v>
      </c>
      <c r="R13" s="39">
        <v>2</v>
      </c>
      <c r="S13" s="39">
        <v>6</v>
      </c>
      <c r="T13" s="39">
        <v>3</v>
      </c>
      <c r="U13" s="39">
        <v>2</v>
      </c>
      <c r="V13" s="39">
        <v>1</v>
      </c>
      <c r="W13" s="39">
        <v>0</v>
      </c>
      <c r="X13" s="39">
        <v>1</v>
      </c>
      <c r="Y13" s="39">
        <v>0</v>
      </c>
      <c r="Z13" s="39">
        <v>1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</row>
    <row r="14" spans="1:56" s="246" customFormat="1" ht="15.6" x14ac:dyDescent="0.3">
      <c r="A14" s="251">
        <f>DATE(($L$1-3),6,1)</f>
        <v>42156</v>
      </c>
      <c r="B14" s="250" t="s">
        <v>10</v>
      </c>
      <c r="C14" s="250">
        <f t="shared" si="0"/>
        <v>76</v>
      </c>
      <c r="D14" s="250" t="s">
        <v>53</v>
      </c>
      <c r="E14" s="250" t="s">
        <v>51</v>
      </c>
      <c r="F14" s="246">
        <v>4400</v>
      </c>
      <c r="G14" s="249" t="s">
        <v>7</v>
      </c>
      <c r="H14" s="248">
        <v>3</v>
      </c>
      <c r="I14" s="247"/>
      <c r="N14" s="246">
        <v>0</v>
      </c>
      <c r="O14" s="246">
        <v>8</v>
      </c>
      <c r="P14" s="246">
        <v>7</v>
      </c>
      <c r="Q14" s="246">
        <v>9</v>
      </c>
      <c r="R14" s="246">
        <v>6</v>
      </c>
      <c r="S14" s="246">
        <v>5</v>
      </c>
      <c r="T14" s="246">
        <v>5</v>
      </c>
      <c r="U14" s="246">
        <v>8</v>
      </c>
      <c r="V14" s="246">
        <v>12</v>
      </c>
      <c r="W14" s="246">
        <v>5</v>
      </c>
      <c r="X14" s="246">
        <v>6</v>
      </c>
      <c r="Y14" s="246">
        <v>4</v>
      </c>
      <c r="Z14" s="246">
        <v>1</v>
      </c>
    </row>
    <row r="15" spans="1:56" ht="15.6" x14ac:dyDescent="0.3">
      <c r="A15" s="255">
        <f>DATE(($L$1-3),7,1)</f>
        <v>42186</v>
      </c>
      <c r="B15" s="254" t="s">
        <v>11</v>
      </c>
      <c r="C15" s="254">
        <f t="shared" si="0"/>
        <v>109</v>
      </c>
      <c r="D15" s="254" t="s">
        <v>53</v>
      </c>
      <c r="E15" s="254" t="s">
        <v>51</v>
      </c>
      <c r="F15" s="39">
        <v>4450</v>
      </c>
      <c r="G15" s="253" t="s">
        <v>6</v>
      </c>
      <c r="H15" s="252">
        <v>4</v>
      </c>
      <c r="I15" s="40"/>
      <c r="J15" s="39"/>
      <c r="K15" s="39"/>
      <c r="L15" s="39"/>
      <c r="M15" s="39"/>
      <c r="N15" s="245">
        <f>N6+N8+N10+N12+N14</f>
        <v>23</v>
      </c>
      <c r="O15" s="39">
        <v>56</v>
      </c>
      <c r="P15" s="39">
        <v>6</v>
      </c>
      <c r="Q15" s="39">
        <v>8</v>
      </c>
      <c r="R15" s="39">
        <v>2</v>
      </c>
      <c r="S15" s="39">
        <v>3</v>
      </c>
      <c r="T15" s="39">
        <v>4</v>
      </c>
      <c r="U15" s="39">
        <v>1</v>
      </c>
      <c r="V15" s="39">
        <v>5</v>
      </c>
      <c r="W15" s="39">
        <v>0</v>
      </c>
      <c r="X15" s="39">
        <v>0</v>
      </c>
      <c r="Y15" s="39">
        <v>1</v>
      </c>
      <c r="Z15" s="39">
        <v>0</v>
      </c>
      <c r="AA15" s="39">
        <v>0</v>
      </c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 s="246" customFormat="1" ht="15.6" x14ac:dyDescent="0.3">
      <c r="A16" s="251">
        <f>DATE(($L$1-3),7,1)</f>
        <v>42186</v>
      </c>
      <c r="B16" s="250" t="s">
        <v>11</v>
      </c>
      <c r="C16" s="250">
        <f t="shared" si="0"/>
        <v>84</v>
      </c>
      <c r="D16" s="250" t="s">
        <v>53</v>
      </c>
      <c r="E16" s="250" t="s">
        <v>51</v>
      </c>
      <c r="F16" s="246">
        <v>4450</v>
      </c>
      <c r="G16" s="249" t="s">
        <v>7</v>
      </c>
      <c r="H16" s="248">
        <v>4</v>
      </c>
      <c r="I16" s="247"/>
      <c r="O16" s="246">
        <v>0</v>
      </c>
      <c r="P16" s="246">
        <v>10</v>
      </c>
      <c r="Q16" s="246">
        <v>8</v>
      </c>
      <c r="R16" s="246">
        <v>13</v>
      </c>
      <c r="S16" s="246">
        <v>5</v>
      </c>
      <c r="T16" s="246">
        <v>5</v>
      </c>
      <c r="U16" s="246">
        <v>9</v>
      </c>
      <c r="V16" s="246">
        <v>8</v>
      </c>
      <c r="W16" s="246">
        <v>10</v>
      </c>
      <c r="X16" s="246">
        <v>6</v>
      </c>
      <c r="Y16" s="246">
        <v>7</v>
      </c>
      <c r="Z16" s="246">
        <v>3</v>
      </c>
      <c r="AA16" s="246">
        <v>0</v>
      </c>
    </row>
    <row r="17" spans="1:56" ht="15.6" x14ac:dyDescent="0.3">
      <c r="A17" s="255">
        <f>DATE(($L$1-3),8,1)</f>
        <v>42217</v>
      </c>
      <c r="B17" s="254" t="s">
        <v>12</v>
      </c>
      <c r="C17" s="254">
        <f t="shared" si="0"/>
        <v>92</v>
      </c>
      <c r="D17" s="254" t="s">
        <v>50</v>
      </c>
      <c r="E17" s="254" t="s">
        <v>51</v>
      </c>
      <c r="F17" s="39">
        <v>4925</v>
      </c>
      <c r="G17" s="253" t="s">
        <v>6</v>
      </c>
      <c r="H17" s="252">
        <v>4</v>
      </c>
      <c r="I17" s="40"/>
      <c r="J17" s="39"/>
      <c r="K17" s="39"/>
      <c r="L17" s="39"/>
      <c r="M17" s="39"/>
      <c r="N17" s="39"/>
      <c r="O17" s="245">
        <f>O6+O8+O10+O12+O14+O16</f>
        <v>26</v>
      </c>
      <c r="P17" s="39">
        <v>44</v>
      </c>
      <c r="Q17" s="39">
        <v>4</v>
      </c>
      <c r="R17" s="39">
        <v>3</v>
      </c>
      <c r="S17" s="39">
        <v>5</v>
      </c>
      <c r="T17" s="39">
        <v>2</v>
      </c>
      <c r="U17" s="39">
        <v>3</v>
      </c>
      <c r="V17" s="39">
        <v>2</v>
      </c>
      <c r="W17" s="39">
        <v>1</v>
      </c>
      <c r="X17" s="39">
        <v>1</v>
      </c>
      <c r="Y17" s="39">
        <v>0</v>
      </c>
      <c r="Z17" s="39">
        <v>1</v>
      </c>
      <c r="AA17" s="39">
        <v>0</v>
      </c>
      <c r="AB17" s="39">
        <v>0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</row>
    <row r="18" spans="1:56" s="246" customFormat="1" ht="15.6" x14ac:dyDescent="0.3">
      <c r="A18" s="251">
        <f>DATE(($L$1-3),8,1)</f>
        <v>42217</v>
      </c>
      <c r="B18" s="250" t="s">
        <v>12</v>
      </c>
      <c r="C18" s="250">
        <f t="shared" si="0"/>
        <v>65</v>
      </c>
      <c r="D18" s="250" t="s">
        <v>50</v>
      </c>
      <c r="E18" s="250" t="s">
        <v>51</v>
      </c>
      <c r="F18" s="246">
        <v>4925</v>
      </c>
      <c r="G18" s="249" t="s">
        <v>7</v>
      </c>
      <c r="H18" s="248">
        <v>4</v>
      </c>
      <c r="I18" s="247"/>
      <c r="P18" s="246">
        <v>0</v>
      </c>
      <c r="Q18" s="246">
        <v>6</v>
      </c>
      <c r="R18" s="246">
        <v>8</v>
      </c>
      <c r="S18" s="246">
        <v>7</v>
      </c>
      <c r="T18" s="246">
        <v>4</v>
      </c>
      <c r="U18" s="246">
        <v>7</v>
      </c>
      <c r="V18" s="246">
        <v>5</v>
      </c>
      <c r="W18" s="246">
        <v>10</v>
      </c>
      <c r="X18" s="246">
        <v>11</v>
      </c>
      <c r="Y18" s="246">
        <v>5</v>
      </c>
      <c r="Z18" s="246">
        <v>2</v>
      </c>
      <c r="AA18" s="246">
        <v>0</v>
      </c>
      <c r="AB18" s="246">
        <v>0</v>
      </c>
    </row>
    <row r="19" spans="1:56" ht="15.6" x14ac:dyDescent="0.3">
      <c r="A19" s="255">
        <f>DATE(($L$1-3),10,1)</f>
        <v>42278</v>
      </c>
      <c r="B19" s="254" t="s">
        <v>13</v>
      </c>
      <c r="C19" s="254">
        <f t="shared" si="0"/>
        <v>156</v>
      </c>
      <c r="D19" s="254" t="s">
        <v>50</v>
      </c>
      <c r="E19" s="254" t="s">
        <v>51</v>
      </c>
      <c r="F19" s="39">
        <v>5645</v>
      </c>
      <c r="G19" s="253" t="s">
        <v>6</v>
      </c>
      <c r="H19" s="252">
        <v>3</v>
      </c>
      <c r="I19" s="40"/>
      <c r="J19" s="39"/>
      <c r="K19" s="39"/>
      <c r="L19" s="39"/>
      <c r="M19" s="39"/>
      <c r="N19" s="39"/>
      <c r="O19" s="39"/>
      <c r="P19" s="245">
        <f>P6+P8+P10+P12+P14+P16+P18</f>
        <v>41</v>
      </c>
      <c r="Q19" s="245">
        <f>Q6+Q8+Q10+Q12+Q14+Q16+Q18</f>
        <v>51</v>
      </c>
      <c r="R19" s="39">
        <v>43</v>
      </c>
      <c r="S19" s="39">
        <v>2</v>
      </c>
      <c r="T19" s="39">
        <v>4</v>
      </c>
      <c r="U19" s="39">
        <v>3</v>
      </c>
      <c r="V19" s="39">
        <v>4</v>
      </c>
      <c r="W19" s="39">
        <v>2</v>
      </c>
      <c r="X19" s="39">
        <v>1</v>
      </c>
      <c r="Y19" s="39">
        <v>3</v>
      </c>
      <c r="Z19" s="39">
        <v>0</v>
      </c>
      <c r="AA19" s="39">
        <v>0</v>
      </c>
      <c r="AB19" s="39">
        <v>1</v>
      </c>
      <c r="AC19" s="39">
        <v>0</v>
      </c>
      <c r="AD19" s="39">
        <v>1</v>
      </c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</row>
    <row r="20" spans="1:56" s="246" customFormat="1" ht="15.6" x14ac:dyDescent="0.3">
      <c r="A20" s="251">
        <f>DATE(($L$1-3),10,1)</f>
        <v>42278</v>
      </c>
      <c r="B20" s="250" t="s">
        <v>13</v>
      </c>
      <c r="C20" s="250">
        <f t="shared" si="0"/>
        <v>62</v>
      </c>
      <c r="D20" s="250" t="s">
        <v>50</v>
      </c>
      <c r="E20" s="250" t="s">
        <v>51</v>
      </c>
      <c r="F20" s="246">
        <v>5645</v>
      </c>
      <c r="G20" s="249" t="s">
        <v>7</v>
      </c>
      <c r="H20" s="248">
        <v>3</v>
      </c>
      <c r="I20" s="247"/>
      <c r="R20" s="246">
        <v>0</v>
      </c>
      <c r="S20" s="246">
        <v>8</v>
      </c>
      <c r="T20" s="246">
        <v>6</v>
      </c>
      <c r="U20" s="246">
        <v>4</v>
      </c>
      <c r="V20" s="246">
        <v>5</v>
      </c>
      <c r="W20" s="246">
        <v>5</v>
      </c>
      <c r="X20" s="246">
        <v>7</v>
      </c>
      <c r="Y20" s="246">
        <v>8</v>
      </c>
      <c r="Z20" s="246">
        <v>7</v>
      </c>
      <c r="AA20" s="246">
        <v>6</v>
      </c>
      <c r="AB20" s="246">
        <v>3</v>
      </c>
      <c r="AC20" s="246">
        <v>2</v>
      </c>
      <c r="AD20" s="246">
        <v>1</v>
      </c>
    </row>
    <row r="21" spans="1:56" ht="15.6" x14ac:dyDescent="0.3">
      <c r="A21" s="255">
        <f>DATE(($L$1-3),11,1)</f>
        <v>42309</v>
      </c>
      <c r="B21" s="254" t="s">
        <v>15</v>
      </c>
      <c r="C21" s="254">
        <f t="shared" si="0"/>
        <v>115</v>
      </c>
      <c r="D21" s="254" t="s">
        <v>50</v>
      </c>
      <c r="E21" s="254" t="s">
        <v>52</v>
      </c>
      <c r="F21" s="39">
        <v>6323</v>
      </c>
      <c r="G21" s="253" t="s">
        <v>6</v>
      </c>
      <c r="H21" s="252">
        <v>2</v>
      </c>
      <c r="I21" s="40"/>
      <c r="J21" s="39"/>
      <c r="K21" s="39"/>
      <c r="L21" s="39"/>
      <c r="M21" s="39"/>
      <c r="N21" s="39"/>
      <c r="O21" s="39"/>
      <c r="P21" s="39"/>
      <c r="Q21" s="39"/>
      <c r="R21" s="245">
        <f>R6+R8+R10+R12+R14+R16+R18+R20</f>
        <v>55</v>
      </c>
      <c r="S21" s="39">
        <v>38</v>
      </c>
      <c r="T21" s="39">
        <v>4</v>
      </c>
      <c r="U21" s="39">
        <v>3</v>
      </c>
      <c r="V21" s="39">
        <v>5</v>
      </c>
      <c r="W21" s="39">
        <v>2</v>
      </c>
      <c r="X21" s="39">
        <v>3</v>
      </c>
      <c r="Y21" s="39">
        <v>2</v>
      </c>
      <c r="Z21" s="39">
        <v>1</v>
      </c>
      <c r="AA21" s="39">
        <v>1</v>
      </c>
      <c r="AB21" s="39">
        <v>0</v>
      </c>
      <c r="AC21" s="39">
        <v>1</v>
      </c>
      <c r="AD21" s="39">
        <v>0</v>
      </c>
      <c r="AE21" s="39">
        <v>0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</row>
    <row r="22" spans="1:56" s="246" customFormat="1" ht="15.6" x14ac:dyDescent="0.3">
      <c r="A22" s="251">
        <f>DATE(($L$1-3),11,1)</f>
        <v>42309</v>
      </c>
      <c r="B22" s="250" t="s">
        <v>15</v>
      </c>
      <c r="C22" s="250">
        <f t="shared" si="0"/>
        <v>59</v>
      </c>
      <c r="D22" s="250" t="s">
        <v>50</v>
      </c>
      <c r="E22" s="250" t="s">
        <v>52</v>
      </c>
      <c r="F22" s="246">
        <v>6323</v>
      </c>
      <c r="G22" s="249" t="s">
        <v>7</v>
      </c>
      <c r="H22" s="248">
        <v>2</v>
      </c>
      <c r="I22" s="247"/>
      <c r="S22" s="246">
        <v>0</v>
      </c>
      <c r="T22" s="246">
        <v>6</v>
      </c>
      <c r="U22" s="246">
        <v>6</v>
      </c>
      <c r="V22" s="246">
        <v>7</v>
      </c>
      <c r="W22" s="246">
        <v>4</v>
      </c>
      <c r="X22" s="246">
        <v>7</v>
      </c>
      <c r="Y22" s="246">
        <v>5</v>
      </c>
      <c r="Z22" s="246">
        <v>6</v>
      </c>
      <c r="AA22" s="246">
        <v>11</v>
      </c>
      <c r="AB22" s="246">
        <v>5</v>
      </c>
      <c r="AC22" s="246">
        <v>2</v>
      </c>
      <c r="AD22" s="246">
        <v>0</v>
      </c>
      <c r="AE22" s="246">
        <v>0</v>
      </c>
    </row>
    <row r="23" spans="1:56" ht="15.6" x14ac:dyDescent="0.3">
      <c r="A23" s="255">
        <f>DATE(($L$1-3),12,1)</f>
        <v>42339</v>
      </c>
      <c r="B23" s="254" t="s">
        <v>16</v>
      </c>
      <c r="C23" s="254">
        <f t="shared" si="0"/>
        <v>119</v>
      </c>
      <c r="D23" s="254" t="s">
        <v>50</v>
      </c>
      <c r="E23" s="254" t="s">
        <v>52</v>
      </c>
      <c r="F23" s="39">
        <v>3809</v>
      </c>
      <c r="G23" s="253" t="s">
        <v>6</v>
      </c>
      <c r="H23" s="252">
        <v>3</v>
      </c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245">
        <f>S6+S8+S10+S12+S14+S16+S18+S20+S22</f>
        <v>56</v>
      </c>
      <c r="T23" s="39">
        <v>42</v>
      </c>
      <c r="U23" s="39">
        <v>2</v>
      </c>
      <c r="V23" s="39">
        <v>4</v>
      </c>
      <c r="W23" s="39">
        <v>3</v>
      </c>
      <c r="X23" s="39">
        <v>4</v>
      </c>
      <c r="Y23" s="39">
        <v>2</v>
      </c>
      <c r="Z23" s="39">
        <v>1</v>
      </c>
      <c r="AA23" s="39">
        <v>3</v>
      </c>
      <c r="AB23" s="39">
        <v>0</v>
      </c>
      <c r="AC23" s="39">
        <v>0</v>
      </c>
      <c r="AD23" s="39">
        <v>1</v>
      </c>
      <c r="AE23" s="39">
        <v>0</v>
      </c>
      <c r="AF23" s="39">
        <v>1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</row>
    <row r="24" spans="1:56" s="246" customFormat="1" ht="15.6" x14ac:dyDescent="0.3">
      <c r="A24" s="251">
        <f>DATE(($L$1-3),12,1)</f>
        <v>42339</v>
      </c>
      <c r="B24" s="250" t="s">
        <v>16</v>
      </c>
      <c r="C24" s="250">
        <f t="shared" si="0"/>
        <v>61</v>
      </c>
      <c r="D24" s="250" t="s">
        <v>50</v>
      </c>
      <c r="E24" s="250" t="s">
        <v>52</v>
      </c>
      <c r="F24" s="246">
        <v>3809</v>
      </c>
      <c r="G24" s="249" t="s">
        <v>7</v>
      </c>
      <c r="H24" s="248">
        <v>3</v>
      </c>
      <c r="I24" s="247"/>
      <c r="T24" s="246">
        <v>0</v>
      </c>
      <c r="U24" s="246">
        <v>8</v>
      </c>
      <c r="V24" s="246">
        <v>6</v>
      </c>
      <c r="W24" s="246">
        <v>4</v>
      </c>
      <c r="X24" s="246">
        <v>5</v>
      </c>
      <c r="Y24" s="246">
        <v>5</v>
      </c>
      <c r="Z24" s="246">
        <v>7</v>
      </c>
      <c r="AA24" s="246">
        <v>8</v>
      </c>
      <c r="AB24" s="246">
        <v>6</v>
      </c>
      <c r="AC24" s="246">
        <v>6</v>
      </c>
      <c r="AD24" s="246">
        <v>3</v>
      </c>
      <c r="AE24" s="246">
        <v>2</v>
      </c>
      <c r="AF24" s="246">
        <v>1</v>
      </c>
    </row>
    <row r="25" spans="1:56" ht="15.6" x14ac:dyDescent="0.3">
      <c r="A25" s="255">
        <f>DATE(($L$1-2),1,1)</f>
        <v>42370</v>
      </c>
      <c r="B25" s="254" t="s">
        <v>29</v>
      </c>
      <c r="C25" s="254">
        <f t="shared" si="0"/>
        <v>111</v>
      </c>
      <c r="D25" s="254" t="s">
        <v>53</v>
      </c>
      <c r="E25" s="254" t="s">
        <v>51</v>
      </c>
      <c r="F25" s="39">
        <v>2900</v>
      </c>
      <c r="G25" s="253" t="s">
        <v>6</v>
      </c>
      <c r="H25" s="252">
        <v>4</v>
      </c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245">
        <f>T6+T8+T10+T12+T14+T16+T18+T20+T22+T24</f>
        <v>50</v>
      </c>
      <c r="U25" s="39">
        <v>40</v>
      </c>
      <c r="V25" s="39">
        <v>2</v>
      </c>
      <c r="W25" s="39">
        <v>6</v>
      </c>
      <c r="X25" s="39">
        <v>2</v>
      </c>
      <c r="Y25" s="39">
        <v>1</v>
      </c>
      <c r="Z25" s="39">
        <v>2</v>
      </c>
      <c r="AA25" s="39">
        <v>3</v>
      </c>
      <c r="AB25" s="39">
        <v>2</v>
      </c>
      <c r="AC25" s="39">
        <v>1</v>
      </c>
      <c r="AD25" s="39">
        <v>0</v>
      </c>
      <c r="AE25" s="39">
        <v>1</v>
      </c>
      <c r="AF25" s="39">
        <v>0</v>
      </c>
      <c r="AG25" s="39">
        <v>1</v>
      </c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</row>
    <row r="26" spans="1:56" s="246" customFormat="1" ht="15.6" x14ac:dyDescent="0.3">
      <c r="A26" s="251">
        <f>DATE(($L$1-2),1,1)</f>
        <v>42370</v>
      </c>
      <c r="B26" s="250" t="s">
        <v>29</v>
      </c>
      <c r="C26" s="250">
        <f t="shared" si="0"/>
        <v>59</v>
      </c>
      <c r="D26" s="250" t="s">
        <v>53</v>
      </c>
      <c r="E26" s="250" t="s">
        <v>51</v>
      </c>
      <c r="F26" s="246">
        <v>2900</v>
      </c>
      <c r="G26" s="249" t="s">
        <v>7</v>
      </c>
      <c r="H26" s="248">
        <v>4</v>
      </c>
      <c r="I26" s="247"/>
      <c r="U26" s="246">
        <v>0</v>
      </c>
      <c r="V26" s="246">
        <v>5</v>
      </c>
      <c r="W26" s="246">
        <v>4</v>
      </c>
      <c r="X26" s="246">
        <v>6</v>
      </c>
      <c r="Y26" s="246">
        <v>7</v>
      </c>
      <c r="Z26" s="246">
        <v>3</v>
      </c>
      <c r="AA26" s="246">
        <v>2</v>
      </c>
      <c r="AB26" s="246">
        <v>9</v>
      </c>
      <c r="AC26" s="246">
        <v>8</v>
      </c>
      <c r="AD26" s="246">
        <v>5</v>
      </c>
      <c r="AE26" s="246">
        <v>6</v>
      </c>
      <c r="AF26" s="246">
        <v>4</v>
      </c>
      <c r="AG26" s="246">
        <v>0</v>
      </c>
    </row>
    <row r="27" spans="1:56" ht="15.6" x14ac:dyDescent="0.3">
      <c r="A27" s="255">
        <f>DATE(($L$1-2),2,15)</f>
        <v>42415</v>
      </c>
      <c r="B27" s="254" t="s">
        <v>30</v>
      </c>
      <c r="C27" s="254">
        <f t="shared" si="0"/>
        <v>103</v>
      </c>
      <c r="D27" s="254" t="s">
        <v>53</v>
      </c>
      <c r="E27" s="254" t="s">
        <v>52</v>
      </c>
      <c r="F27" s="39">
        <v>3800</v>
      </c>
      <c r="G27" s="253" t="s">
        <v>6</v>
      </c>
      <c r="H27" s="252">
        <v>3</v>
      </c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45">
        <f>U6+U8+U10+U12+U14+U16+U18+U20+U22+U24+U26</f>
        <v>54</v>
      </c>
      <c r="V27" s="39">
        <v>25</v>
      </c>
      <c r="W27" s="39">
        <v>4</v>
      </c>
      <c r="X27" s="39">
        <v>6</v>
      </c>
      <c r="Y27" s="39">
        <v>3</v>
      </c>
      <c r="Z27" s="39">
        <v>1</v>
      </c>
      <c r="AA27" s="39">
        <v>2</v>
      </c>
      <c r="AB27" s="39">
        <v>2</v>
      </c>
      <c r="AC27" s="39">
        <v>3</v>
      </c>
      <c r="AD27" s="39">
        <v>1</v>
      </c>
      <c r="AE27" s="39">
        <v>0</v>
      </c>
      <c r="AF27" s="39">
        <v>1</v>
      </c>
      <c r="AG27" s="39">
        <v>0</v>
      </c>
      <c r="AH27" s="39">
        <v>1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</row>
    <row r="28" spans="1:56" s="246" customFormat="1" ht="15.6" x14ac:dyDescent="0.3">
      <c r="A28" s="251">
        <f>DATE(($L$1-2),2,15)</f>
        <v>42415</v>
      </c>
      <c r="B28" s="250" t="s">
        <v>30</v>
      </c>
      <c r="C28" s="250">
        <f t="shared" si="0"/>
        <v>49</v>
      </c>
      <c r="D28" s="250" t="s">
        <v>53</v>
      </c>
      <c r="E28" s="250" t="s">
        <v>52</v>
      </c>
      <c r="F28" s="246">
        <v>3800</v>
      </c>
      <c r="G28" s="249" t="s">
        <v>7</v>
      </c>
      <c r="H28" s="248">
        <v>3</v>
      </c>
      <c r="I28" s="247"/>
      <c r="V28" s="246">
        <v>0</v>
      </c>
      <c r="W28" s="246">
        <v>4</v>
      </c>
      <c r="X28" s="246">
        <v>8</v>
      </c>
      <c r="Y28" s="246">
        <v>3</v>
      </c>
      <c r="Z28" s="246">
        <v>5</v>
      </c>
      <c r="AA28" s="246">
        <v>5</v>
      </c>
      <c r="AB28" s="246">
        <v>7</v>
      </c>
      <c r="AC28" s="246">
        <v>8</v>
      </c>
      <c r="AD28" s="246">
        <v>6</v>
      </c>
      <c r="AE28" s="246">
        <v>1</v>
      </c>
      <c r="AF28" s="246">
        <v>0</v>
      </c>
      <c r="AG28" s="246">
        <v>1</v>
      </c>
      <c r="AH28" s="246">
        <v>1</v>
      </c>
    </row>
    <row r="29" spans="1:56" ht="15.6" x14ac:dyDescent="0.3">
      <c r="A29" s="255">
        <f>DATE(($L$1-2),3,1)</f>
        <v>42430</v>
      </c>
      <c r="B29" s="254" t="s">
        <v>31</v>
      </c>
      <c r="C29" s="254">
        <f t="shared" si="0"/>
        <v>112</v>
      </c>
      <c r="D29" s="254" t="s">
        <v>50</v>
      </c>
      <c r="E29" s="254" t="s">
        <v>51</v>
      </c>
      <c r="F29" s="39">
        <v>5215</v>
      </c>
      <c r="G29" s="253" t="s">
        <v>6</v>
      </c>
      <c r="H29" s="252">
        <v>4</v>
      </c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245">
        <f>V8+V10+V12+V14+V16+V18+V20+V22+V24+V26+V28</f>
        <v>53</v>
      </c>
      <c r="W29" s="39">
        <v>36</v>
      </c>
      <c r="X29" s="39">
        <v>3</v>
      </c>
      <c r="Y29" s="39">
        <v>4</v>
      </c>
      <c r="Z29" s="39">
        <v>5</v>
      </c>
      <c r="AA29" s="39">
        <v>1</v>
      </c>
      <c r="AB29" s="39">
        <v>4</v>
      </c>
      <c r="AC29" s="39">
        <v>1</v>
      </c>
      <c r="AD29" s="39">
        <v>2</v>
      </c>
      <c r="AE29" s="39">
        <v>1</v>
      </c>
      <c r="AF29" s="39">
        <v>0</v>
      </c>
      <c r="AG29" s="39">
        <v>1</v>
      </c>
      <c r="AH29" s="39">
        <v>0</v>
      </c>
      <c r="AI29" s="39">
        <v>1</v>
      </c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</row>
    <row r="30" spans="1:56" s="246" customFormat="1" ht="15.6" x14ac:dyDescent="0.3">
      <c r="A30" s="251">
        <f>DATE(($L$1-2),3,1)</f>
        <v>42430</v>
      </c>
      <c r="B30" s="250" t="s">
        <v>31</v>
      </c>
      <c r="C30" s="250">
        <f t="shared" si="0"/>
        <v>59</v>
      </c>
      <c r="D30" s="250" t="s">
        <v>50</v>
      </c>
      <c r="E30" s="250" t="s">
        <v>51</v>
      </c>
      <c r="F30" s="246">
        <v>5215</v>
      </c>
      <c r="G30" s="249" t="s">
        <v>7</v>
      </c>
      <c r="H30" s="248">
        <v>4</v>
      </c>
      <c r="I30" s="247"/>
      <c r="W30" s="246">
        <v>0</v>
      </c>
      <c r="X30" s="246">
        <v>6</v>
      </c>
      <c r="Y30" s="246">
        <v>7</v>
      </c>
      <c r="Z30" s="246">
        <v>5</v>
      </c>
      <c r="AA30" s="246">
        <v>4</v>
      </c>
      <c r="AB30" s="246">
        <v>6</v>
      </c>
      <c r="AC30" s="246">
        <v>3</v>
      </c>
      <c r="AD30" s="246">
        <v>10</v>
      </c>
      <c r="AE30" s="246">
        <v>10</v>
      </c>
      <c r="AF30" s="246">
        <v>5</v>
      </c>
      <c r="AG30" s="246">
        <v>2</v>
      </c>
      <c r="AH30" s="246">
        <v>0</v>
      </c>
      <c r="AI30" s="246">
        <v>1</v>
      </c>
    </row>
    <row r="31" spans="1:56" ht="15.6" x14ac:dyDescent="0.3">
      <c r="A31" s="255">
        <f>DATE(($L$1-2),5,1)</f>
        <v>42491</v>
      </c>
      <c r="B31" s="254" t="s">
        <v>6</v>
      </c>
      <c r="C31" s="254">
        <f t="shared" si="0"/>
        <v>160</v>
      </c>
      <c r="D31" s="254" t="s">
        <v>50</v>
      </c>
      <c r="E31" s="254" t="s">
        <v>51</v>
      </c>
      <c r="F31" s="39">
        <v>3900</v>
      </c>
      <c r="G31" s="253" t="s">
        <v>6</v>
      </c>
      <c r="H31" s="252">
        <v>2</v>
      </c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245">
        <f>W10+W12+W14+W16+W18+W20+W22+W24+W26+W28+W30</f>
        <v>48</v>
      </c>
      <c r="X31" s="245">
        <f>X12+X14+X16+X18+X20+X22+X24+X26+X28+X30</f>
        <v>63</v>
      </c>
      <c r="Y31" s="39">
        <v>28</v>
      </c>
      <c r="Z31" s="39">
        <v>2</v>
      </c>
      <c r="AA31" s="39">
        <v>3</v>
      </c>
      <c r="AB31" s="39">
        <v>4</v>
      </c>
      <c r="AC31" s="39">
        <v>3</v>
      </c>
      <c r="AD31" s="39">
        <v>3</v>
      </c>
      <c r="AE31" s="39">
        <v>2</v>
      </c>
      <c r="AF31" s="39">
        <v>2</v>
      </c>
      <c r="AG31" s="39">
        <v>1</v>
      </c>
      <c r="AH31" s="39">
        <v>0</v>
      </c>
      <c r="AI31" s="39">
        <v>1</v>
      </c>
      <c r="AJ31" s="39">
        <v>0</v>
      </c>
      <c r="AK31" s="39">
        <v>0</v>
      </c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</row>
    <row r="32" spans="1:56" s="246" customFormat="1" ht="15.6" x14ac:dyDescent="0.3">
      <c r="A32" s="251">
        <f>DATE(($L$1-2),5,1)</f>
        <v>42491</v>
      </c>
      <c r="B32" s="250" t="s">
        <v>6</v>
      </c>
      <c r="C32" s="250">
        <f t="shared" si="0"/>
        <v>49</v>
      </c>
      <c r="D32" s="250" t="s">
        <v>50</v>
      </c>
      <c r="E32" s="250" t="s">
        <v>51</v>
      </c>
      <c r="F32" s="246">
        <v>3900</v>
      </c>
      <c r="G32" s="249" t="s">
        <v>7</v>
      </c>
      <c r="H32" s="248">
        <v>2</v>
      </c>
      <c r="I32" s="247"/>
      <c r="Y32" s="246">
        <v>0</v>
      </c>
      <c r="Z32" s="246">
        <v>8</v>
      </c>
      <c r="AA32" s="246">
        <v>4</v>
      </c>
      <c r="AB32" s="246">
        <v>4</v>
      </c>
      <c r="AC32" s="246">
        <v>5</v>
      </c>
      <c r="AD32" s="246">
        <v>5</v>
      </c>
      <c r="AE32" s="246">
        <v>7</v>
      </c>
      <c r="AF32" s="246">
        <v>8</v>
      </c>
      <c r="AG32" s="246">
        <v>4</v>
      </c>
      <c r="AH32" s="246">
        <v>1</v>
      </c>
      <c r="AI32" s="246">
        <v>2</v>
      </c>
      <c r="AJ32" s="246">
        <v>1</v>
      </c>
      <c r="AK32" s="246">
        <v>0</v>
      </c>
    </row>
    <row r="33" spans="1:56" ht="15.6" x14ac:dyDescent="0.3">
      <c r="A33" s="255">
        <f>DATE(($L$1-2),6,15)</f>
        <v>42536</v>
      </c>
      <c r="B33" s="254" t="s">
        <v>32</v>
      </c>
      <c r="C33" s="254">
        <f t="shared" si="0"/>
        <v>114</v>
      </c>
      <c r="D33" s="254" t="s">
        <v>53</v>
      </c>
      <c r="E33" s="254" t="s">
        <v>52</v>
      </c>
      <c r="F33" s="39">
        <v>5100</v>
      </c>
      <c r="G33" s="253" t="s">
        <v>6</v>
      </c>
      <c r="H33" s="252">
        <v>3</v>
      </c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5">
        <f>Y12+Y14+Y16+Y18+Y20+Y22+Y24+Y26+Y28+Y30+Y32</f>
        <v>51</v>
      </c>
      <c r="Z33" s="39">
        <v>43</v>
      </c>
      <c r="AA33" s="39">
        <v>2</v>
      </c>
      <c r="AB33" s="39">
        <v>6</v>
      </c>
      <c r="AC33" s="39">
        <v>2</v>
      </c>
      <c r="AD33" s="39">
        <v>1</v>
      </c>
      <c r="AE33" s="39">
        <v>2</v>
      </c>
      <c r="AF33" s="39">
        <v>3</v>
      </c>
      <c r="AG33" s="39">
        <v>2</v>
      </c>
      <c r="AH33" s="39">
        <v>1</v>
      </c>
      <c r="AI33" s="39">
        <v>0</v>
      </c>
      <c r="AJ33" s="39">
        <v>1</v>
      </c>
      <c r="AK33" s="39">
        <v>0</v>
      </c>
      <c r="AL33" s="39">
        <v>0</v>
      </c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spans="1:56" s="246" customFormat="1" ht="15.6" x14ac:dyDescent="0.3">
      <c r="A34" s="251">
        <f>DATE(($L$1-2),6,15)</f>
        <v>42536</v>
      </c>
      <c r="B34" s="250" t="s">
        <v>32</v>
      </c>
      <c r="C34" s="250">
        <f t="shared" si="0"/>
        <v>62</v>
      </c>
      <c r="D34" s="250" t="s">
        <v>53</v>
      </c>
      <c r="E34" s="250" t="s">
        <v>52</v>
      </c>
      <c r="F34" s="246">
        <v>5100</v>
      </c>
      <c r="G34" s="249" t="s">
        <v>7</v>
      </c>
      <c r="H34" s="248">
        <v>3</v>
      </c>
      <c r="I34" s="247"/>
      <c r="Z34" s="246">
        <v>0</v>
      </c>
      <c r="AA34" s="246">
        <v>5</v>
      </c>
      <c r="AB34" s="246">
        <v>4</v>
      </c>
      <c r="AC34" s="246">
        <v>6</v>
      </c>
      <c r="AD34" s="246">
        <v>7</v>
      </c>
      <c r="AE34" s="246">
        <v>3</v>
      </c>
      <c r="AF34" s="246">
        <v>5</v>
      </c>
      <c r="AG34" s="246">
        <v>9</v>
      </c>
      <c r="AH34" s="246">
        <v>8</v>
      </c>
      <c r="AI34" s="246">
        <v>5</v>
      </c>
      <c r="AJ34" s="246">
        <v>6</v>
      </c>
      <c r="AK34" s="246">
        <v>4</v>
      </c>
      <c r="AL34" s="246">
        <v>0</v>
      </c>
    </row>
    <row r="35" spans="1:56" ht="15.6" x14ac:dyDescent="0.3">
      <c r="A35" s="255">
        <f>DATE(($L$1-2),7,1)</f>
        <v>42552</v>
      </c>
      <c r="B35" s="254" t="s">
        <v>33</v>
      </c>
      <c r="C35" s="254">
        <f t="shared" si="0"/>
        <v>100</v>
      </c>
      <c r="D35" s="254" t="s">
        <v>50</v>
      </c>
      <c r="E35" s="254" t="s">
        <v>51</v>
      </c>
      <c r="F35" s="39">
        <v>5330</v>
      </c>
      <c r="G35" s="253" t="s">
        <v>6</v>
      </c>
      <c r="H35" s="252">
        <v>4</v>
      </c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245">
        <f>Z14+Z16+Z18+Z20+Z22+Z24+Z26+Z28+Z30+Z32+Z34</f>
        <v>47</v>
      </c>
      <c r="AA35" s="39">
        <v>30</v>
      </c>
      <c r="AB35" s="39">
        <v>6</v>
      </c>
      <c r="AC35" s="39">
        <v>4</v>
      </c>
      <c r="AD35" s="39">
        <v>1</v>
      </c>
      <c r="AE35" s="39">
        <v>3</v>
      </c>
      <c r="AF35" s="39">
        <v>2</v>
      </c>
      <c r="AG35" s="39">
        <v>2</v>
      </c>
      <c r="AH35" s="39">
        <v>3</v>
      </c>
      <c r="AI35" s="39">
        <v>1</v>
      </c>
      <c r="AJ35" s="39">
        <v>0</v>
      </c>
      <c r="AK35" s="39">
        <v>1</v>
      </c>
      <c r="AL35" s="39">
        <v>0</v>
      </c>
      <c r="AM35" s="39">
        <v>0</v>
      </c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</row>
    <row r="36" spans="1:56" s="246" customFormat="1" ht="15.6" x14ac:dyDescent="0.3">
      <c r="A36" s="251">
        <f>DATE(($L$1-2),7,1)</f>
        <v>42552</v>
      </c>
      <c r="B36" s="250" t="s">
        <v>33</v>
      </c>
      <c r="C36" s="250">
        <f t="shared" si="0"/>
        <v>53</v>
      </c>
      <c r="D36" s="250" t="s">
        <v>50</v>
      </c>
      <c r="E36" s="250" t="s">
        <v>51</v>
      </c>
      <c r="F36" s="246">
        <v>5330</v>
      </c>
      <c r="G36" s="249" t="s">
        <v>7</v>
      </c>
      <c r="H36" s="248">
        <v>4</v>
      </c>
      <c r="I36" s="247"/>
      <c r="AA36" s="246">
        <v>0</v>
      </c>
      <c r="AB36" s="246">
        <v>4</v>
      </c>
      <c r="AC36" s="246">
        <v>8</v>
      </c>
      <c r="AD36" s="246">
        <v>6</v>
      </c>
      <c r="AE36" s="246">
        <v>8</v>
      </c>
      <c r="AF36" s="246">
        <v>5</v>
      </c>
      <c r="AG36" s="246">
        <v>7</v>
      </c>
      <c r="AH36" s="246">
        <v>6</v>
      </c>
      <c r="AI36" s="246">
        <v>7</v>
      </c>
      <c r="AJ36" s="246">
        <v>1</v>
      </c>
      <c r="AK36" s="246">
        <v>0</v>
      </c>
      <c r="AL36" s="246">
        <v>1</v>
      </c>
      <c r="AM36" s="246">
        <v>0</v>
      </c>
    </row>
    <row r="37" spans="1:56" ht="15.6" x14ac:dyDescent="0.3">
      <c r="A37" s="255">
        <f>DATE(($L$1-2),8,1)</f>
        <v>42583</v>
      </c>
      <c r="B37" s="254" t="s">
        <v>34</v>
      </c>
      <c r="C37" s="254">
        <f t="shared" ref="C37:C64" si="1">SUM(I37:BD37)</f>
        <v>103</v>
      </c>
      <c r="D37" s="254" t="s">
        <v>50</v>
      </c>
      <c r="E37" s="254" t="s">
        <v>52</v>
      </c>
      <c r="F37" s="39">
        <v>5455</v>
      </c>
      <c r="G37" s="253" t="s">
        <v>6</v>
      </c>
      <c r="H37" s="252">
        <v>2</v>
      </c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245">
        <f>AA16+AA18+AA20+AA22+AA24+AA26+AA28+AA30+AA32+AA34+AA36</f>
        <v>45</v>
      </c>
      <c r="AB37" s="39">
        <v>36</v>
      </c>
      <c r="AC37" s="39">
        <v>3</v>
      </c>
      <c r="AD37" s="39">
        <v>4</v>
      </c>
      <c r="AE37" s="39">
        <v>5</v>
      </c>
      <c r="AF37" s="39">
        <v>1</v>
      </c>
      <c r="AG37" s="39">
        <v>4</v>
      </c>
      <c r="AH37" s="39">
        <v>1</v>
      </c>
      <c r="AI37" s="39">
        <v>2</v>
      </c>
      <c r="AJ37" s="39">
        <v>1</v>
      </c>
      <c r="AK37" s="39">
        <v>0</v>
      </c>
      <c r="AL37" s="39">
        <v>1</v>
      </c>
      <c r="AM37" s="39">
        <v>0</v>
      </c>
      <c r="AN37" s="39">
        <v>0</v>
      </c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</row>
    <row r="38" spans="1:56" s="246" customFormat="1" ht="15.6" x14ac:dyDescent="0.3">
      <c r="A38" s="251">
        <f>DATE(($L$1-2),8,1)</f>
        <v>42583</v>
      </c>
      <c r="B38" s="250" t="s">
        <v>34</v>
      </c>
      <c r="C38" s="250">
        <f t="shared" si="1"/>
        <v>58</v>
      </c>
      <c r="D38" s="250" t="s">
        <v>50</v>
      </c>
      <c r="E38" s="250" t="s">
        <v>52</v>
      </c>
      <c r="F38" s="246">
        <v>5455</v>
      </c>
      <c r="G38" s="249" t="s">
        <v>7</v>
      </c>
      <c r="H38" s="248">
        <v>2</v>
      </c>
      <c r="I38" s="247"/>
      <c r="AB38" s="246">
        <v>0</v>
      </c>
      <c r="AC38" s="246">
        <v>6</v>
      </c>
      <c r="AD38" s="246">
        <v>7</v>
      </c>
      <c r="AE38" s="246">
        <v>5</v>
      </c>
      <c r="AF38" s="246">
        <v>4</v>
      </c>
      <c r="AG38" s="246">
        <v>6</v>
      </c>
      <c r="AH38" s="246">
        <v>3</v>
      </c>
      <c r="AI38" s="246">
        <v>10</v>
      </c>
      <c r="AJ38" s="246">
        <v>10</v>
      </c>
      <c r="AK38" s="246">
        <v>5</v>
      </c>
      <c r="AL38" s="246">
        <v>2</v>
      </c>
      <c r="AM38" s="246">
        <v>0</v>
      </c>
      <c r="AN38" s="246">
        <v>0</v>
      </c>
    </row>
    <row r="39" spans="1:56" ht="15.6" x14ac:dyDescent="0.3">
      <c r="A39" s="255">
        <f>DATE(($L$1-2),10,1)</f>
        <v>42644</v>
      </c>
      <c r="B39" s="254" t="s">
        <v>35</v>
      </c>
      <c r="C39" s="254">
        <f t="shared" si="1"/>
        <v>151</v>
      </c>
      <c r="D39" s="254" t="s">
        <v>50</v>
      </c>
      <c r="E39" s="254" t="s">
        <v>52</v>
      </c>
      <c r="F39" s="39">
        <v>6200</v>
      </c>
      <c r="G39" s="253" t="s">
        <v>6</v>
      </c>
      <c r="H39" s="252">
        <v>2</v>
      </c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245">
        <f>AB18+AB20+AB22+AB24+AB26+AB28+AB30+AB32+AB34+AB36+AB38</f>
        <v>48</v>
      </c>
      <c r="AC39" s="245">
        <f>AC20+AC22+AC24+AC26+AC28+AC30+AC32+AC34+AC36+AC38</f>
        <v>54</v>
      </c>
      <c r="AD39" s="39">
        <v>28</v>
      </c>
      <c r="AE39" s="39">
        <v>2</v>
      </c>
      <c r="AF39" s="39">
        <v>3</v>
      </c>
      <c r="AG39" s="39">
        <v>4</v>
      </c>
      <c r="AH39" s="39">
        <v>3</v>
      </c>
      <c r="AI39" s="39">
        <v>3</v>
      </c>
      <c r="AJ39" s="39">
        <v>2</v>
      </c>
      <c r="AK39" s="39">
        <v>2</v>
      </c>
      <c r="AL39" s="39">
        <v>1</v>
      </c>
      <c r="AM39" s="39">
        <v>0</v>
      </c>
      <c r="AN39" s="39">
        <v>1</v>
      </c>
      <c r="AO39" s="39">
        <v>0</v>
      </c>
      <c r="AP39" s="39">
        <v>0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</row>
    <row r="40" spans="1:56" s="246" customFormat="1" ht="15.6" x14ac:dyDescent="0.3">
      <c r="A40" s="251">
        <f>DATE(($L$1-2),10,1)</f>
        <v>42644</v>
      </c>
      <c r="B40" s="250" t="s">
        <v>35</v>
      </c>
      <c r="C40" s="250">
        <f t="shared" si="1"/>
        <v>49</v>
      </c>
      <c r="D40" s="250" t="s">
        <v>50</v>
      </c>
      <c r="E40" s="250" t="s">
        <v>52</v>
      </c>
      <c r="F40" s="246">
        <v>6200</v>
      </c>
      <c r="G40" s="249" t="s">
        <v>7</v>
      </c>
      <c r="H40" s="248">
        <v>2</v>
      </c>
      <c r="I40" s="247"/>
      <c r="AD40" s="246">
        <v>0</v>
      </c>
      <c r="AE40" s="246">
        <v>8</v>
      </c>
      <c r="AF40" s="246">
        <v>4</v>
      </c>
      <c r="AG40" s="246">
        <v>4</v>
      </c>
      <c r="AH40" s="246">
        <v>5</v>
      </c>
      <c r="AI40" s="246">
        <v>5</v>
      </c>
      <c r="AJ40" s="246">
        <v>7</v>
      </c>
      <c r="AK40" s="246">
        <v>8</v>
      </c>
      <c r="AL40" s="246">
        <v>4</v>
      </c>
      <c r="AM40" s="246">
        <v>1</v>
      </c>
      <c r="AN40" s="246">
        <v>2</v>
      </c>
      <c r="AO40" s="246">
        <v>1</v>
      </c>
      <c r="AP40" s="246">
        <v>0</v>
      </c>
    </row>
    <row r="41" spans="1:56" ht="15.6" x14ac:dyDescent="0.3">
      <c r="A41" s="255">
        <f>DATE(($L$1-2),11,1)</f>
        <v>42675</v>
      </c>
      <c r="B41" s="254" t="s">
        <v>36</v>
      </c>
      <c r="C41" s="254">
        <f t="shared" si="1"/>
        <v>104</v>
      </c>
      <c r="D41" s="254" t="s">
        <v>50</v>
      </c>
      <c r="E41" s="254" t="s">
        <v>51</v>
      </c>
      <c r="F41" s="39">
        <v>7100</v>
      </c>
      <c r="G41" s="253" t="s">
        <v>6</v>
      </c>
      <c r="H41" s="252">
        <v>3</v>
      </c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245">
        <f>AD20+AD22+AD24+AD26+AD28+AD30+AD32+AD34+AD36+AD38+AD40</f>
        <v>50</v>
      </c>
      <c r="AE41" s="39">
        <v>32</v>
      </c>
      <c r="AF41" s="39">
        <v>3</v>
      </c>
      <c r="AG41" s="39">
        <v>4</v>
      </c>
      <c r="AH41" s="39">
        <v>5</v>
      </c>
      <c r="AI41" s="39">
        <v>1</v>
      </c>
      <c r="AJ41" s="39">
        <v>4</v>
      </c>
      <c r="AK41" s="39">
        <v>1</v>
      </c>
      <c r="AL41" s="39">
        <v>2</v>
      </c>
      <c r="AM41" s="39">
        <v>1</v>
      </c>
      <c r="AN41" s="39">
        <v>0</v>
      </c>
      <c r="AO41" s="39">
        <v>1</v>
      </c>
      <c r="AP41" s="39">
        <v>0</v>
      </c>
      <c r="AQ41" s="39">
        <v>0</v>
      </c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</row>
    <row r="42" spans="1:56" s="246" customFormat="1" ht="15.6" x14ac:dyDescent="0.3">
      <c r="A42" s="251">
        <f>DATE(($L$1-2),11,1)</f>
        <v>42675</v>
      </c>
      <c r="B42" s="250" t="s">
        <v>36</v>
      </c>
      <c r="C42" s="250">
        <f t="shared" si="1"/>
        <v>54</v>
      </c>
      <c r="D42" s="250" t="s">
        <v>50</v>
      </c>
      <c r="E42" s="250" t="s">
        <v>51</v>
      </c>
      <c r="F42" s="246">
        <v>7100</v>
      </c>
      <c r="G42" s="249" t="s">
        <v>7</v>
      </c>
      <c r="H42" s="248">
        <v>3</v>
      </c>
      <c r="I42" s="247"/>
      <c r="AE42" s="246">
        <v>0</v>
      </c>
      <c r="AF42" s="246">
        <v>6</v>
      </c>
      <c r="AG42" s="246">
        <v>7</v>
      </c>
      <c r="AH42" s="246">
        <v>5</v>
      </c>
      <c r="AI42" s="246">
        <v>4</v>
      </c>
      <c r="AJ42" s="246">
        <v>6</v>
      </c>
      <c r="AK42" s="246">
        <v>3</v>
      </c>
      <c r="AL42" s="246">
        <v>8</v>
      </c>
      <c r="AM42" s="246">
        <v>8</v>
      </c>
      <c r="AN42" s="246">
        <v>5</v>
      </c>
      <c r="AO42" s="246">
        <v>2</v>
      </c>
      <c r="AP42" s="246">
        <v>0</v>
      </c>
      <c r="AQ42" s="246">
        <v>0</v>
      </c>
    </row>
    <row r="43" spans="1:56" ht="15.6" x14ac:dyDescent="0.3">
      <c r="A43" s="255">
        <f>DATE(($L$1-2),12,1)</f>
        <v>42705</v>
      </c>
      <c r="B43" s="254" t="s">
        <v>37</v>
      </c>
      <c r="C43" s="254">
        <f t="shared" si="1"/>
        <v>95</v>
      </c>
      <c r="D43" s="254" t="s">
        <v>50</v>
      </c>
      <c r="E43" s="254" t="s">
        <v>52</v>
      </c>
      <c r="F43" s="39">
        <v>4204</v>
      </c>
      <c r="G43" s="253" t="s">
        <v>6</v>
      </c>
      <c r="H43" s="252">
        <v>4</v>
      </c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245">
        <f>AE22+AE24+AE26+AE28+AE30+AE32+AE34+AE36+AE38+AE40+AE42</f>
        <v>50</v>
      </c>
      <c r="AF43" s="39">
        <v>24</v>
      </c>
      <c r="AG43" s="39">
        <v>2</v>
      </c>
      <c r="AH43" s="39">
        <v>3</v>
      </c>
      <c r="AI43" s="39">
        <v>4</v>
      </c>
      <c r="AJ43" s="39">
        <v>3</v>
      </c>
      <c r="AK43" s="39">
        <v>3</v>
      </c>
      <c r="AL43" s="39">
        <v>2</v>
      </c>
      <c r="AM43" s="39">
        <v>2</v>
      </c>
      <c r="AN43" s="39">
        <v>1</v>
      </c>
      <c r="AO43" s="39">
        <v>0</v>
      </c>
      <c r="AP43" s="39">
        <v>1</v>
      </c>
      <c r="AQ43" s="39">
        <v>0</v>
      </c>
      <c r="AR43" s="39">
        <v>0</v>
      </c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 s="246" customFormat="1" ht="15.6" x14ac:dyDescent="0.3">
      <c r="A44" s="251">
        <f>DATE(($L$1-2),12,1)</f>
        <v>42705</v>
      </c>
      <c r="B44" s="250" t="s">
        <v>37</v>
      </c>
      <c r="C44" s="250">
        <f t="shared" si="1"/>
        <v>45</v>
      </c>
      <c r="D44" s="250" t="s">
        <v>50</v>
      </c>
      <c r="E44" s="250" t="s">
        <v>52</v>
      </c>
      <c r="F44" s="246">
        <v>4204</v>
      </c>
      <c r="G44" s="249" t="s">
        <v>7</v>
      </c>
      <c r="H44" s="248">
        <v>4</v>
      </c>
      <c r="I44" s="247"/>
      <c r="AF44" s="246">
        <v>0</v>
      </c>
      <c r="AG44" s="246">
        <v>8</v>
      </c>
      <c r="AH44" s="246">
        <v>4</v>
      </c>
      <c r="AI44" s="246">
        <v>4</v>
      </c>
      <c r="AJ44" s="246">
        <v>5</v>
      </c>
      <c r="AK44" s="246">
        <v>5</v>
      </c>
      <c r="AL44" s="246">
        <v>7</v>
      </c>
      <c r="AM44" s="246">
        <v>6</v>
      </c>
      <c r="AN44" s="246">
        <v>2</v>
      </c>
      <c r="AO44" s="246">
        <v>1</v>
      </c>
      <c r="AP44" s="246">
        <v>2</v>
      </c>
      <c r="AQ44" s="246">
        <v>1</v>
      </c>
      <c r="AR44" s="246">
        <v>0</v>
      </c>
    </row>
    <row r="45" spans="1:56" ht="15.6" x14ac:dyDescent="0.3">
      <c r="A45" s="255">
        <f>DATE(($L$1-1),1,1)</f>
        <v>42736</v>
      </c>
      <c r="B45" s="254" t="s">
        <v>38</v>
      </c>
      <c r="C45" s="254">
        <f t="shared" si="1"/>
        <v>132</v>
      </c>
      <c r="D45" s="254" t="s">
        <v>53</v>
      </c>
      <c r="E45" s="254" t="s">
        <v>51</v>
      </c>
      <c r="F45" s="39">
        <v>3200</v>
      </c>
      <c r="G45" s="253" t="s">
        <v>6</v>
      </c>
      <c r="H45" s="252">
        <v>4</v>
      </c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245">
        <f>AF24+AF26+AF28+AF30+AF32+AF34+AF36+AF38+AF40+AF42+AF44</f>
        <v>42</v>
      </c>
      <c r="AG45" s="39">
        <v>48</v>
      </c>
      <c r="AH45" s="39">
        <v>7</v>
      </c>
      <c r="AI45" s="39">
        <v>14</v>
      </c>
      <c r="AJ45" s="39">
        <v>10</v>
      </c>
      <c r="AK45" s="39">
        <v>5</v>
      </c>
      <c r="AL45" s="39">
        <v>2</v>
      </c>
      <c r="AM45" s="39">
        <v>1</v>
      </c>
      <c r="AN45" s="39">
        <v>2</v>
      </c>
      <c r="AO45" s="39">
        <v>1</v>
      </c>
      <c r="AP45" s="39">
        <v>0</v>
      </c>
      <c r="AQ45" s="39">
        <v>0</v>
      </c>
      <c r="AR45" s="39">
        <v>0</v>
      </c>
      <c r="AS45" s="39">
        <v>0</v>
      </c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</row>
    <row r="46" spans="1:56" s="246" customFormat="1" ht="15.6" x14ac:dyDescent="0.3">
      <c r="A46" s="251">
        <f>DATE(($L$1-1),1,1)</f>
        <v>42736</v>
      </c>
      <c r="B46" s="250" t="s">
        <v>38</v>
      </c>
      <c r="C46" s="250">
        <f t="shared" si="1"/>
        <v>74</v>
      </c>
      <c r="D46" s="250" t="s">
        <v>53</v>
      </c>
      <c r="E46" s="250" t="s">
        <v>51</v>
      </c>
      <c r="F46" s="246">
        <v>3200</v>
      </c>
      <c r="G46" s="249" t="s">
        <v>7</v>
      </c>
      <c r="H46" s="248">
        <v>4</v>
      </c>
      <c r="I46" s="247"/>
      <c r="AG46" s="246">
        <v>0</v>
      </c>
      <c r="AH46" s="246">
        <v>5</v>
      </c>
      <c r="AI46" s="246">
        <v>7</v>
      </c>
      <c r="AJ46" s="246">
        <v>6</v>
      </c>
      <c r="AK46" s="246">
        <v>6</v>
      </c>
      <c r="AL46" s="246">
        <v>7</v>
      </c>
      <c r="AM46" s="246">
        <v>5</v>
      </c>
      <c r="AN46" s="246">
        <v>8</v>
      </c>
      <c r="AO46" s="246">
        <v>12</v>
      </c>
      <c r="AP46" s="246">
        <v>5</v>
      </c>
      <c r="AQ46" s="246">
        <v>8</v>
      </c>
      <c r="AR46" s="246">
        <v>5</v>
      </c>
      <c r="AS46" s="246">
        <v>0</v>
      </c>
    </row>
    <row r="47" spans="1:56" ht="15.6" x14ac:dyDescent="0.3">
      <c r="A47" s="255">
        <f>DATE(($L$1-1),2,28)</f>
        <v>42794</v>
      </c>
      <c r="B47" s="254" t="s">
        <v>39</v>
      </c>
      <c r="C47" s="254">
        <f t="shared" si="1"/>
        <v>139</v>
      </c>
      <c r="D47" s="254" t="s">
        <v>53</v>
      </c>
      <c r="E47" s="254" t="s">
        <v>52</v>
      </c>
      <c r="F47" s="39">
        <v>5020</v>
      </c>
      <c r="G47" s="253" t="s">
        <v>6</v>
      </c>
      <c r="H47" s="252">
        <v>3</v>
      </c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245">
        <f>AG26+AG28+AG30+AG32+AG34+AG36+AG38+AG40+AG42+AG44+AG46</f>
        <v>48</v>
      </c>
      <c r="AH47" s="39">
        <v>40</v>
      </c>
      <c r="AI47" s="39">
        <v>10</v>
      </c>
      <c r="AJ47" s="39">
        <v>16</v>
      </c>
      <c r="AK47" s="39">
        <v>8</v>
      </c>
      <c r="AL47" s="39">
        <v>5</v>
      </c>
      <c r="AM47" s="39">
        <v>1</v>
      </c>
      <c r="AN47" s="39">
        <v>6</v>
      </c>
      <c r="AO47" s="39">
        <v>3</v>
      </c>
      <c r="AP47" s="39">
        <v>1</v>
      </c>
      <c r="AQ47" s="39">
        <v>0</v>
      </c>
      <c r="AR47" s="39">
        <v>1</v>
      </c>
      <c r="AS47" s="39">
        <v>0</v>
      </c>
      <c r="AT47" s="39">
        <v>0</v>
      </c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 spans="1:56" s="246" customFormat="1" ht="15.6" x14ac:dyDescent="0.3">
      <c r="A48" s="251">
        <f>DATE(($L$1-1),2,28)</f>
        <v>42794</v>
      </c>
      <c r="B48" s="250" t="s">
        <v>39</v>
      </c>
      <c r="C48" s="250">
        <f t="shared" si="1"/>
        <v>63</v>
      </c>
      <c r="D48" s="250" t="s">
        <v>53</v>
      </c>
      <c r="E48" s="250" t="s">
        <v>52</v>
      </c>
      <c r="F48" s="246">
        <v>5020</v>
      </c>
      <c r="G48" s="249" t="s">
        <v>7</v>
      </c>
      <c r="H48" s="248">
        <v>3</v>
      </c>
      <c r="I48" s="247"/>
      <c r="AH48" s="246">
        <v>0</v>
      </c>
      <c r="AI48" s="246">
        <v>4</v>
      </c>
      <c r="AJ48" s="246">
        <v>11</v>
      </c>
      <c r="AK48" s="246">
        <v>5</v>
      </c>
      <c r="AL48" s="246">
        <v>4</v>
      </c>
      <c r="AM48" s="246">
        <v>6</v>
      </c>
      <c r="AN48" s="246">
        <v>4</v>
      </c>
      <c r="AO48" s="246">
        <v>6</v>
      </c>
      <c r="AP48" s="246">
        <v>6</v>
      </c>
      <c r="AQ48" s="246">
        <v>3</v>
      </c>
      <c r="AR48" s="246">
        <v>5</v>
      </c>
      <c r="AS48" s="246">
        <v>9</v>
      </c>
      <c r="AT48" s="246">
        <v>0</v>
      </c>
    </row>
    <row r="49" spans="1:56" ht="15.6" x14ac:dyDescent="0.3">
      <c r="A49" s="255">
        <f>DATE(($L$1-1),3,1)</f>
        <v>42795</v>
      </c>
      <c r="B49" s="254" t="s">
        <v>40</v>
      </c>
      <c r="C49" s="254">
        <f t="shared" si="1"/>
        <v>120</v>
      </c>
      <c r="D49" s="254" t="s">
        <v>50</v>
      </c>
      <c r="E49" s="254" t="s">
        <v>52</v>
      </c>
      <c r="F49" s="39">
        <v>5500</v>
      </c>
      <c r="G49" s="253" t="s">
        <v>6</v>
      </c>
      <c r="H49" s="252">
        <v>2</v>
      </c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245">
        <f>AH28+AH30+AH32+AH34+AH36+AH38+AH40+AH42+AH44+AH46+AH48</f>
        <v>38</v>
      </c>
      <c r="AI49" s="39">
        <v>30</v>
      </c>
      <c r="AJ49" s="39">
        <v>5</v>
      </c>
      <c r="AK49" s="39">
        <v>13</v>
      </c>
      <c r="AL49" s="39">
        <v>14</v>
      </c>
      <c r="AM49" s="39">
        <v>8</v>
      </c>
      <c r="AN49" s="39">
        <v>6</v>
      </c>
      <c r="AO49" s="39">
        <v>2</v>
      </c>
      <c r="AP49" s="39">
        <v>1</v>
      </c>
      <c r="AQ49" s="39">
        <v>1</v>
      </c>
      <c r="AR49" s="39">
        <v>0</v>
      </c>
      <c r="AS49" s="39">
        <v>1</v>
      </c>
      <c r="AT49" s="39">
        <v>0</v>
      </c>
      <c r="AU49" s="39">
        <v>1</v>
      </c>
      <c r="AV49" s="39"/>
      <c r="AW49" s="39"/>
      <c r="AX49" s="39"/>
      <c r="AY49" s="39"/>
      <c r="AZ49" s="39"/>
      <c r="BA49" s="39"/>
      <c r="BB49" s="39"/>
      <c r="BC49" s="39"/>
      <c r="BD49" s="39"/>
    </row>
    <row r="50" spans="1:56" s="246" customFormat="1" ht="15.6" x14ac:dyDescent="0.3">
      <c r="A50" s="251">
        <f>DATE(($L$1-1),3,1)</f>
        <v>42795</v>
      </c>
      <c r="B50" s="250" t="s">
        <v>40</v>
      </c>
      <c r="C50" s="250">
        <f t="shared" si="1"/>
        <v>74</v>
      </c>
      <c r="D50" s="250" t="s">
        <v>50</v>
      </c>
      <c r="E50" s="250" t="s">
        <v>52</v>
      </c>
      <c r="F50" s="246">
        <v>5500</v>
      </c>
      <c r="G50" s="249" t="s">
        <v>7</v>
      </c>
      <c r="H50" s="248">
        <v>2</v>
      </c>
      <c r="I50" s="247"/>
      <c r="AI50" s="246">
        <v>0</v>
      </c>
      <c r="AJ50" s="246">
        <v>6</v>
      </c>
      <c r="AK50" s="246">
        <v>8</v>
      </c>
      <c r="AL50" s="246">
        <v>7</v>
      </c>
      <c r="AM50" s="246">
        <v>7</v>
      </c>
      <c r="AN50" s="246">
        <v>6</v>
      </c>
      <c r="AO50" s="246">
        <v>3</v>
      </c>
      <c r="AP50" s="246">
        <v>10</v>
      </c>
      <c r="AQ50" s="246">
        <v>12</v>
      </c>
      <c r="AR50" s="246">
        <v>5</v>
      </c>
      <c r="AS50" s="246">
        <v>6</v>
      </c>
      <c r="AT50" s="246">
        <v>4</v>
      </c>
      <c r="AU50" s="246">
        <v>0</v>
      </c>
    </row>
    <row r="51" spans="1:56" ht="15.6" x14ac:dyDescent="0.3">
      <c r="A51" s="255">
        <f>DATE(($L$1-1),5,1)</f>
        <v>42856</v>
      </c>
      <c r="B51" s="254" t="s">
        <v>41</v>
      </c>
      <c r="C51" s="254">
        <f t="shared" si="1"/>
        <v>179</v>
      </c>
      <c r="D51" s="254" t="s">
        <v>53</v>
      </c>
      <c r="E51" s="254" t="s">
        <v>52</v>
      </c>
      <c r="F51" s="39">
        <v>4500</v>
      </c>
      <c r="G51" s="253" t="s">
        <v>6</v>
      </c>
      <c r="H51" s="252">
        <v>3</v>
      </c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245">
        <f>AI30+AI32+AI34+AI36+AI38+AI40+AI42+AI44+AI46+AI48+AI50</f>
        <v>49</v>
      </c>
      <c r="AJ51" s="245">
        <f>AJ32+AJ34+AJ36+AJ38+AJ40+AJ42+AJ44+AJ46+AJ48+AJ50</f>
        <v>59</v>
      </c>
      <c r="AK51" s="39">
        <v>33</v>
      </c>
      <c r="AL51" s="39">
        <v>4</v>
      </c>
      <c r="AM51" s="39">
        <v>12</v>
      </c>
      <c r="AN51" s="39">
        <v>9</v>
      </c>
      <c r="AO51" s="39">
        <v>3</v>
      </c>
      <c r="AP51" s="39">
        <v>2</v>
      </c>
      <c r="AQ51" s="39">
        <v>1</v>
      </c>
      <c r="AR51" s="39">
        <v>3</v>
      </c>
      <c r="AS51" s="39">
        <v>0</v>
      </c>
      <c r="AT51" s="39">
        <v>0</v>
      </c>
      <c r="AU51" s="39">
        <v>1</v>
      </c>
      <c r="AV51" s="39">
        <v>2</v>
      </c>
      <c r="AW51" s="39">
        <v>1</v>
      </c>
      <c r="AX51" s="39"/>
      <c r="AY51" s="39"/>
      <c r="AZ51" s="39"/>
      <c r="BA51" s="39"/>
      <c r="BB51" s="39"/>
      <c r="BC51" s="39"/>
      <c r="BD51" s="39"/>
    </row>
    <row r="52" spans="1:56" s="246" customFormat="1" ht="15.6" x14ac:dyDescent="0.3">
      <c r="A52" s="251">
        <f>DATE(($L$1-1),5,1)</f>
        <v>42856</v>
      </c>
      <c r="B52" s="250" t="s">
        <v>41</v>
      </c>
      <c r="C52" s="250">
        <f t="shared" si="1"/>
        <v>64</v>
      </c>
      <c r="D52" s="250" t="s">
        <v>53</v>
      </c>
      <c r="E52" s="250" t="s">
        <v>52</v>
      </c>
      <c r="F52" s="246">
        <v>4500</v>
      </c>
      <c r="G52" s="249" t="s">
        <v>7</v>
      </c>
      <c r="H52" s="248">
        <v>3</v>
      </c>
      <c r="I52" s="247"/>
      <c r="AK52" s="246">
        <v>0</v>
      </c>
      <c r="AL52" s="246">
        <v>8</v>
      </c>
      <c r="AM52" s="246">
        <v>8</v>
      </c>
      <c r="AN52" s="246">
        <v>6</v>
      </c>
      <c r="AO52" s="246">
        <v>5</v>
      </c>
      <c r="AP52" s="246">
        <v>7</v>
      </c>
      <c r="AQ52" s="246">
        <v>7</v>
      </c>
      <c r="AR52" s="246">
        <v>2</v>
      </c>
      <c r="AS52" s="246">
        <v>7</v>
      </c>
      <c r="AT52" s="246">
        <v>6</v>
      </c>
      <c r="AU52" s="246">
        <v>7</v>
      </c>
      <c r="AV52" s="246">
        <v>1</v>
      </c>
      <c r="AW52" s="246">
        <v>0</v>
      </c>
    </row>
    <row r="53" spans="1:56" ht="15.6" x14ac:dyDescent="0.3">
      <c r="A53" s="255">
        <f>DATE(($L$1-1),6,1)</f>
        <v>42887</v>
      </c>
      <c r="B53" s="254" t="s">
        <v>42</v>
      </c>
      <c r="C53" s="254">
        <f t="shared" si="1"/>
        <v>131</v>
      </c>
      <c r="D53" s="254" t="s">
        <v>53</v>
      </c>
      <c r="E53" s="254" t="s">
        <v>52</v>
      </c>
      <c r="F53" s="39">
        <v>5600</v>
      </c>
      <c r="G53" s="253" t="s">
        <v>6</v>
      </c>
      <c r="H53" s="252">
        <v>4</v>
      </c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245">
        <f>AK32+AK34+AK36+AK38+AK40+AK42+AK44+AK46+AK48+AK50+AK52</f>
        <v>44</v>
      </c>
      <c r="AL53" s="39">
        <v>45</v>
      </c>
      <c r="AM53" s="39">
        <v>7</v>
      </c>
      <c r="AN53" s="39">
        <v>14</v>
      </c>
      <c r="AO53" s="39">
        <v>10</v>
      </c>
      <c r="AP53" s="39">
        <v>5</v>
      </c>
      <c r="AQ53" s="39">
        <v>2</v>
      </c>
      <c r="AR53" s="39">
        <v>1</v>
      </c>
      <c r="AS53" s="39">
        <v>2</v>
      </c>
      <c r="AT53" s="39">
        <v>1</v>
      </c>
      <c r="AU53" s="39">
        <v>0</v>
      </c>
      <c r="AV53" s="39">
        <v>0</v>
      </c>
      <c r="AW53" s="39">
        <v>0</v>
      </c>
      <c r="AX53" s="39">
        <v>0</v>
      </c>
      <c r="AY53" s="39"/>
      <c r="AZ53" s="39"/>
      <c r="BA53" s="39"/>
      <c r="BB53" s="39"/>
      <c r="BC53" s="39"/>
      <c r="BD53" s="39"/>
    </row>
    <row r="54" spans="1:56" s="246" customFormat="1" ht="15.6" x14ac:dyDescent="0.3">
      <c r="A54" s="251">
        <f>DATE(($L$1-1),6,1)</f>
        <v>42887</v>
      </c>
      <c r="B54" s="250" t="s">
        <v>42</v>
      </c>
      <c r="C54" s="250">
        <f t="shared" si="1"/>
        <v>72</v>
      </c>
      <c r="D54" s="250" t="s">
        <v>53</v>
      </c>
      <c r="E54" s="250" t="s">
        <v>52</v>
      </c>
      <c r="F54" s="246">
        <v>5600</v>
      </c>
      <c r="G54" s="249" t="s">
        <v>7</v>
      </c>
      <c r="H54" s="248">
        <v>4</v>
      </c>
      <c r="I54" s="247"/>
      <c r="AL54" s="246">
        <v>0</v>
      </c>
      <c r="AM54" s="246">
        <v>5</v>
      </c>
      <c r="AN54" s="246">
        <v>7</v>
      </c>
      <c r="AO54" s="246">
        <v>6</v>
      </c>
      <c r="AP54" s="246">
        <v>6</v>
      </c>
      <c r="AQ54" s="246">
        <v>7</v>
      </c>
      <c r="AR54" s="246">
        <v>5</v>
      </c>
      <c r="AS54" s="246">
        <v>8</v>
      </c>
      <c r="AT54" s="246">
        <v>12</v>
      </c>
      <c r="AU54" s="246">
        <v>5</v>
      </c>
      <c r="AV54" s="246">
        <v>6</v>
      </c>
      <c r="AW54" s="246">
        <v>5</v>
      </c>
      <c r="AX54" s="246">
        <v>0</v>
      </c>
    </row>
    <row r="55" spans="1:56" ht="15.6" x14ac:dyDescent="0.3">
      <c r="A55" s="255">
        <f>DATE(($L$1-1),7,30)</f>
        <v>42946</v>
      </c>
      <c r="B55" s="254" t="s">
        <v>43</v>
      </c>
      <c r="C55" s="254">
        <f t="shared" si="1"/>
        <v>145</v>
      </c>
      <c r="D55" s="254" t="s">
        <v>53</v>
      </c>
      <c r="E55" s="254" t="s">
        <v>52</v>
      </c>
      <c r="F55" s="39">
        <v>5600</v>
      </c>
      <c r="G55" s="253" t="s">
        <v>6</v>
      </c>
      <c r="H55" s="252">
        <v>3</v>
      </c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245">
        <f>AL34+AL36+AL38+AL40+AL42+AL44+AL46+AL48+AL50+AL52+AL54</f>
        <v>48</v>
      </c>
      <c r="AM55" s="39">
        <v>46</v>
      </c>
      <c r="AN55" s="39">
        <v>10</v>
      </c>
      <c r="AO55" s="39">
        <v>16</v>
      </c>
      <c r="AP55" s="39">
        <v>8</v>
      </c>
      <c r="AQ55" s="39">
        <v>5</v>
      </c>
      <c r="AR55" s="39">
        <v>1</v>
      </c>
      <c r="AS55" s="39">
        <v>6</v>
      </c>
      <c r="AT55" s="39">
        <v>3</v>
      </c>
      <c r="AU55" s="39">
        <v>1</v>
      </c>
      <c r="AV55" s="39">
        <v>0</v>
      </c>
      <c r="AW55" s="39">
        <v>1</v>
      </c>
      <c r="AX55" s="39">
        <v>0</v>
      </c>
      <c r="AY55" s="39">
        <v>0</v>
      </c>
      <c r="AZ55" s="39"/>
      <c r="BA55" s="39"/>
      <c r="BB55" s="39"/>
      <c r="BC55" s="39"/>
      <c r="BD55" s="39"/>
    </row>
    <row r="56" spans="1:56" s="246" customFormat="1" ht="15.6" x14ac:dyDescent="0.3">
      <c r="A56" s="251">
        <f>DATE(($L$1-1),7,30)</f>
        <v>42946</v>
      </c>
      <c r="B56" s="250" t="s">
        <v>43</v>
      </c>
      <c r="C56" s="250">
        <f t="shared" si="1"/>
        <v>69</v>
      </c>
      <c r="D56" s="250" t="s">
        <v>53</v>
      </c>
      <c r="E56" s="250" t="s">
        <v>52</v>
      </c>
      <c r="F56" s="246">
        <v>5600</v>
      </c>
      <c r="G56" s="249" t="s">
        <v>7</v>
      </c>
      <c r="H56" s="248">
        <v>3</v>
      </c>
      <c r="I56" s="247"/>
      <c r="AM56" s="246">
        <v>0</v>
      </c>
      <c r="AN56" s="246">
        <v>4</v>
      </c>
      <c r="AO56" s="246">
        <v>11</v>
      </c>
      <c r="AP56" s="246">
        <v>5</v>
      </c>
      <c r="AQ56" s="246">
        <v>8</v>
      </c>
      <c r="AR56" s="246">
        <v>6</v>
      </c>
      <c r="AS56" s="246">
        <v>4</v>
      </c>
      <c r="AT56" s="246">
        <v>6</v>
      </c>
      <c r="AU56" s="246">
        <v>8</v>
      </c>
      <c r="AV56" s="246">
        <v>3</v>
      </c>
      <c r="AW56" s="246">
        <v>5</v>
      </c>
      <c r="AX56" s="246">
        <v>9</v>
      </c>
      <c r="AY56" s="246">
        <v>0</v>
      </c>
    </row>
    <row r="57" spans="1:56" ht="15.6" x14ac:dyDescent="0.3">
      <c r="A57" s="255">
        <f>DATE(($L$1-1),8,1)</f>
        <v>42948</v>
      </c>
      <c r="B57" s="254" t="s">
        <v>44</v>
      </c>
      <c r="C57" s="254">
        <f t="shared" si="1"/>
        <v>169</v>
      </c>
      <c r="D57" s="254" t="s">
        <v>50</v>
      </c>
      <c r="E57" s="254" t="s">
        <v>52</v>
      </c>
      <c r="F57" s="39">
        <v>6100</v>
      </c>
      <c r="G57" s="253" t="s">
        <v>6</v>
      </c>
      <c r="H57" s="252">
        <v>2</v>
      </c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245">
        <f>AM36+AM38+AM40+AM42+AM44+AM46+AM48+AM50+AM52+AM54+AM56</f>
        <v>46</v>
      </c>
      <c r="AN57" s="39">
        <v>60</v>
      </c>
      <c r="AO57" s="39">
        <v>15</v>
      </c>
      <c r="AP57" s="39">
        <v>13</v>
      </c>
      <c r="AQ57" s="39">
        <v>14</v>
      </c>
      <c r="AR57" s="39">
        <v>8</v>
      </c>
      <c r="AS57" s="39">
        <v>6</v>
      </c>
      <c r="AT57" s="39">
        <v>2</v>
      </c>
      <c r="AU57" s="39">
        <v>1</v>
      </c>
      <c r="AV57" s="39">
        <v>1</v>
      </c>
      <c r="AW57" s="39">
        <v>0</v>
      </c>
      <c r="AX57" s="39">
        <v>1</v>
      </c>
      <c r="AY57" s="39">
        <v>2</v>
      </c>
      <c r="AZ57" s="39">
        <v>0</v>
      </c>
      <c r="BA57" s="39"/>
      <c r="BB57" s="39"/>
      <c r="BC57" s="39"/>
      <c r="BD57" s="39"/>
    </row>
    <row r="58" spans="1:56" s="246" customFormat="1" ht="15.6" x14ac:dyDescent="0.3">
      <c r="A58" s="251">
        <f>DATE(($L$1-1),8,1)</f>
        <v>42948</v>
      </c>
      <c r="B58" s="250" t="s">
        <v>44</v>
      </c>
      <c r="C58" s="250">
        <f t="shared" si="1"/>
        <v>99</v>
      </c>
      <c r="D58" s="250" t="s">
        <v>50</v>
      </c>
      <c r="E58" s="250" t="s">
        <v>52</v>
      </c>
      <c r="F58" s="246">
        <v>6100</v>
      </c>
      <c r="G58" s="249" t="s">
        <v>7</v>
      </c>
      <c r="H58" s="248">
        <v>2</v>
      </c>
      <c r="I58" s="247"/>
      <c r="AN58" s="246">
        <v>0</v>
      </c>
      <c r="AO58" s="246">
        <v>6</v>
      </c>
      <c r="AP58" s="246">
        <v>8</v>
      </c>
      <c r="AQ58" s="246">
        <v>7</v>
      </c>
      <c r="AR58" s="246">
        <v>7</v>
      </c>
      <c r="AS58" s="246">
        <v>6</v>
      </c>
      <c r="AT58" s="246">
        <v>5</v>
      </c>
      <c r="AU58" s="246">
        <v>10</v>
      </c>
      <c r="AV58" s="246">
        <v>12</v>
      </c>
      <c r="AW58" s="246">
        <v>15</v>
      </c>
      <c r="AX58" s="246">
        <v>16</v>
      </c>
      <c r="AY58" s="246">
        <v>7</v>
      </c>
      <c r="AZ58" s="246">
        <v>0</v>
      </c>
    </row>
    <row r="59" spans="1:56" ht="15.6" x14ac:dyDescent="0.3">
      <c r="A59" s="255">
        <f>DATE(($L$1-1),10,1)</f>
        <v>43009</v>
      </c>
      <c r="B59" s="254" t="s">
        <v>45</v>
      </c>
      <c r="C59" s="254">
        <f t="shared" si="1"/>
        <v>199</v>
      </c>
      <c r="D59" s="254" t="s">
        <v>53</v>
      </c>
      <c r="E59" s="254" t="s">
        <v>51</v>
      </c>
      <c r="F59" s="39">
        <v>6750</v>
      </c>
      <c r="G59" s="253" t="s">
        <v>6</v>
      </c>
      <c r="H59" s="252">
        <v>4</v>
      </c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245">
        <f>AN38+AN40+AN42+AN44+AN46+AN48+AN50+AN52+AN54+AN56+AN58</f>
        <v>44</v>
      </c>
      <c r="AO59" s="245">
        <f>AO40+AO42+AO44+AO46+AO48+AO50+AO52+AO54+AO56+AO58</f>
        <v>53</v>
      </c>
      <c r="AP59" s="39">
        <v>55</v>
      </c>
      <c r="AQ59" s="39">
        <v>14</v>
      </c>
      <c r="AR59" s="39">
        <v>12</v>
      </c>
      <c r="AS59" s="39">
        <v>9</v>
      </c>
      <c r="AT59" s="39">
        <v>3</v>
      </c>
      <c r="AU59" s="39">
        <v>2</v>
      </c>
      <c r="AV59" s="39">
        <v>1</v>
      </c>
      <c r="AW59" s="39">
        <v>3</v>
      </c>
      <c r="AX59" s="39">
        <v>0</v>
      </c>
      <c r="AY59" s="39">
        <v>0</v>
      </c>
      <c r="AZ59" s="39">
        <v>1</v>
      </c>
      <c r="BA59" s="39">
        <v>2</v>
      </c>
      <c r="BB59" s="39">
        <v>0</v>
      </c>
      <c r="BC59" s="39"/>
      <c r="BD59" s="39"/>
    </row>
    <row r="60" spans="1:56" s="246" customFormat="1" ht="15.6" x14ac:dyDescent="0.3">
      <c r="A60" s="251">
        <f>DATE(($L$1-1),10,1)</f>
        <v>43009</v>
      </c>
      <c r="B60" s="250" t="s">
        <v>45</v>
      </c>
      <c r="C60" s="250">
        <f t="shared" si="1"/>
        <v>88</v>
      </c>
      <c r="D60" s="250" t="s">
        <v>53</v>
      </c>
      <c r="E60" s="250" t="s">
        <v>51</v>
      </c>
      <c r="F60" s="246">
        <v>6750</v>
      </c>
      <c r="G60" s="249" t="s">
        <v>7</v>
      </c>
      <c r="H60" s="248">
        <v>4</v>
      </c>
      <c r="I60" s="247"/>
      <c r="AP60" s="246">
        <v>0</v>
      </c>
      <c r="AQ60" s="246">
        <v>8</v>
      </c>
      <c r="AR60" s="246">
        <v>8</v>
      </c>
      <c r="AS60" s="246">
        <v>16</v>
      </c>
      <c r="AT60" s="246">
        <v>9</v>
      </c>
      <c r="AU60" s="246">
        <v>7</v>
      </c>
      <c r="AV60" s="246">
        <v>7</v>
      </c>
      <c r="AW60" s="246">
        <v>2</v>
      </c>
      <c r="AX60" s="246">
        <v>17</v>
      </c>
      <c r="AY60" s="246">
        <v>6</v>
      </c>
      <c r="AZ60" s="246">
        <v>7</v>
      </c>
      <c r="BA60" s="246">
        <v>1</v>
      </c>
      <c r="BB60" s="246">
        <v>0</v>
      </c>
    </row>
    <row r="61" spans="1:56" ht="15.6" x14ac:dyDescent="0.3">
      <c r="A61" s="255">
        <f>DATE(($L$1-1),11,1)</f>
        <v>43040</v>
      </c>
      <c r="B61" s="254" t="s">
        <v>46</v>
      </c>
      <c r="C61" s="254">
        <f t="shared" si="1"/>
        <v>150</v>
      </c>
      <c r="D61" s="254" t="s">
        <v>53</v>
      </c>
      <c r="E61" s="254" t="s">
        <v>52</v>
      </c>
      <c r="F61" s="39">
        <v>7504</v>
      </c>
      <c r="G61" s="253" t="s">
        <v>6</v>
      </c>
      <c r="H61" s="252">
        <v>2</v>
      </c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245">
        <f>AP40+AP42+AP44+AP46+AP48+AP50+AP52+AP54+AP56+AP58+AP60</f>
        <v>49</v>
      </c>
      <c r="AQ61" s="39">
        <v>50</v>
      </c>
      <c r="AR61" s="39">
        <v>10</v>
      </c>
      <c r="AS61" s="39">
        <v>16</v>
      </c>
      <c r="AT61" s="39">
        <v>8</v>
      </c>
      <c r="AU61" s="39">
        <v>5</v>
      </c>
      <c r="AV61" s="39">
        <v>1</v>
      </c>
      <c r="AW61" s="39">
        <v>6</v>
      </c>
      <c r="AX61" s="39">
        <v>3</v>
      </c>
      <c r="AY61" s="39">
        <v>1</v>
      </c>
      <c r="AZ61" s="39">
        <v>0</v>
      </c>
      <c r="BA61" s="39">
        <v>1</v>
      </c>
      <c r="BB61" s="39">
        <v>0</v>
      </c>
      <c r="BC61" s="39">
        <v>0</v>
      </c>
      <c r="BD61" s="39"/>
    </row>
    <row r="62" spans="1:56" s="246" customFormat="1" ht="15.6" x14ac:dyDescent="0.3">
      <c r="A62" s="251">
        <f>DATE(($L$1-1),11,1)</f>
        <v>43040</v>
      </c>
      <c r="B62" s="250" t="s">
        <v>46</v>
      </c>
      <c r="C62" s="250">
        <f t="shared" si="1"/>
        <v>69</v>
      </c>
      <c r="D62" s="250" t="s">
        <v>53</v>
      </c>
      <c r="E62" s="250" t="s">
        <v>52</v>
      </c>
      <c r="F62" s="246">
        <v>7504</v>
      </c>
      <c r="G62" s="249" t="s">
        <v>7</v>
      </c>
      <c r="H62" s="248">
        <v>2</v>
      </c>
      <c r="I62" s="247"/>
      <c r="AQ62" s="246">
        <v>0</v>
      </c>
      <c r="AR62" s="246">
        <v>4</v>
      </c>
      <c r="AS62" s="246">
        <v>11</v>
      </c>
      <c r="AT62" s="246">
        <v>5</v>
      </c>
      <c r="AU62" s="246">
        <v>8</v>
      </c>
      <c r="AV62" s="246">
        <v>6</v>
      </c>
      <c r="AW62" s="246">
        <v>4</v>
      </c>
      <c r="AX62" s="246">
        <v>6</v>
      </c>
      <c r="AY62" s="246">
        <v>8</v>
      </c>
      <c r="AZ62" s="246">
        <v>3</v>
      </c>
      <c r="BA62" s="246">
        <v>5</v>
      </c>
      <c r="BB62" s="246">
        <v>9</v>
      </c>
      <c r="BC62" s="246">
        <v>0</v>
      </c>
    </row>
    <row r="63" spans="1:56" ht="15.6" x14ac:dyDescent="0.3">
      <c r="A63" s="255">
        <f>DATE(($L$1-1),12,1)</f>
        <v>43070</v>
      </c>
      <c r="B63" s="254" t="s">
        <v>47</v>
      </c>
      <c r="C63" s="254">
        <f t="shared" si="1"/>
        <v>187</v>
      </c>
      <c r="D63" s="254" t="s">
        <v>50</v>
      </c>
      <c r="E63" s="254" t="s">
        <v>51</v>
      </c>
      <c r="F63" s="39">
        <v>4932</v>
      </c>
      <c r="G63" s="253" t="s">
        <v>6</v>
      </c>
      <c r="H63" s="252">
        <v>4</v>
      </c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245">
        <f>AQ42+AQ44+AQ46+AQ48+AQ50+AQ52+AQ54+AQ56+AQ58+AQ60+AQ62</f>
        <v>61</v>
      </c>
      <c r="AR63" s="39">
        <v>63</v>
      </c>
      <c r="AS63" s="39">
        <v>15</v>
      </c>
      <c r="AT63" s="39">
        <v>13</v>
      </c>
      <c r="AU63" s="39">
        <v>14</v>
      </c>
      <c r="AV63" s="39">
        <v>8</v>
      </c>
      <c r="AW63" s="39">
        <v>6</v>
      </c>
      <c r="AX63" s="39">
        <v>2</v>
      </c>
      <c r="AY63" s="39">
        <v>1</v>
      </c>
      <c r="AZ63" s="39">
        <v>1</v>
      </c>
      <c r="BA63" s="39">
        <v>0</v>
      </c>
      <c r="BB63" s="39">
        <v>1</v>
      </c>
      <c r="BC63" s="39">
        <v>2</v>
      </c>
      <c r="BD63" s="39">
        <v>0</v>
      </c>
    </row>
    <row r="64" spans="1:56" s="246" customFormat="1" ht="15.6" x14ac:dyDescent="0.3">
      <c r="A64" s="251">
        <f>DATE(($L$1-1),12,1)</f>
        <v>43070</v>
      </c>
      <c r="B64" s="250" t="s">
        <v>47</v>
      </c>
      <c r="C64" s="250">
        <f t="shared" si="1"/>
        <v>99</v>
      </c>
      <c r="D64" s="250" t="s">
        <v>50</v>
      </c>
      <c r="E64" s="250" t="s">
        <v>51</v>
      </c>
      <c r="F64" s="246">
        <v>4932</v>
      </c>
      <c r="G64" s="249" t="s">
        <v>7</v>
      </c>
      <c r="H64" s="248">
        <v>4</v>
      </c>
      <c r="I64" s="247"/>
      <c r="AR64" s="246">
        <v>0</v>
      </c>
      <c r="AS64" s="246">
        <v>6</v>
      </c>
      <c r="AT64" s="246">
        <v>8</v>
      </c>
      <c r="AU64" s="246">
        <v>7</v>
      </c>
      <c r="AV64" s="246">
        <v>7</v>
      </c>
      <c r="AW64" s="246">
        <v>6</v>
      </c>
      <c r="AX64" s="246">
        <v>5</v>
      </c>
      <c r="AY64" s="246">
        <v>10</v>
      </c>
      <c r="AZ64" s="246">
        <v>12</v>
      </c>
      <c r="BA64" s="246">
        <v>15</v>
      </c>
      <c r="BB64" s="246">
        <v>16</v>
      </c>
      <c r="BC64" s="246">
        <v>7</v>
      </c>
      <c r="BD64" s="246">
        <v>0</v>
      </c>
    </row>
    <row r="65" spans="9:57" ht="15.6" x14ac:dyDescent="0.3">
      <c r="AR65" s="245">
        <f>AR44+AR46+AR48+AR50+AR52+AR54+AR56+AR58+AR60+AR62+AR64</f>
        <v>47</v>
      </c>
      <c r="AS65" s="245">
        <f>AS46+AS48+AS50+AS52+AS54+AS56+AS58+AS60+AS62+AS64</f>
        <v>73</v>
      </c>
      <c r="AT65" s="245">
        <f>AT48+AT50+AT52+AT54+AT56+AT58+AT60+AT62+AT64</f>
        <v>55</v>
      </c>
      <c r="AU65" s="245">
        <f>AU50+AU52+AU54+AU56+AU58+AU60+AU62+AU64</f>
        <v>52</v>
      </c>
      <c r="AV65" s="245">
        <f>AV52+AV54+AV56+AV58+AV60+AV62+AV64</f>
        <v>42</v>
      </c>
      <c r="AW65" s="245">
        <f>AW52+AW54+AW56+AW58+AW60+AW62+AW64</f>
        <v>37</v>
      </c>
      <c r="AX65" s="245">
        <f>AX54+AX56+AX58+AX60+AX62+AX64</f>
        <v>53</v>
      </c>
      <c r="AY65" s="245">
        <f>AY56+AY58+AY60+AY62+AY64</f>
        <v>31</v>
      </c>
      <c r="AZ65" s="245">
        <f>AZ58+AZ60+AZ62+AZ64</f>
        <v>22</v>
      </c>
      <c r="BA65" s="245">
        <f>BA60+BA62+BA64</f>
        <v>21</v>
      </c>
      <c r="BB65" s="245">
        <f>BB60+BB62+BB64</f>
        <v>25</v>
      </c>
      <c r="BC65" s="245">
        <f>BC62+BC64</f>
        <v>7</v>
      </c>
      <c r="BD65" s="245">
        <f>BD64</f>
        <v>0</v>
      </c>
    </row>
    <row r="67" spans="9:57" ht="13.8" thickBot="1" x14ac:dyDescent="0.3">
      <c r="I67" s="244" t="s">
        <v>151</v>
      </c>
      <c r="J67" s="243">
        <f>DATE($L$1-3,2,1)</f>
        <v>42036</v>
      </c>
      <c r="K67" s="243">
        <f>DATE($L$1-3,3,1)</f>
        <v>42064</v>
      </c>
      <c r="L67" s="243">
        <f>DATE($L$1-3,4,1)</f>
        <v>42095</v>
      </c>
      <c r="M67" s="243">
        <f>DATE($L$1-3,5,1)</f>
        <v>42125</v>
      </c>
      <c r="N67" s="243">
        <f>DATE($L$1-3,6,1)</f>
        <v>42156</v>
      </c>
      <c r="O67" s="243">
        <f>DATE($L$1-3,7,1)</f>
        <v>42186</v>
      </c>
      <c r="P67" s="243">
        <f>DATE($L$1-3,8,1)</f>
        <v>42217</v>
      </c>
      <c r="Q67" s="243">
        <f>DATE($L$1-3,9,1)</f>
        <v>42248</v>
      </c>
      <c r="R67" s="243">
        <f>DATE($L$1-3,10,1)</f>
        <v>42278</v>
      </c>
      <c r="S67" s="243">
        <f>DATE($L$1-3,11,1)</f>
        <v>42309</v>
      </c>
      <c r="T67" s="243">
        <f>DATE($L$1-3,12,1)</f>
        <v>42339</v>
      </c>
      <c r="U67" s="243">
        <f>DATE($L$1-2,1,1)</f>
        <v>42370</v>
      </c>
      <c r="V67" s="243">
        <f>DATE($L$1-2,2,1)</f>
        <v>42401</v>
      </c>
      <c r="W67" s="243">
        <f>DATE($L$1-2,3,1)</f>
        <v>42430</v>
      </c>
      <c r="X67" s="243">
        <f>DATE($L$1-2,4,1)</f>
        <v>42461</v>
      </c>
      <c r="Y67" s="243">
        <f>DATE($L$1-2,5,1)</f>
        <v>42491</v>
      </c>
      <c r="Z67" s="243">
        <f>DATE($L$1-2,6,1)</f>
        <v>42522</v>
      </c>
      <c r="AA67" s="243">
        <f>DATE($L$1-2,7,1)</f>
        <v>42552</v>
      </c>
      <c r="AB67" s="243">
        <f>DATE($L$1-2,8,1)</f>
        <v>42583</v>
      </c>
      <c r="AC67" s="243">
        <f>DATE($L$1-2,9,1)</f>
        <v>42614</v>
      </c>
      <c r="AD67" s="243">
        <f>DATE($L$1-2,10,1)</f>
        <v>42644</v>
      </c>
      <c r="AE67" s="243">
        <f>DATE($L$1-2,11,1)</f>
        <v>42675</v>
      </c>
      <c r="AF67" s="243">
        <f>DATE($L$1-2,12,1)</f>
        <v>42705</v>
      </c>
      <c r="AG67" s="243">
        <f>DATE($L$1-1,1,1)</f>
        <v>42736</v>
      </c>
      <c r="AH67" s="243">
        <f>DATE($L$1-1,2,1)</f>
        <v>42767</v>
      </c>
      <c r="AI67" s="243">
        <f>DATE($L$1-1,3,1)</f>
        <v>42795</v>
      </c>
      <c r="AJ67" s="243">
        <f>DATE($L$1-1,4,1)</f>
        <v>42826</v>
      </c>
      <c r="AK67" s="243">
        <f>DATE($L$1-1,5,1)</f>
        <v>42856</v>
      </c>
      <c r="AL67" s="243">
        <f>DATE($L$1-1,6,1)</f>
        <v>42887</v>
      </c>
      <c r="AM67" s="243">
        <f>DATE($L$1-1,7,1)</f>
        <v>42917</v>
      </c>
      <c r="AN67" s="243">
        <f>DATE($L$1-1,8,1)</f>
        <v>42948</v>
      </c>
      <c r="AO67" s="243">
        <f>DATE($L$1-1,9,1)</f>
        <v>42979</v>
      </c>
      <c r="AP67" s="243">
        <f>DATE($L$1-1,10,1)</f>
        <v>43009</v>
      </c>
      <c r="AQ67" s="243">
        <f>DATE($L$1-1,11,1)</f>
        <v>43040</v>
      </c>
      <c r="AR67" s="243">
        <f>DATE($L$1-1,12,1)</f>
        <v>43070</v>
      </c>
      <c r="AS67" s="243">
        <f>DATE($L$1,1,1)</f>
        <v>43101</v>
      </c>
      <c r="AT67" s="243">
        <f>DATE($L$1,2,1)</f>
        <v>43132</v>
      </c>
      <c r="AU67" s="243">
        <f>DATE($L$1,3,1)</f>
        <v>43160</v>
      </c>
      <c r="AV67" s="243">
        <f>DATE($L$1,4,1)</f>
        <v>43191</v>
      </c>
      <c r="AW67" s="243">
        <f>DATE($L$1,5,1)</f>
        <v>43221</v>
      </c>
      <c r="AX67" s="243">
        <f>DATE($L$1,6,1)</f>
        <v>43252</v>
      </c>
      <c r="AY67" s="243">
        <f>DATE($L$1,7,1)</f>
        <v>43282</v>
      </c>
      <c r="AZ67" s="243">
        <f>DATE($L$1,8,1)</f>
        <v>43313</v>
      </c>
      <c r="BA67" s="243">
        <f>DATE($L$1,9,1)</f>
        <v>43344</v>
      </c>
      <c r="BB67" s="243">
        <f>DATE($L$1,10,1)</f>
        <v>43374</v>
      </c>
      <c r="BC67" s="243">
        <f>DATE($L$1,11,1)</f>
        <v>43405</v>
      </c>
      <c r="BD67" s="243"/>
    </row>
    <row r="68" spans="9:57" ht="15" thickTop="1" x14ac:dyDescent="0.3">
      <c r="I68" s="242" t="s">
        <v>150</v>
      </c>
      <c r="J68" s="33">
        <f>J10</f>
        <v>5</v>
      </c>
      <c r="K68" s="33">
        <f>K11</f>
        <v>11</v>
      </c>
      <c r="L68" s="33">
        <f>L11</f>
        <v>20</v>
      </c>
      <c r="M68" s="33">
        <f>M13</f>
        <v>17</v>
      </c>
      <c r="N68" s="33">
        <f>N15</f>
        <v>23</v>
      </c>
      <c r="O68" s="33">
        <f>O17</f>
        <v>26</v>
      </c>
      <c r="P68" s="33">
        <f>P19</f>
        <v>41</v>
      </c>
      <c r="Q68" s="33">
        <f>Q19</f>
        <v>51</v>
      </c>
      <c r="R68" s="33">
        <f>R21</f>
        <v>55</v>
      </c>
      <c r="S68" s="33">
        <f>S23</f>
        <v>56</v>
      </c>
      <c r="T68" s="33">
        <f>T25</f>
        <v>50</v>
      </c>
      <c r="U68" s="33">
        <f>U27</f>
        <v>54</v>
      </c>
      <c r="V68" s="33">
        <f>V29</f>
        <v>53</v>
      </c>
      <c r="W68" s="33">
        <f>W31</f>
        <v>48</v>
      </c>
      <c r="X68" s="33">
        <f>X31</f>
        <v>63</v>
      </c>
      <c r="Y68" s="33">
        <f>Y33</f>
        <v>51</v>
      </c>
      <c r="Z68" s="33">
        <f>Z35</f>
        <v>47</v>
      </c>
      <c r="AA68" s="33">
        <f>AA37</f>
        <v>45</v>
      </c>
      <c r="AB68" s="33">
        <f>AB39</f>
        <v>48</v>
      </c>
      <c r="AC68" s="33">
        <f>AC39</f>
        <v>54</v>
      </c>
      <c r="AD68" s="33">
        <f>AD41</f>
        <v>50</v>
      </c>
      <c r="AE68" s="33">
        <f>AE43</f>
        <v>50</v>
      </c>
      <c r="AF68" s="33">
        <f>AF45</f>
        <v>42</v>
      </c>
      <c r="AG68" s="33">
        <f>AG47</f>
        <v>48</v>
      </c>
      <c r="AH68" s="33">
        <f>AH49</f>
        <v>38</v>
      </c>
      <c r="AI68" s="33">
        <f>AI51</f>
        <v>49</v>
      </c>
      <c r="AJ68" s="33">
        <f>AJ51</f>
        <v>59</v>
      </c>
      <c r="AK68" s="33">
        <f>AK53</f>
        <v>44</v>
      </c>
      <c r="AL68" s="33">
        <f>AL55</f>
        <v>48</v>
      </c>
      <c r="AM68" s="33">
        <f>AM57</f>
        <v>46</v>
      </c>
      <c r="AN68" s="33">
        <f>AN59</f>
        <v>44</v>
      </c>
      <c r="AO68" s="33">
        <f>AO59</f>
        <v>53</v>
      </c>
      <c r="AP68" s="33">
        <f>AP61</f>
        <v>49</v>
      </c>
      <c r="AQ68" s="33">
        <f>AQ63</f>
        <v>61</v>
      </c>
      <c r="AR68" s="33">
        <f t="shared" ref="AR68:BC68" si="2">AR65</f>
        <v>47</v>
      </c>
      <c r="AS68" s="33">
        <f t="shared" si="2"/>
        <v>73</v>
      </c>
      <c r="AT68" s="33">
        <f t="shared" si="2"/>
        <v>55</v>
      </c>
      <c r="AU68" s="33">
        <f t="shared" si="2"/>
        <v>52</v>
      </c>
      <c r="AV68" s="33">
        <f t="shared" si="2"/>
        <v>42</v>
      </c>
      <c r="AW68" s="33">
        <f t="shared" si="2"/>
        <v>37</v>
      </c>
      <c r="AX68" s="33">
        <f t="shared" si="2"/>
        <v>53</v>
      </c>
      <c r="AY68" s="33">
        <f t="shared" si="2"/>
        <v>31</v>
      </c>
      <c r="AZ68" s="33">
        <f t="shared" si="2"/>
        <v>22</v>
      </c>
      <c r="BA68" s="33">
        <f t="shared" si="2"/>
        <v>21</v>
      </c>
      <c r="BB68" s="33">
        <f t="shared" si="2"/>
        <v>25</v>
      </c>
      <c r="BC68" s="33">
        <f t="shared" si="2"/>
        <v>7</v>
      </c>
      <c r="BD68" s="33"/>
      <c r="BE68" s="33"/>
    </row>
    <row r="69" spans="9:57" ht="14.4" x14ac:dyDescent="0.3">
      <c r="I69" s="241" t="s">
        <v>149</v>
      </c>
      <c r="J69" s="33">
        <f>H6</f>
        <v>4</v>
      </c>
      <c r="K69" s="33">
        <f>H6+H8</f>
        <v>7</v>
      </c>
      <c r="L69" s="33">
        <f>H6+H8+H10</f>
        <v>9</v>
      </c>
      <c r="M69" s="33">
        <f>H6+H8+H10</f>
        <v>9</v>
      </c>
      <c r="N69" s="33">
        <f>H6+H8+H10+H12</f>
        <v>11</v>
      </c>
      <c r="O69" s="33">
        <f>H6+H8+H10+H12+H14</f>
        <v>14</v>
      </c>
      <c r="P69" s="33">
        <f>H6+H8+H10+H12+H14+H16</f>
        <v>18</v>
      </c>
      <c r="Q69" s="33">
        <f>H6+H8+H10+H12+H14+H16+H18</f>
        <v>22</v>
      </c>
      <c r="R69" s="33">
        <f>H6+H8+H10+H12+H14+H16+H18</f>
        <v>22</v>
      </c>
      <c r="S69" s="33">
        <f>H6+H8+H10+H12+H14+H16+H18+H20</f>
        <v>25</v>
      </c>
      <c r="T69" s="33">
        <f>H6+H8+H10+H12+H14+H16+H18+H20+H22</f>
        <v>27</v>
      </c>
      <c r="U69" s="33">
        <f>H8+H10+H12+H14+H16+H18+H20+H22+H24</f>
        <v>26</v>
      </c>
      <c r="V69" s="33">
        <f>H8+H12+H14+H16+H18+H20+H22+H24+H26</f>
        <v>28</v>
      </c>
      <c r="W69" s="33">
        <f>H12+H14+H16+H18+H20+H22+H24+H26+H28</f>
        <v>28</v>
      </c>
      <c r="X69" s="33">
        <f>H12+H14+H16+H18+H20+H22+H24+H26+H28+H30</f>
        <v>32</v>
      </c>
      <c r="Y69" s="33">
        <f>H14+H16+H18+H20+H22+H24+H26+H28+H30</f>
        <v>30</v>
      </c>
      <c r="Z69" s="33">
        <f>H14+H16+H18+H20+H22+H24+H26+H28+H30+H32</f>
        <v>32</v>
      </c>
      <c r="AA69" s="33">
        <f>H20+H22+H24+H26+H28+H30+H32+H34</f>
        <v>24</v>
      </c>
      <c r="AB69" s="33">
        <f>H20+H22+H24+H26+H28+H30+H32+H34+H36</f>
        <v>28</v>
      </c>
      <c r="AC69" s="33">
        <f>H20+H22+H24+H26+H28+H30+H32+H34+H36+H38</f>
        <v>30</v>
      </c>
      <c r="AD69" s="33">
        <f>H20+H24+H26+H28+H30+H32+H34+H36+H38</f>
        <v>28</v>
      </c>
      <c r="AE69" s="33">
        <f>H24+H26+H28+H30+H32+H34+H36+H38+H40</f>
        <v>27</v>
      </c>
      <c r="AF69" s="33">
        <f>H24+H26+H30+H32+H34+H36+H38+H40+H42</f>
        <v>27</v>
      </c>
      <c r="AG69" s="33">
        <f>H28+H30+H32+H34+H36+H38+H40+H42+H44</f>
        <v>27</v>
      </c>
      <c r="AH69" s="33">
        <f>H28+H32+H34+H36+H38+H40+H42+H44+H46</f>
        <v>27</v>
      </c>
      <c r="AI69" s="33">
        <f>H30+H32+H34+H36+H38+H40+H42+H44+H46+H48</f>
        <v>31</v>
      </c>
      <c r="AJ69" s="33">
        <f>H32+H34+H36+H38+H40+H42+H44+H46+H48+H50</f>
        <v>29</v>
      </c>
      <c r="AK69" s="33">
        <f>H34+H38+H40+H42+H44+H46+H48+H50</f>
        <v>23</v>
      </c>
      <c r="AL69" s="33">
        <f>H36+H38+H40+H42+H44+H46+H48+H50+H52</f>
        <v>27</v>
      </c>
      <c r="AM69" s="33">
        <f>H40+H42+H44+H46+H48+H50+H52+H54</f>
        <v>25</v>
      </c>
      <c r="AN69" s="33">
        <f>H40+H42+H44+H46+H48+H50+H52+H54+H56</f>
        <v>28</v>
      </c>
      <c r="AO69" s="33">
        <f>H40+H42+H44+H46+H48+H50+H52+H54+H56+H58</f>
        <v>30</v>
      </c>
      <c r="AP69" s="33">
        <f>H44+H46+H48+H50+H52+H54+H56+H58</f>
        <v>25</v>
      </c>
      <c r="AQ69" s="33">
        <f>H44+H46+H48+H50+H52+H54+H56+H58+H60</f>
        <v>29</v>
      </c>
      <c r="AR69" s="33">
        <f>H46+H48+H50+H52+H54+H56+H58+H60+H62</f>
        <v>27</v>
      </c>
      <c r="AS69" s="33">
        <f>H48+H50+H52+H54+H56+H58+H60+H62+H64</f>
        <v>27</v>
      </c>
      <c r="AT69" s="33">
        <f>H50+H52+H54+H56+H58+H60+H62+H64</f>
        <v>24</v>
      </c>
      <c r="AU69" s="33">
        <f>H52+H54+H56+H58+H60+H62+H64</f>
        <v>22</v>
      </c>
      <c r="AV69" s="33">
        <f>H52+H54+H56+H58+H60+H62+H64</f>
        <v>22</v>
      </c>
      <c r="AW69" s="33">
        <f>H54+H56+H58+H60+H62+H64</f>
        <v>19</v>
      </c>
      <c r="AX69" s="33">
        <f>H56+H58+H60+H62+H64</f>
        <v>15</v>
      </c>
      <c r="AY69" s="33">
        <f>H58+H60+H62+H64</f>
        <v>12</v>
      </c>
      <c r="AZ69" s="33">
        <f>H60+H62+H64</f>
        <v>10</v>
      </c>
      <c r="BA69" s="33">
        <f>H60+H62+H64</f>
        <v>10</v>
      </c>
      <c r="BB69" s="33">
        <f>H62+H64</f>
        <v>6</v>
      </c>
      <c r="BC69" s="33">
        <f>H64</f>
        <v>4</v>
      </c>
      <c r="BD69" s="33"/>
      <c r="BE69" s="33"/>
    </row>
    <row r="70" spans="9:57" ht="14.4" x14ac:dyDescent="0.3">
      <c r="I70" s="240" t="s">
        <v>148</v>
      </c>
      <c r="J70" s="33">
        <f t="shared" ref="J70:BC70" si="3">J68/J69</f>
        <v>1.25</v>
      </c>
      <c r="K70" s="33">
        <f t="shared" si="3"/>
        <v>1.5714285714285714</v>
      </c>
      <c r="L70" s="33">
        <f t="shared" si="3"/>
        <v>2.2222222222222223</v>
      </c>
      <c r="M70" s="33">
        <f t="shared" si="3"/>
        <v>1.8888888888888888</v>
      </c>
      <c r="N70" s="33">
        <f t="shared" si="3"/>
        <v>2.0909090909090908</v>
      </c>
      <c r="O70" s="33">
        <f t="shared" si="3"/>
        <v>1.8571428571428572</v>
      </c>
      <c r="P70" s="33">
        <f t="shared" si="3"/>
        <v>2.2777777777777777</v>
      </c>
      <c r="Q70" s="33">
        <f t="shared" si="3"/>
        <v>2.3181818181818183</v>
      </c>
      <c r="R70" s="33">
        <f t="shared" si="3"/>
        <v>2.5</v>
      </c>
      <c r="S70" s="33">
        <f t="shared" si="3"/>
        <v>2.2400000000000002</v>
      </c>
      <c r="T70" s="33">
        <f t="shared" si="3"/>
        <v>1.8518518518518519</v>
      </c>
      <c r="U70" s="33">
        <f t="shared" si="3"/>
        <v>2.0769230769230771</v>
      </c>
      <c r="V70" s="33">
        <f t="shared" si="3"/>
        <v>1.8928571428571428</v>
      </c>
      <c r="W70" s="33">
        <f t="shared" si="3"/>
        <v>1.7142857142857142</v>
      </c>
      <c r="X70" s="33">
        <f t="shared" si="3"/>
        <v>1.96875</v>
      </c>
      <c r="Y70" s="33">
        <f t="shared" si="3"/>
        <v>1.7</v>
      </c>
      <c r="Z70" s="33">
        <f t="shared" si="3"/>
        <v>1.46875</v>
      </c>
      <c r="AA70" s="33">
        <f t="shared" si="3"/>
        <v>1.875</v>
      </c>
      <c r="AB70" s="33">
        <f t="shared" si="3"/>
        <v>1.7142857142857142</v>
      </c>
      <c r="AC70" s="33">
        <f t="shared" si="3"/>
        <v>1.8</v>
      </c>
      <c r="AD70" s="33">
        <f t="shared" si="3"/>
        <v>1.7857142857142858</v>
      </c>
      <c r="AE70" s="33">
        <f t="shared" si="3"/>
        <v>1.8518518518518519</v>
      </c>
      <c r="AF70" s="33">
        <f t="shared" si="3"/>
        <v>1.5555555555555556</v>
      </c>
      <c r="AG70" s="33">
        <f t="shared" si="3"/>
        <v>1.7777777777777777</v>
      </c>
      <c r="AH70" s="33">
        <f t="shared" si="3"/>
        <v>1.4074074074074074</v>
      </c>
      <c r="AI70" s="33">
        <f t="shared" si="3"/>
        <v>1.5806451612903225</v>
      </c>
      <c r="AJ70" s="33">
        <f t="shared" si="3"/>
        <v>2.0344827586206895</v>
      </c>
      <c r="AK70" s="33">
        <f t="shared" si="3"/>
        <v>1.9130434782608696</v>
      </c>
      <c r="AL70" s="33">
        <f t="shared" si="3"/>
        <v>1.7777777777777777</v>
      </c>
      <c r="AM70" s="33">
        <f t="shared" si="3"/>
        <v>1.84</v>
      </c>
      <c r="AN70" s="33">
        <f t="shared" si="3"/>
        <v>1.5714285714285714</v>
      </c>
      <c r="AO70" s="33">
        <f t="shared" si="3"/>
        <v>1.7666666666666666</v>
      </c>
      <c r="AP70" s="33">
        <f t="shared" si="3"/>
        <v>1.96</v>
      </c>
      <c r="AQ70" s="33">
        <f t="shared" si="3"/>
        <v>2.103448275862069</v>
      </c>
      <c r="AR70" s="33">
        <f t="shared" si="3"/>
        <v>1.7407407407407407</v>
      </c>
      <c r="AS70" s="33">
        <f t="shared" si="3"/>
        <v>2.7037037037037037</v>
      </c>
      <c r="AT70" s="33">
        <f t="shared" si="3"/>
        <v>2.2916666666666665</v>
      </c>
      <c r="AU70" s="33">
        <f t="shared" si="3"/>
        <v>2.3636363636363638</v>
      </c>
      <c r="AV70" s="33">
        <f t="shared" si="3"/>
        <v>1.9090909090909092</v>
      </c>
      <c r="AW70" s="33">
        <f t="shared" si="3"/>
        <v>1.9473684210526316</v>
      </c>
      <c r="AX70" s="33">
        <f t="shared" si="3"/>
        <v>3.5333333333333332</v>
      </c>
      <c r="AY70" s="33">
        <f t="shared" si="3"/>
        <v>2.5833333333333335</v>
      </c>
      <c r="AZ70" s="33">
        <f t="shared" si="3"/>
        <v>2.2000000000000002</v>
      </c>
      <c r="BA70" s="33">
        <f t="shared" si="3"/>
        <v>2.1</v>
      </c>
      <c r="BB70" s="33">
        <f t="shared" si="3"/>
        <v>4.166666666666667</v>
      </c>
      <c r="BC70" s="33">
        <f t="shared" si="3"/>
        <v>1.75</v>
      </c>
      <c r="BD70" s="33"/>
      <c r="BE70" s="33"/>
    </row>
    <row r="71" spans="9:57" x14ac:dyDescent="0.25"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spans="9:57" x14ac:dyDescent="0.25"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spans="9:57" x14ac:dyDescent="0.25"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harsh</cp:lastModifiedBy>
  <cp:lastPrinted>2001-08-17T03:08:13Z</cp:lastPrinted>
  <dcterms:created xsi:type="dcterms:W3CDTF">2015-07-04T22:57:10Z</dcterms:created>
  <dcterms:modified xsi:type="dcterms:W3CDTF">2018-10-06T01:37:53Z</dcterms:modified>
</cp:coreProperties>
</file>