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\OneDrive\Desktop\"/>
    </mc:Choice>
  </mc:AlternateContent>
  <xr:revisionPtr revIDLastSave="0" documentId="13_ncr:1_{3DA01537-85DB-4733-B828-4C119BDD872A}" xr6:coauthVersionLast="47" xr6:coauthVersionMax="47" xr10:uidLastSave="{00000000-0000-0000-0000-000000000000}"/>
  <bookViews>
    <workbookView xWindow="-120" yWindow="-120" windowWidth="20730" windowHeight="11040" firstSheet="7" activeTab="13" xr2:uid="{A429414A-669A-4FA8-9BBF-D86F447F6C39}"/>
  </bookViews>
  <sheets>
    <sheet name="One Pager" sheetId="16" r:id="rId1"/>
    <sheet name="Historical FS" sheetId="1" r:id="rId2"/>
    <sheet name="Cash Flow " sheetId="3" r:id="rId3"/>
    <sheet name="Common Size" sheetId="4" r:id="rId4"/>
    <sheet name="Ratio Analysis" sheetId="5" r:id="rId5"/>
    <sheet name="Forecasting" sheetId="6" r:id="rId6"/>
    <sheet name="Beta" sheetId="7" r:id="rId7"/>
    <sheet name="Rm" sheetId="11" r:id="rId8"/>
    <sheet name="WACC" sheetId="9" r:id="rId9"/>
    <sheet name="ROIC" sheetId="12" r:id="rId10"/>
    <sheet name="DCF" sheetId="13" r:id="rId11"/>
    <sheet name="Relative Valuation" sheetId="14" r:id="rId12"/>
    <sheet name="VaR" sheetId="15" r:id="rId13"/>
    <sheet name="Sheet2" sheetId="17" r:id="rId14"/>
    <sheet name="Data Sheet" sheetId="2" r:id="rId15"/>
    <sheet name="Peer Data" sheetId="10" r:id="rId16"/>
  </sheets>
  <definedNames>
    <definedName name="_xlnm._FilterDatabase" localSheetId="12" hidden="1">VaR!$E$9:$E$74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5" l="1"/>
  <c r="K26" i="15"/>
  <c r="K25" i="15"/>
  <c r="K24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10" i="15"/>
  <c r="G11" i="15"/>
  <c r="G9" i="15"/>
  <c r="F11" i="15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10" i="15"/>
  <c r="D62" i="15"/>
  <c r="D24" i="15"/>
  <c r="D15" i="15"/>
  <c r="D66" i="15"/>
  <c r="D58" i="15"/>
  <c r="D54" i="15"/>
  <c r="D34" i="15"/>
  <c r="D52" i="15"/>
  <c r="D73" i="15"/>
  <c r="D44" i="15"/>
  <c r="D11" i="15"/>
  <c r="D65" i="15"/>
  <c r="D23" i="15"/>
  <c r="D43" i="15"/>
  <c r="D53" i="15"/>
  <c r="D12" i="15"/>
  <c r="D67" i="15"/>
  <c r="D64" i="15"/>
  <c r="D13" i="15"/>
  <c r="D30" i="15"/>
  <c r="D42" i="15"/>
  <c r="D50" i="15"/>
  <c r="D56" i="15"/>
  <c r="D35" i="15"/>
  <c r="D21" i="15"/>
  <c r="D69" i="15"/>
  <c r="D59" i="15"/>
  <c r="D22" i="15"/>
  <c r="D17" i="15"/>
  <c r="O14" i="15"/>
  <c r="D72" i="15"/>
  <c r="D20" i="15"/>
  <c r="D70" i="15"/>
  <c r="D45" i="15"/>
  <c r="D74" i="15"/>
  <c r="D18" i="15"/>
  <c r="D32" i="15"/>
  <c r="D14" i="15"/>
  <c r="D19" i="15"/>
  <c r="D27" i="15"/>
  <c r="D46" i="15"/>
  <c r="D68" i="15"/>
  <c r="D51" i="15"/>
  <c r="D71" i="15"/>
  <c r="D26" i="15"/>
  <c r="D33" i="15"/>
  <c r="D38" i="15"/>
  <c r="D47" i="15"/>
  <c r="D48" i="15"/>
  <c r="D57" i="15"/>
  <c r="D40" i="15"/>
  <c r="D16" i="15"/>
  <c r="D55" i="15"/>
  <c r="D28" i="15"/>
  <c r="D60" i="15"/>
  <c r="D39" i="15"/>
  <c r="D61" i="15"/>
  <c r="D25" i="15"/>
  <c r="D63" i="15"/>
  <c r="D36" i="15"/>
  <c r="D37" i="15"/>
  <c r="D10" i="15"/>
  <c r="D49" i="15"/>
  <c r="D41" i="15"/>
  <c r="D29" i="15"/>
  <c r="D31" i="15"/>
  <c r="D9" i="15"/>
  <c r="L26" i="15" l="1"/>
  <c r="L25" i="15"/>
  <c r="L24" i="15"/>
  <c r="L27" i="15"/>
  <c r="O18" i="15"/>
  <c r="O20" i="15"/>
  <c r="O17" i="15"/>
  <c r="O19" i="15"/>
  <c r="O10" i="15"/>
  <c r="O11" i="15"/>
  <c r="O12" i="15"/>
  <c r="O13" i="15"/>
  <c r="M25" i="15" l="1"/>
  <c r="N25" i="15" s="1"/>
  <c r="M27" i="15"/>
  <c r="N27" i="15" s="1"/>
  <c r="M26" i="15"/>
  <c r="N26" i="15" s="1"/>
  <c r="M24" i="15"/>
  <c r="N24" i="15" s="1"/>
  <c r="Q18" i="14"/>
  <c r="O18" i="14"/>
  <c r="H18" i="14"/>
  <c r="P18" i="14" s="1"/>
  <c r="F18" i="14"/>
  <c r="L10" i="14"/>
  <c r="F17" i="14"/>
  <c r="H17" i="14" s="1"/>
  <c r="F16" i="14"/>
  <c r="H16" i="14" s="1"/>
  <c r="F15" i="14"/>
  <c r="H15" i="14" s="1"/>
  <c r="F14" i="14"/>
  <c r="H14" i="14" s="1"/>
  <c r="F13" i="14"/>
  <c r="H13" i="14" s="1"/>
  <c r="F12" i="14"/>
  <c r="Q12" i="14" s="1"/>
  <c r="F11" i="14"/>
  <c r="H11" i="14" s="1"/>
  <c r="O31" i="14"/>
  <c r="P31" i="14" s="1"/>
  <c r="Q31" i="14" s="1"/>
  <c r="F10" i="14"/>
  <c r="Q10" i="14" s="1"/>
  <c r="P11" i="14" l="1"/>
  <c r="O11" i="14"/>
  <c r="P13" i="14"/>
  <c r="O13" i="14"/>
  <c r="P14" i="14"/>
  <c r="O14" i="14"/>
  <c r="P15" i="14"/>
  <c r="O15" i="14"/>
  <c r="P16" i="14"/>
  <c r="O16" i="14"/>
  <c r="P17" i="14"/>
  <c r="O17" i="14"/>
  <c r="Q14" i="14"/>
  <c r="Q15" i="14"/>
  <c r="Q17" i="14"/>
  <c r="Q11" i="14"/>
  <c r="Q21" i="14" s="1"/>
  <c r="Q13" i="14"/>
  <c r="Q16" i="14"/>
  <c r="H10" i="14"/>
  <c r="H12" i="14"/>
  <c r="Q22" i="14" l="1"/>
  <c r="Q25" i="14"/>
  <c r="Q24" i="14"/>
  <c r="Q32" i="14" s="1"/>
  <c r="Q34" i="14" s="1"/>
  <c r="Q36" i="14" s="1"/>
  <c r="P12" i="14"/>
  <c r="O12" i="14"/>
  <c r="Q23" i="14"/>
  <c r="P10" i="14"/>
  <c r="O10" i="14"/>
  <c r="Q26" i="14"/>
  <c r="F22" i="13"/>
  <c r="C38" i="13"/>
  <c r="C35" i="13"/>
  <c r="C32" i="13"/>
  <c r="C31" i="13"/>
  <c r="C33" i="13" s="1"/>
  <c r="C37" i="13" s="1"/>
  <c r="C23" i="13"/>
  <c r="C27" i="13" s="1"/>
  <c r="C25" i="13"/>
  <c r="C24" i="13"/>
  <c r="Q30" i="14" l="1"/>
  <c r="O26" i="14"/>
  <c r="O23" i="14"/>
  <c r="O22" i="14"/>
  <c r="O24" i="14"/>
  <c r="O30" i="14" s="1"/>
  <c r="O32" i="14" s="1"/>
  <c r="O34" i="14" s="1"/>
  <c r="O36" i="14" s="1"/>
  <c r="O25" i="14"/>
  <c r="O21" i="14"/>
  <c r="P24" i="14"/>
  <c r="P30" i="14" s="1"/>
  <c r="P32" i="14" s="1"/>
  <c r="P34" i="14" s="1"/>
  <c r="P36" i="14" s="1"/>
  <c r="P25" i="14"/>
  <c r="P21" i="14"/>
  <c r="P26" i="14"/>
  <c r="P22" i="14"/>
  <c r="P23" i="14"/>
  <c r="C40" i="13"/>
  <c r="C43" i="13" l="1"/>
  <c r="H25" i="13"/>
  <c r="G15" i="13"/>
  <c r="H15" i="13"/>
  <c r="I15" i="13"/>
  <c r="J15" i="13"/>
  <c r="F15" i="13"/>
  <c r="C19" i="13"/>
  <c r="G13" i="13" s="1"/>
  <c r="G12" i="13"/>
  <c r="H12" i="13" s="1"/>
  <c r="I12" i="13" s="1"/>
  <c r="J12" i="13" s="1"/>
  <c r="J13" i="13" s="1"/>
  <c r="G36" i="12"/>
  <c r="H36" i="12"/>
  <c r="I36" i="12"/>
  <c r="J36" i="12"/>
  <c r="F36" i="12"/>
  <c r="E7" i="13"/>
  <c r="E9" i="13" s="1"/>
  <c r="E24" i="10"/>
  <c r="F24" i="10"/>
  <c r="G24" i="10"/>
  <c r="H24" i="10"/>
  <c r="I24" i="10"/>
  <c r="J24" i="10"/>
  <c r="K24" i="10"/>
  <c r="L24" i="10"/>
  <c r="M24" i="10"/>
  <c r="N24" i="10"/>
  <c r="O24" i="10"/>
  <c r="D24" i="10"/>
  <c r="G5" i="13"/>
  <c r="H5" i="13" s="1"/>
  <c r="I5" i="13" s="1"/>
  <c r="J5" i="13" s="1"/>
  <c r="F42" i="12"/>
  <c r="E31" i="10"/>
  <c r="D31" i="10"/>
  <c r="G31" i="10"/>
  <c r="H31" i="10"/>
  <c r="I31" i="10"/>
  <c r="J31" i="10"/>
  <c r="K31" i="10"/>
  <c r="L31" i="10"/>
  <c r="G42" i="12" s="1"/>
  <c r="M31" i="10"/>
  <c r="H42" i="12" s="1"/>
  <c r="N31" i="10"/>
  <c r="I42" i="12" s="1"/>
  <c r="O31" i="10"/>
  <c r="J42" i="12" s="1"/>
  <c r="F31" i="10"/>
  <c r="G40" i="12"/>
  <c r="H40" i="12" s="1"/>
  <c r="I40" i="12" s="1"/>
  <c r="J40" i="12" s="1"/>
  <c r="O26" i="10"/>
  <c r="N26" i="10"/>
  <c r="M26" i="10"/>
  <c r="L26" i="10"/>
  <c r="K26" i="10"/>
  <c r="J26" i="10"/>
  <c r="I26" i="10"/>
  <c r="H26" i="10"/>
  <c r="G26" i="10"/>
  <c r="F26" i="10"/>
  <c r="E26" i="10"/>
  <c r="D26" i="10"/>
  <c r="F24" i="12"/>
  <c r="G24" i="12"/>
  <c r="H24" i="12"/>
  <c r="I24" i="12"/>
  <c r="J24" i="12"/>
  <c r="F25" i="12"/>
  <c r="G25" i="12"/>
  <c r="H25" i="12"/>
  <c r="I25" i="12"/>
  <c r="J25" i="12"/>
  <c r="F26" i="12"/>
  <c r="G26" i="12"/>
  <c r="H26" i="12"/>
  <c r="I26" i="12"/>
  <c r="J26" i="12"/>
  <c r="F27" i="12"/>
  <c r="G27" i="12"/>
  <c r="H27" i="12"/>
  <c r="I27" i="12"/>
  <c r="J27" i="12"/>
  <c r="F28" i="12"/>
  <c r="G28" i="12"/>
  <c r="H28" i="12"/>
  <c r="I28" i="12"/>
  <c r="J28" i="12"/>
  <c r="F29" i="12"/>
  <c r="G29" i="12"/>
  <c r="H29" i="12"/>
  <c r="I29" i="12"/>
  <c r="J29" i="12"/>
  <c r="F30" i="12"/>
  <c r="G30" i="12"/>
  <c r="H30" i="12"/>
  <c r="I30" i="12"/>
  <c r="J30" i="12"/>
  <c r="G23" i="12"/>
  <c r="H23" i="12"/>
  <c r="I23" i="12"/>
  <c r="J23" i="12"/>
  <c r="F23" i="12"/>
  <c r="J18" i="12"/>
  <c r="I18" i="12"/>
  <c r="H18" i="12"/>
  <c r="G18" i="12"/>
  <c r="F18" i="12"/>
  <c r="F9" i="12"/>
  <c r="G9" i="12"/>
  <c r="H9" i="12"/>
  <c r="I9" i="12"/>
  <c r="I11" i="12" s="1"/>
  <c r="I20" i="12" s="1"/>
  <c r="J9" i="12"/>
  <c r="F10" i="12"/>
  <c r="G10" i="12"/>
  <c r="H10" i="12"/>
  <c r="I10" i="12"/>
  <c r="J10" i="12"/>
  <c r="G8" i="12"/>
  <c r="H8" i="12"/>
  <c r="I8" i="12"/>
  <c r="J8" i="12"/>
  <c r="J11" i="12" s="1"/>
  <c r="F8" i="12"/>
  <c r="F11" i="12" s="1"/>
  <c r="G5" i="12"/>
  <c r="H5" i="12" s="1"/>
  <c r="I5" i="12" s="1"/>
  <c r="J5" i="12" s="1"/>
  <c r="E21" i="9"/>
  <c r="E34" i="9"/>
  <c r="D34" i="9"/>
  <c r="C32" i="9"/>
  <c r="E31" i="9"/>
  <c r="K37" i="9" s="1"/>
  <c r="D31" i="9"/>
  <c r="C31" i="9"/>
  <c r="D30" i="9"/>
  <c r="H13" i="9"/>
  <c r="H12" i="9"/>
  <c r="H10" i="9"/>
  <c r="H11" i="9"/>
  <c r="K40" i="9"/>
  <c r="F13" i="13" l="1"/>
  <c r="H13" i="13"/>
  <c r="F7" i="13"/>
  <c r="I13" i="13"/>
  <c r="F20" i="12"/>
  <c r="J20" i="12"/>
  <c r="J43" i="12" s="1"/>
  <c r="J45" i="12"/>
  <c r="J47" i="12" s="1"/>
  <c r="J54" i="12" s="1"/>
  <c r="I31" i="12"/>
  <c r="I33" i="12" s="1"/>
  <c r="I35" i="12" s="1"/>
  <c r="I38" i="12" s="1"/>
  <c r="I55" i="12" s="1"/>
  <c r="G11" i="12"/>
  <c r="G20" i="12" s="1"/>
  <c r="H31" i="12"/>
  <c r="H33" i="12" s="1"/>
  <c r="H11" i="12"/>
  <c r="H20" i="12" s="1"/>
  <c r="F31" i="12"/>
  <c r="F33" i="12" s="1"/>
  <c r="F35" i="12" s="1"/>
  <c r="F38" i="12" s="1"/>
  <c r="F55" i="12" s="1"/>
  <c r="G31" i="12"/>
  <c r="G33" i="12" s="1"/>
  <c r="J31" i="12"/>
  <c r="J33" i="12" s="1"/>
  <c r="E23" i="9"/>
  <c r="K39" i="9" s="1"/>
  <c r="K31" i="9"/>
  <c r="K30" i="9"/>
  <c r="K22" i="9"/>
  <c r="F8" i="11"/>
  <c r="F6" i="11"/>
  <c r="F9" i="13" l="1"/>
  <c r="G7" i="13"/>
  <c r="F45" i="12"/>
  <c r="G43" i="12"/>
  <c r="G45" i="12" s="1"/>
  <c r="G47" i="12" s="1"/>
  <c r="G35" i="12"/>
  <c r="G38" i="12" s="1"/>
  <c r="G55" i="12" s="1"/>
  <c r="H43" i="12"/>
  <c r="J35" i="12"/>
  <c r="J38" i="12" s="1"/>
  <c r="J55" i="12" s="1"/>
  <c r="J57" i="12" s="1"/>
  <c r="I43" i="12"/>
  <c r="I45" i="12" s="1"/>
  <c r="I47" i="12" s="1"/>
  <c r="I54" i="12" s="1"/>
  <c r="I57" i="12" s="1"/>
  <c r="H35" i="12"/>
  <c r="H38" i="12" s="1"/>
  <c r="H55" i="12" s="1"/>
  <c r="H45" i="12"/>
  <c r="H47" i="12" s="1"/>
  <c r="H54" i="12" s="1"/>
  <c r="J16" i="9"/>
  <c r="G16" i="9"/>
  <c r="J15" i="9"/>
  <c r="G15" i="9"/>
  <c r="I11" i="9"/>
  <c r="I12" i="9"/>
  <c r="I13" i="9"/>
  <c r="I10" i="9"/>
  <c r="I16" i="9" s="1"/>
  <c r="K13" i="9"/>
  <c r="K12" i="9"/>
  <c r="K11" i="9"/>
  <c r="H15" i="9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J11" i="7" s="1"/>
  <c r="J17" i="7" s="1"/>
  <c r="D13" i="7"/>
  <c r="D12" i="7"/>
  <c r="H7" i="13" l="1"/>
  <c r="G9" i="13"/>
  <c r="G54" i="12"/>
  <c r="J50" i="12"/>
  <c r="E10" i="13" s="1"/>
  <c r="J49" i="12"/>
  <c r="F54" i="12"/>
  <c r="F57" i="12" s="1"/>
  <c r="H57" i="12"/>
  <c r="G57" i="12"/>
  <c r="H16" i="9"/>
  <c r="K10" i="9"/>
  <c r="I15" i="9"/>
  <c r="I51" i="6"/>
  <c r="I52" i="6"/>
  <c r="I53" i="6"/>
  <c r="I54" i="6"/>
  <c r="I50" i="6"/>
  <c r="J49" i="6"/>
  <c r="J48" i="6"/>
  <c r="J47" i="6"/>
  <c r="J46" i="6"/>
  <c r="J45" i="6"/>
  <c r="J44" i="6"/>
  <c r="J43" i="6"/>
  <c r="J42" i="6"/>
  <c r="G42" i="6"/>
  <c r="G43" i="6" s="1"/>
  <c r="G44" i="6" s="1"/>
  <c r="G45" i="6" s="1"/>
  <c r="G46" i="6" s="1"/>
  <c r="G47" i="6" s="1"/>
  <c r="G48" i="6" s="1"/>
  <c r="G49" i="6" s="1"/>
  <c r="G50" i="6" s="1"/>
  <c r="J41" i="6"/>
  <c r="H41" i="6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G41" i="6"/>
  <c r="D51" i="6"/>
  <c r="D52" i="6"/>
  <c r="D53" i="6"/>
  <c r="D54" i="6"/>
  <c r="D50" i="6"/>
  <c r="E49" i="6"/>
  <c r="E48" i="6"/>
  <c r="E47" i="6"/>
  <c r="E46" i="6"/>
  <c r="E45" i="6"/>
  <c r="E44" i="6"/>
  <c r="E43" i="6"/>
  <c r="E42" i="6"/>
  <c r="E41" i="6"/>
  <c r="C41" i="6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B41" i="6"/>
  <c r="B42" i="6" s="1"/>
  <c r="B43" i="6" s="1"/>
  <c r="B44" i="6" s="1"/>
  <c r="B45" i="6" s="1"/>
  <c r="B46" i="6" s="1"/>
  <c r="B47" i="6" s="1"/>
  <c r="B48" i="6" s="1"/>
  <c r="B49" i="6" s="1"/>
  <c r="B50" i="6" s="1"/>
  <c r="J13" i="6"/>
  <c r="J14" i="6"/>
  <c r="J15" i="6"/>
  <c r="J16" i="6"/>
  <c r="J17" i="6"/>
  <c r="J18" i="6"/>
  <c r="J19" i="6"/>
  <c r="J20" i="6"/>
  <c r="J12" i="6"/>
  <c r="I22" i="6"/>
  <c r="J22" i="6" s="1"/>
  <c r="I23" i="6"/>
  <c r="J23" i="6" s="1"/>
  <c r="I24" i="6"/>
  <c r="J24" i="6" s="1"/>
  <c r="I25" i="6"/>
  <c r="J25" i="6" s="1"/>
  <c r="I21" i="6"/>
  <c r="J21" i="6" s="1"/>
  <c r="G13" i="6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H12" i="6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G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12" i="6"/>
  <c r="D22" i="6"/>
  <c r="D23" i="6"/>
  <c r="D24" i="6"/>
  <c r="D25" i="6"/>
  <c r="D21" i="6"/>
  <c r="C13" i="6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12" i="6"/>
  <c r="B24" i="6"/>
  <c r="B25" i="6"/>
  <c r="B13" i="6"/>
  <c r="B14" i="6"/>
  <c r="B15" i="6"/>
  <c r="B16" i="6" s="1"/>
  <c r="B17" i="6" s="1"/>
  <c r="B18" i="6" s="1"/>
  <c r="B19" i="6" s="1"/>
  <c r="B20" i="6" s="1"/>
  <c r="B21" i="6" s="1"/>
  <c r="B22" i="6" s="1"/>
  <c r="B23" i="6" s="1"/>
  <c r="B12" i="6"/>
  <c r="F10" i="13" l="1"/>
  <c r="E11" i="13"/>
  <c r="I7" i="13"/>
  <c r="H9" i="13"/>
  <c r="J60" i="12"/>
  <c r="J59" i="12"/>
  <c r="K16" i="9"/>
  <c r="K29" i="9" s="1"/>
  <c r="K32" i="9" s="1"/>
  <c r="K23" i="9" s="1"/>
  <c r="K24" i="9" s="1"/>
  <c r="K36" i="9" s="1"/>
  <c r="K42" i="9" s="1"/>
  <c r="K15" i="9"/>
  <c r="J50" i="6"/>
  <c r="G51" i="6"/>
  <c r="B51" i="6"/>
  <c r="E50" i="6"/>
  <c r="O32" i="5"/>
  <c r="N32" i="5"/>
  <c r="O31" i="5"/>
  <c r="N31" i="5"/>
  <c r="O30" i="5"/>
  <c r="N30" i="5"/>
  <c r="O29" i="5"/>
  <c r="N29" i="5"/>
  <c r="O28" i="5"/>
  <c r="N28" i="5"/>
  <c r="O13" i="5"/>
  <c r="O14" i="5"/>
  <c r="O15" i="5"/>
  <c r="O16" i="5"/>
  <c r="O18" i="5"/>
  <c r="O19" i="5"/>
  <c r="O20" i="5"/>
  <c r="O21" i="5"/>
  <c r="O22" i="5"/>
  <c r="O24" i="5"/>
  <c r="O25" i="5"/>
  <c r="O26" i="5"/>
  <c r="O34" i="5"/>
  <c r="O35" i="5"/>
  <c r="O36" i="5"/>
  <c r="O37" i="5"/>
  <c r="O38" i="5"/>
  <c r="O40" i="5"/>
  <c r="O41" i="5"/>
  <c r="O42" i="5"/>
  <c r="O43" i="5"/>
  <c r="O45" i="5"/>
  <c r="O46" i="5"/>
  <c r="O47" i="5"/>
  <c r="O12" i="5"/>
  <c r="N24" i="5"/>
  <c r="N25" i="5"/>
  <c r="N26" i="5"/>
  <c r="N34" i="5"/>
  <c r="N35" i="5"/>
  <c r="N36" i="5"/>
  <c r="N37" i="5"/>
  <c r="N38" i="5"/>
  <c r="N40" i="5"/>
  <c r="N41" i="5"/>
  <c r="N42" i="5"/>
  <c r="N43" i="5"/>
  <c r="N45" i="5"/>
  <c r="N46" i="5"/>
  <c r="N47" i="5"/>
  <c r="N19" i="5"/>
  <c r="N20" i="5"/>
  <c r="N21" i="5"/>
  <c r="N22" i="5"/>
  <c r="N18" i="5"/>
  <c r="N13" i="5"/>
  <c r="N14" i="5"/>
  <c r="N15" i="5"/>
  <c r="N16" i="5"/>
  <c r="N12" i="5"/>
  <c r="F47" i="5"/>
  <c r="G47" i="5"/>
  <c r="H47" i="5"/>
  <c r="I47" i="5"/>
  <c r="J47" i="5"/>
  <c r="K47" i="5"/>
  <c r="L47" i="5"/>
  <c r="E47" i="5"/>
  <c r="D47" i="5"/>
  <c r="C47" i="5"/>
  <c r="D46" i="5"/>
  <c r="E46" i="5"/>
  <c r="F46" i="5"/>
  <c r="G46" i="5"/>
  <c r="H46" i="5"/>
  <c r="I46" i="5"/>
  <c r="J46" i="5"/>
  <c r="K46" i="5"/>
  <c r="L46" i="5"/>
  <c r="C46" i="5"/>
  <c r="D45" i="5"/>
  <c r="E45" i="5"/>
  <c r="F45" i="5"/>
  <c r="G45" i="5"/>
  <c r="H45" i="5"/>
  <c r="I45" i="5"/>
  <c r="J45" i="5"/>
  <c r="K45" i="5"/>
  <c r="L45" i="5"/>
  <c r="C45" i="5"/>
  <c r="L43" i="5"/>
  <c r="K43" i="5"/>
  <c r="J43" i="5"/>
  <c r="I43" i="5"/>
  <c r="H43" i="5"/>
  <c r="G43" i="5"/>
  <c r="F43" i="5"/>
  <c r="E43" i="5"/>
  <c r="D43" i="5"/>
  <c r="C43" i="5"/>
  <c r="L42" i="5"/>
  <c r="K42" i="5"/>
  <c r="J42" i="5"/>
  <c r="I42" i="5"/>
  <c r="H42" i="5"/>
  <c r="G42" i="5"/>
  <c r="F42" i="5"/>
  <c r="E42" i="5"/>
  <c r="D42" i="5"/>
  <c r="C42" i="5"/>
  <c r="L41" i="5"/>
  <c r="K41" i="5"/>
  <c r="J41" i="5"/>
  <c r="I41" i="5"/>
  <c r="H41" i="5"/>
  <c r="G41" i="5"/>
  <c r="F41" i="5"/>
  <c r="E41" i="5"/>
  <c r="D41" i="5"/>
  <c r="C41" i="5"/>
  <c r="L40" i="5"/>
  <c r="K40" i="5"/>
  <c r="J40" i="5"/>
  <c r="I40" i="5"/>
  <c r="H40" i="5"/>
  <c r="G40" i="5"/>
  <c r="F40" i="5"/>
  <c r="E40" i="5"/>
  <c r="D40" i="5"/>
  <c r="C40" i="5"/>
  <c r="L38" i="5"/>
  <c r="K38" i="5"/>
  <c r="J38" i="5"/>
  <c r="I38" i="5"/>
  <c r="H38" i="5"/>
  <c r="G38" i="5"/>
  <c r="F38" i="5"/>
  <c r="E38" i="5"/>
  <c r="D38" i="5"/>
  <c r="L37" i="5"/>
  <c r="K37" i="5"/>
  <c r="J37" i="5"/>
  <c r="I37" i="5"/>
  <c r="H37" i="5"/>
  <c r="G37" i="5"/>
  <c r="F37" i="5"/>
  <c r="E37" i="5"/>
  <c r="D37" i="5"/>
  <c r="L36" i="5"/>
  <c r="K36" i="5"/>
  <c r="J36" i="5"/>
  <c r="I36" i="5"/>
  <c r="H36" i="5"/>
  <c r="G36" i="5"/>
  <c r="F36" i="5"/>
  <c r="E36" i="5"/>
  <c r="D36" i="5"/>
  <c r="C38" i="5"/>
  <c r="C37" i="5"/>
  <c r="C36" i="5"/>
  <c r="D35" i="5"/>
  <c r="E35" i="5"/>
  <c r="F35" i="5"/>
  <c r="G35" i="5"/>
  <c r="H35" i="5"/>
  <c r="I35" i="5"/>
  <c r="J35" i="5"/>
  <c r="K35" i="5"/>
  <c r="L35" i="5"/>
  <c r="C35" i="5"/>
  <c r="D34" i="5"/>
  <c r="E34" i="5"/>
  <c r="F34" i="5"/>
  <c r="G34" i="5"/>
  <c r="H34" i="5"/>
  <c r="I34" i="5"/>
  <c r="J34" i="5"/>
  <c r="K34" i="5"/>
  <c r="L34" i="5"/>
  <c r="C34" i="5"/>
  <c r="D32" i="5"/>
  <c r="E32" i="5"/>
  <c r="F32" i="5"/>
  <c r="G32" i="5"/>
  <c r="H32" i="5"/>
  <c r="I32" i="5"/>
  <c r="J32" i="5"/>
  <c r="K32" i="5"/>
  <c r="L32" i="5"/>
  <c r="C32" i="5"/>
  <c r="L31" i="5"/>
  <c r="K31" i="5"/>
  <c r="J31" i="5"/>
  <c r="I31" i="5"/>
  <c r="H31" i="5"/>
  <c r="G31" i="5"/>
  <c r="F31" i="5"/>
  <c r="E31" i="5"/>
  <c r="D31" i="5"/>
  <c r="C31" i="5"/>
  <c r="D30" i="5"/>
  <c r="E30" i="5"/>
  <c r="F30" i="5"/>
  <c r="G30" i="5"/>
  <c r="H30" i="5"/>
  <c r="I30" i="5"/>
  <c r="J30" i="5"/>
  <c r="K30" i="5"/>
  <c r="L30" i="5"/>
  <c r="C30" i="5"/>
  <c r="D29" i="5"/>
  <c r="E29" i="5"/>
  <c r="F29" i="5"/>
  <c r="G29" i="5"/>
  <c r="H29" i="5"/>
  <c r="I29" i="5"/>
  <c r="J29" i="5"/>
  <c r="K29" i="5"/>
  <c r="L29" i="5"/>
  <c r="C29" i="5"/>
  <c r="L28" i="5"/>
  <c r="K28" i="5"/>
  <c r="J28" i="5"/>
  <c r="I28" i="5"/>
  <c r="H28" i="5"/>
  <c r="G28" i="5"/>
  <c r="F28" i="5"/>
  <c r="E28" i="5"/>
  <c r="D28" i="5"/>
  <c r="C28" i="5"/>
  <c r="D26" i="5"/>
  <c r="E26" i="5"/>
  <c r="F26" i="5"/>
  <c r="G26" i="5"/>
  <c r="H26" i="5"/>
  <c r="I26" i="5"/>
  <c r="J26" i="5"/>
  <c r="K26" i="5"/>
  <c r="L26" i="5"/>
  <c r="C26" i="5"/>
  <c r="D25" i="5"/>
  <c r="E25" i="5"/>
  <c r="F25" i="5"/>
  <c r="G25" i="5"/>
  <c r="H25" i="5"/>
  <c r="I25" i="5"/>
  <c r="J25" i="5"/>
  <c r="K25" i="5"/>
  <c r="L25" i="5"/>
  <c r="C25" i="5"/>
  <c r="D24" i="5"/>
  <c r="E24" i="5"/>
  <c r="F24" i="5"/>
  <c r="G24" i="5"/>
  <c r="H24" i="5"/>
  <c r="I24" i="5"/>
  <c r="J24" i="5"/>
  <c r="K24" i="5"/>
  <c r="L24" i="5"/>
  <c r="C24" i="5"/>
  <c r="D22" i="5"/>
  <c r="E22" i="5"/>
  <c r="F22" i="5"/>
  <c r="G22" i="5"/>
  <c r="H22" i="5"/>
  <c r="I22" i="5"/>
  <c r="J22" i="5"/>
  <c r="K22" i="5"/>
  <c r="L22" i="5"/>
  <c r="C22" i="5"/>
  <c r="D21" i="5"/>
  <c r="E21" i="5"/>
  <c r="F21" i="5"/>
  <c r="G21" i="5"/>
  <c r="H21" i="5"/>
  <c r="I21" i="5"/>
  <c r="J21" i="5"/>
  <c r="K21" i="5"/>
  <c r="L21" i="5"/>
  <c r="C21" i="5"/>
  <c r="D20" i="5"/>
  <c r="E20" i="5"/>
  <c r="F20" i="5"/>
  <c r="G20" i="5"/>
  <c r="H20" i="5"/>
  <c r="I20" i="5"/>
  <c r="J20" i="5"/>
  <c r="K20" i="5"/>
  <c r="L20" i="5"/>
  <c r="C20" i="5"/>
  <c r="D19" i="5"/>
  <c r="E19" i="5"/>
  <c r="F19" i="5"/>
  <c r="G19" i="5"/>
  <c r="H19" i="5"/>
  <c r="I19" i="5"/>
  <c r="J19" i="5"/>
  <c r="K19" i="5"/>
  <c r="L19" i="5"/>
  <c r="C19" i="5"/>
  <c r="D18" i="5"/>
  <c r="E18" i="5"/>
  <c r="F18" i="5"/>
  <c r="G18" i="5"/>
  <c r="H18" i="5"/>
  <c r="I18" i="5"/>
  <c r="J18" i="5"/>
  <c r="K18" i="5"/>
  <c r="L18" i="5"/>
  <c r="C18" i="5"/>
  <c r="E16" i="5"/>
  <c r="F16" i="5"/>
  <c r="G16" i="5"/>
  <c r="H16" i="5"/>
  <c r="I16" i="5"/>
  <c r="J16" i="5"/>
  <c r="K16" i="5"/>
  <c r="L16" i="5"/>
  <c r="D16" i="5"/>
  <c r="E15" i="5"/>
  <c r="F15" i="5"/>
  <c r="G15" i="5"/>
  <c r="H15" i="5"/>
  <c r="I15" i="5"/>
  <c r="J15" i="5"/>
  <c r="K15" i="5"/>
  <c r="L15" i="5"/>
  <c r="D15" i="5"/>
  <c r="E14" i="5"/>
  <c r="F14" i="5"/>
  <c r="G14" i="5"/>
  <c r="H14" i="5"/>
  <c r="I14" i="5"/>
  <c r="J14" i="5"/>
  <c r="K14" i="5"/>
  <c r="L14" i="5"/>
  <c r="D14" i="5"/>
  <c r="E13" i="5"/>
  <c r="F13" i="5"/>
  <c r="G13" i="5"/>
  <c r="H13" i="5"/>
  <c r="I13" i="5"/>
  <c r="J13" i="5"/>
  <c r="K13" i="5"/>
  <c r="L13" i="5"/>
  <c r="D13" i="5"/>
  <c r="E12" i="5"/>
  <c r="F12" i="5"/>
  <c r="G12" i="5"/>
  <c r="H12" i="5"/>
  <c r="I12" i="5"/>
  <c r="J12" i="5"/>
  <c r="K12" i="5"/>
  <c r="L12" i="5"/>
  <c r="D12" i="5"/>
  <c r="B9" i="5"/>
  <c r="D10" i="5"/>
  <c r="E10" i="5" s="1"/>
  <c r="F10" i="5" s="1"/>
  <c r="G10" i="5" s="1"/>
  <c r="H10" i="5" s="1"/>
  <c r="I10" i="5" s="1"/>
  <c r="J10" i="5" s="1"/>
  <c r="K10" i="5" s="1"/>
  <c r="L10" i="5" s="1"/>
  <c r="J7" i="13" l="1"/>
  <c r="J9" i="13" s="1"/>
  <c r="J11" i="13" s="1"/>
  <c r="I9" i="13"/>
  <c r="G10" i="13"/>
  <c r="F11" i="13"/>
  <c r="J51" i="6"/>
  <c r="G52" i="6"/>
  <c r="E51" i="6"/>
  <c r="B52" i="6"/>
  <c r="C43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D42" i="4"/>
  <c r="E42" i="4"/>
  <c r="F42" i="4"/>
  <c r="G42" i="4"/>
  <c r="H42" i="4"/>
  <c r="I42" i="4"/>
  <c r="J42" i="4"/>
  <c r="K42" i="4"/>
  <c r="L42" i="4"/>
  <c r="C42" i="4"/>
  <c r="D41" i="4"/>
  <c r="E41" i="4"/>
  <c r="F41" i="4"/>
  <c r="G41" i="4"/>
  <c r="H41" i="4"/>
  <c r="I41" i="4"/>
  <c r="J41" i="4"/>
  <c r="K41" i="4"/>
  <c r="L41" i="4"/>
  <c r="C41" i="4"/>
  <c r="C39" i="4"/>
  <c r="D39" i="4"/>
  <c r="E39" i="4"/>
  <c r="F39" i="4"/>
  <c r="G39" i="4"/>
  <c r="H39" i="4"/>
  <c r="I39" i="4"/>
  <c r="J39" i="4"/>
  <c r="K39" i="4"/>
  <c r="L39" i="4"/>
  <c r="C40" i="4"/>
  <c r="D40" i="4"/>
  <c r="E40" i="4"/>
  <c r="F40" i="4"/>
  <c r="G40" i="4"/>
  <c r="H40" i="4"/>
  <c r="I40" i="4"/>
  <c r="J40" i="4"/>
  <c r="K40" i="4"/>
  <c r="L40" i="4"/>
  <c r="D38" i="4"/>
  <c r="E38" i="4"/>
  <c r="F38" i="4"/>
  <c r="G38" i="4"/>
  <c r="H38" i="4"/>
  <c r="I38" i="4"/>
  <c r="J38" i="4"/>
  <c r="K38" i="4"/>
  <c r="L38" i="4"/>
  <c r="C38" i="4"/>
  <c r="D37" i="4"/>
  <c r="E37" i="4"/>
  <c r="F37" i="4"/>
  <c r="G37" i="4"/>
  <c r="H37" i="4"/>
  <c r="I37" i="4"/>
  <c r="J37" i="4"/>
  <c r="K37" i="4"/>
  <c r="L37" i="4"/>
  <c r="C37" i="4"/>
  <c r="C33" i="4"/>
  <c r="D33" i="4"/>
  <c r="E33" i="4"/>
  <c r="F33" i="4"/>
  <c r="G33" i="4"/>
  <c r="H33" i="4"/>
  <c r="I33" i="4"/>
  <c r="J33" i="4"/>
  <c r="K33" i="4"/>
  <c r="L33" i="4"/>
  <c r="C34" i="4"/>
  <c r="D34" i="4"/>
  <c r="E34" i="4"/>
  <c r="F34" i="4"/>
  <c r="G34" i="4"/>
  <c r="H34" i="4"/>
  <c r="I34" i="4"/>
  <c r="J34" i="4"/>
  <c r="K34" i="4"/>
  <c r="L34" i="4"/>
  <c r="C35" i="4"/>
  <c r="D35" i="4"/>
  <c r="E35" i="4"/>
  <c r="F35" i="4"/>
  <c r="G35" i="4"/>
  <c r="H35" i="4"/>
  <c r="I35" i="4"/>
  <c r="J35" i="4"/>
  <c r="K35" i="4"/>
  <c r="L35" i="4"/>
  <c r="D32" i="4"/>
  <c r="E32" i="4"/>
  <c r="F32" i="4"/>
  <c r="G32" i="4"/>
  <c r="H32" i="4"/>
  <c r="I32" i="4"/>
  <c r="J32" i="4"/>
  <c r="K32" i="4"/>
  <c r="L32" i="4"/>
  <c r="C32" i="4"/>
  <c r="D31" i="4"/>
  <c r="E31" i="4"/>
  <c r="F31" i="4"/>
  <c r="G31" i="4"/>
  <c r="H31" i="4"/>
  <c r="I31" i="4"/>
  <c r="J31" i="4"/>
  <c r="K31" i="4"/>
  <c r="L31" i="4"/>
  <c r="C31" i="4"/>
  <c r="B28" i="4"/>
  <c r="B9" i="4"/>
  <c r="D29" i="4"/>
  <c r="E29" i="4" s="1"/>
  <c r="F29" i="4" s="1"/>
  <c r="G29" i="4" s="1"/>
  <c r="H29" i="4" s="1"/>
  <c r="I29" i="4" s="1"/>
  <c r="J29" i="4" s="1"/>
  <c r="K29" i="4" s="1"/>
  <c r="L29" i="4" s="1"/>
  <c r="L26" i="4"/>
  <c r="K26" i="4"/>
  <c r="J26" i="4"/>
  <c r="I26" i="4"/>
  <c r="H26" i="4"/>
  <c r="G26" i="4"/>
  <c r="F26" i="4"/>
  <c r="E26" i="4"/>
  <c r="D26" i="4"/>
  <c r="C26" i="4"/>
  <c r="L25" i="4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L21" i="4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L17" i="4"/>
  <c r="K17" i="4"/>
  <c r="J17" i="4"/>
  <c r="I17" i="4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L15" i="4"/>
  <c r="K15" i="4"/>
  <c r="J15" i="4"/>
  <c r="I15" i="4"/>
  <c r="H15" i="4"/>
  <c r="G15" i="4"/>
  <c r="F15" i="4"/>
  <c r="E15" i="4"/>
  <c r="D15" i="4"/>
  <c r="C15" i="4"/>
  <c r="L14" i="4"/>
  <c r="K14" i="4"/>
  <c r="J14" i="4"/>
  <c r="I14" i="4"/>
  <c r="H14" i="4"/>
  <c r="G14" i="4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D12" i="4"/>
  <c r="E12" i="4"/>
  <c r="F12" i="4"/>
  <c r="G12" i="4"/>
  <c r="H12" i="4"/>
  <c r="I12" i="4"/>
  <c r="J12" i="4"/>
  <c r="K12" i="4"/>
  <c r="L12" i="4"/>
  <c r="C12" i="4"/>
  <c r="D10" i="4"/>
  <c r="E10" i="4" s="1"/>
  <c r="F10" i="4" s="1"/>
  <c r="G10" i="4" s="1"/>
  <c r="H10" i="4" s="1"/>
  <c r="I10" i="4" s="1"/>
  <c r="J10" i="4" s="1"/>
  <c r="K10" i="4" s="1"/>
  <c r="L10" i="4" s="1"/>
  <c r="D50" i="3"/>
  <c r="E50" i="3"/>
  <c r="F50" i="3"/>
  <c r="G50" i="3"/>
  <c r="H50" i="3"/>
  <c r="I50" i="3"/>
  <c r="J50" i="3"/>
  <c r="K50" i="3"/>
  <c r="L50" i="3"/>
  <c r="C50" i="3"/>
  <c r="D48" i="3"/>
  <c r="E48" i="3"/>
  <c r="F48" i="3"/>
  <c r="G48" i="3"/>
  <c r="H48" i="3"/>
  <c r="I48" i="3"/>
  <c r="J48" i="3"/>
  <c r="K48" i="3"/>
  <c r="L48" i="3"/>
  <c r="C48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D41" i="3"/>
  <c r="E41" i="3"/>
  <c r="F41" i="3"/>
  <c r="G41" i="3"/>
  <c r="H41" i="3"/>
  <c r="I41" i="3"/>
  <c r="J41" i="3"/>
  <c r="K41" i="3"/>
  <c r="L41" i="3"/>
  <c r="C41" i="3"/>
  <c r="F38" i="3"/>
  <c r="G38" i="3"/>
  <c r="H38" i="3"/>
  <c r="I38" i="3"/>
  <c r="J38" i="3"/>
  <c r="K38" i="3"/>
  <c r="L38" i="3"/>
  <c r="E38" i="3"/>
  <c r="D38" i="3"/>
  <c r="C38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D27" i="3"/>
  <c r="E27" i="3"/>
  <c r="F27" i="3"/>
  <c r="G27" i="3"/>
  <c r="H27" i="3"/>
  <c r="I27" i="3"/>
  <c r="J27" i="3"/>
  <c r="K27" i="3"/>
  <c r="L27" i="3"/>
  <c r="C27" i="3"/>
  <c r="D21" i="3"/>
  <c r="E21" i="3"/>
  <c r="F21" i="3"/>
  <c r="G21" i="3"/>
  <c r="H21" i="3"/>
  <c r="I21" i="3"/>
  <c r="J21" i="3"/>
  <c r="K21" i="3"/>
  <c r="L21" i="3"/>
  <c r="D22" i="3"/>
  <c r="E22" i="3"/>
  <c r="F22" i="3"/>
  <c r="G22" i="3"/>
  <c r="H22" i="3"/>
  <c r="I22" i="3"/>
  <c r="J22" i="3"/>
  <c r="K22" i="3"/>
  <c r="L22" i="3"/>
  <c r="C22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13" i="3"/>
  <c r="D24" i="3" s="1"/>
  <c r="E13" i="3"/>
  <c r="E24" i="3" s="1"/>
  <c r="F13" i="3"/>
  <c r="F24" i="3" s="1"/>
  <c r="G13" i="3"/>
  <c r="G24" i="3" s="1"/>
  <c r="H13" i="3"/>
  <c r="H24" i="3" s="1"/>
  <c r="I13" i="3"/>
  <c r="I24" i="3" s="1"/>
  <c r="J13" i="3"/>
  <c r="J24" i="3" s="1"/>
  <c r="K13" i="3"/>
  <c r="K24" i="3" s="1"/>
  <c r="L13" i="3"/>
  <c r="L24" i="3" s="1"/>
  <c r="C13" i="3"/>
  <c r="C24" i="3" s="1"/>
  <c r="B9" i="3"/>
  <c r="D10" i="3"/>
  <c r="E10" i="3" s="1"/>
  <c r="F10" i="3" s="1"/>
  <c r="G10" i="3" s="1"/>
  <c r="H10" i="3" s="1"/>
  <c r="I10" i="3" s="1"/>
  <c r="J10" i="3" s="1"/>
  <c r="K10" i="3" s="1"/>
  <c r="L10" i="3" s="1"/>
  <c r="B7" i="1"/>
  <c r="H63" i="1"/>
  <c r="D69" i="1"/>
  <c r="D63" i="1" s="1"/>
  <c r="D64" i="1" s="1"/>
  <c r="D71" i="1" s="1"/>
  <c r="H69" i="1"/>
  <c r="L69" i="1"/>
  <c r="L63" i="1" s="1"/>
  <c r="L64" i="1" s="1"/>
  <c r="L71" i="1" s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G69" i="1" s="1"/>
  <c r="H68" i="1"/>
  <c r="I68" i="1"/>
  <c r="J68" i="1"/>
  <c r="K68" i="1"/>
  <c r="K69" i="1" s="1"/>
  <c r="K63" i="1" s="1"/>
  <c r="K64" i="1" s="1"/>
  <c r="L68" i="1"/>
  <c r="D66" i="1"/>
  <c r="E66" i="1"/>
  <c r="E69" i="1" s="1"/>
  <c r="E63" i="1" s="1"/>
  <c r="E64" i="1" s="1"/>
  <c r="E71" i="1" s="1"/>
  <c r="F66" i="1"/>
  <c r="F69" i="1" s="1"/>
  <c r="G66" i="1"/>
  <c r="H66" i="1"/>
  <c r="I66" i="1"/>
  <c r="I69" i="1" s="1"/>
  <c r="I63" i="1" s="1"/>
  <c r="I64" i="1" s="1"/>
  <c r="I71" i="1" s="1"/>
  <c r="J66" i="1"/>
  <c r="J69" i="1" s="1"/>
  <c r="J63" i="1" s="1"/>
  <c r="J64" i="1" s="1"/>
  <c r="K66" i="1"/>
  <c r="L66" i="1"/>
  <c r="C66" i="1"/>
  <c r="C69" i="1" s="1"/>
  <c r="C63" i="1" s="1"/>
  <c r="C64" i="1" s="1"/>
  <c r="C71" i="1" s="1"/>
  <c r="B67" i="1"/>
  <c r="B68" i="1"/>
  <c r="B66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D60" i="1"/>
  <c r="E60" i="1"/>
  <c r="F60" i="1"/>
  <c r="G60" i="1"/>
  <c r="H60" i="1"/>
  <c r="I60" i="1"/>
  <c r="J60" i="1"/>
  <c r="K60" i="1"/>
  <c r="L60" i="1"/>
  <c r="C60" i="1"/>
  <c r="B61" i="1"/>
  <c r="B62" i="1"/>
  <c r="B63" i="1"/>
  <c r="B60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D54" i="1"/>
  <c r="D58" i="1" s="1"/>
  <c r="E54" i="1"/>
  <c r="E58" i="1" s="1"/>
  <c r="F54" i="1"/>
  <c r="F58" i="1" s="1"/>
  <c r="G54" i="1"/>
  <c r="G58" i="1" s="1"/>
  <c r="H54" i="1"/>
  <c r="H58" i="1" s="1"/>
  <c r="I54" i="1"/>
  <c r="I58" i="1" s="1"/>
  <c r="J54" i="1"/>
  <c r="J58" i="1" s="1"/>
  <c r="K54" i="1"/>
  <c r="K58" i="1" s="1"/>
  <c r="L54" i="1"/>
  <c r="L58" i="1" s="1"/>
  <c r="C54" i="1"/>
  <c r="C58" i="1" s="1"/>
  <c r="B55" i="1"/>
  <c r="B56" i="1"/>
  <c r="B57" i="1"/>
  <c r="B54" i="1"/>
  <c r="L47" i="1"/>
  <c r="H47" i="1"/>
  <c r="D47" i="1"/>
  <c r="C47" i="1"/>
  <c r="D42" i="1"/>
  <c r="E42" i="1"/>
  <c r="E47" i="1" s="1"/>
  <c r="F42" i="1"/>
  <c r="F47" i="1" s="1"/>
  <c r="G42" i="1"/>
  <c r="G47" i="1" s="1"/>
  <c r="H42" i="1"/>
  <c r="I42" i="1"/>
  <c r="I47" i="1" s="1"/>
  <c r="J42" i="1"/>
  <c r="J47" i="1" s="1"/>
  <c r="K42" i="1"/>
  <c r="K47" i="1" s="1"/>
  <c r="L42" i="1"/>
  <c r="C42" i="1"/>
  <c r="L36" i="1"/>
  <c r="K36" i="1"/>
  <c r="J36" i="1"/>
  <c r="I36" i="1"/>
  <c r="H36" i="1"/>
  <c r="G36" i="1"/>
  <c r="F36" i="1"/>
  <c r="E36" i="1"/>
  <c r="D36" i="1"/>
  <c r="C36" i="1"/>
  <c r="L30" i="1"/>
  <c r="L31" i="1" s="1"/>
  <c r="K30" i="1"/>
  <c r="K31" i="1" s="1"/>
  <c r="J30" i="1"/>
  <c r="J31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C31" i="1" s="1"/>
  <c r="L27" i="1"/>
  <c r="L28" i="1" s="1"/>
  <c r="K27" i="1"/>
  <c r="K28" i="1" s="1"/>
  <c r="J27" i="1"/>
  <c r="J28" i="1" s="1"/>
  <c r="I27" i="1"/>
  <c r="I28" i="1" s="1"/>
  <c r="H27" i="1"/>
  <c r="H28" i="1" s="1"/>
  <c r="G27" i="1"/>
  <c r="G28" i="1" s="1"/>
  <c r="F27" i="1"/>
  <c r="F28" i="1" s="1"/>
  <c r="E27" i="1"/>
  <c r="E28" i="1" s="1"/>
  <c r="D27" i="1"/>
  <c r="D28" i="1" s="1"/>
  <c r="C27" i="1"/>
  <c r="C28" i="1" s="1"/>
  <c r="K22" i="1"/>
  <c r="G22" i="1"/>
  <c r="L21" i="1"/>
  <c r="K21" i="1"/>
  <c r="J21" i="1"/>
  <c r="J22" i="1" s="1"/>
  <c r="I21" i="1"/>
  <c r="I22" i="1" s="1"/>
  <c r="H21" i="1"/>
  <c r="G21" i="1"/>
  <c r="F21" i="1"/>
  <c r="F22" i="1" s="1"/>
  <c r="E21" i="1"/>
  <c r="E22" i="1" s="1"/>
  <c r="D21" i="1"/>
  <c r="C21" i="1"/>
  <c r="K13" i="1"/>
  <c r="G13" i="1"/>
  <c r="L16" i="1"/>
  <c r="H16" i="1"/>
  <c r="D16" i="1"/>
  <c r="D15" i="1"/>
  <c r="E15" i="1"/>
  <c r="F15" i="1"/>
  <c r="F16" i="1" s="1"/>
  <c r="G15" i="1"/>
  <c r="G16" i="1" s="1"/>
  <c r="H15" i="1"/>
  <c r="I15" i="1"/>
  <c r="J15" i="1"/>
  <c r="J16" i="1" s="1"/>
  <c r="K15" i="1"/>
  <c r="K16" i="1" s="1"/>
  <c r="L15" i="1"/>
  <c r="C15" i="1"/>
  <c r="D12" i="1"/>
  <c r="D22" i="1" s="1"/>
  <c r="E12" i="1"/>
  <c r="E18" i="1" s="1"/>
  <c r="E19" i="1" s="1"/>
  <c r="F12" i="1"/>
  <c r="F13" i="1" s="1"/>
  <c r="G12" i="1"/>
  <c r="G18" i="1" s="1"/>
  <c r="G19" i="1" s="1"/>
  <c r="H12" i="1"/>
  <c r="H18" i="1" s="1"/>
  <c r="H24" i="1" s="1"/>
  <c r="I12" i="1"/>
  <c r="I18" i="1" s="1"/>
  <c r="I19" i="1" s="1"/>
  <c r="J12" i="1"/>
  <c r="J13" i="1" s="1"/>
  <c r="K12" i="1"/>
  <c r="K18" i="1" s="1"/>
  <c r="K24" i="1" s="1"/>
  <c r="L12" i="1"/>
  <c r="L22" i="1" s="1"/>
  <c r="C12" i="1"/>
  <c r="C16" i="1" s="1"/>
  <c r="H10" i="13" l="1"/>
  <c r="G11" i="13"/>
  <c r="G53" i="6"/>
  <c r="J52" i="6"/>
  <c r="B53" i="6"/>
  <c r="E52" i="6"/>
  <c r="C18" i="1"/>
  <c r="L18" i="1"/>
  <c r="L24" i="1" s="1"/>
  <c r="D18" i="1"/>
  <c r="D24" i="1" s="1"/>
  <c r="E16" i="1"/>
  <c r="I16" i="1"/>
  <c r="D13" i="1"/>
  <c r="H13" i="1"/>
  <c r="L13" i="1"/>
  <c r="H22" i="1"/>
  <c r="E13" i="1"/>
  <c r="I13" i="1"/>
  <c r="C22" i="1"/>
  <c r="H64" i="1"/>
  <c r="H71" i="1" s="1"/>
  <c r="J18" i="1"/>
  <c r="J19" i="1" s="1"/>
  <c r="F18" i="1"/>
  <c r="J71" i="1"/>
  <c r="J73" i="1" s="1"/>
  <c r="K71" i="1"/>
  <c r="K73" i="1" s="1"/>
  <c r="G63" i="1"/>
  <c r="G64" i="1" s="1"/>
  <c r="G71" i="1" s="1"/>
  <c r="G73" i="1" s="1"/>
  <c r="F63" i="1"/>
  <c r="F64" i="1" s="1"/>
  <c r="F71" i="1" s="1"/>
  <c r="F73" i="1" s="1"/>
  <c r="D73" i="1"/>
  <c r="L73" i="1"/>
  <c r="H73" i="1"/>
  <c r="C73" i="1"/>
  <c r="I73" i="1"/>
  <c r="E73" i="1"/>
  <c r="J24" i="1"/>
  <c r="J25" i="1" s="1"/>
  <c r="L19" i="1"/>
  <c r="D19" i="1"/>
  <c r="H19" i="1"/>
  <c r="K33" i="1"/>
  <c r="K25" i="1"/>
  <c r="L33" i="1"/>
  <c r="L25" i="1"/>
  <c r="H33" i="1"/>
  <c r="H25" i="1"/>
  <c r="D33" i="1"/>
  <c r="D25" i="1"/>
  <c r="K19" i="1"/>
  <c r="G24" i="1"/>
  <c r="E24" i="1"/>
  <c r="I24" i="1"/>
  <c r="J33" i="1"/>
  <c r="D8" i="1"/>
  <c r="E8" i="1" s="1"/>
  <c r="F8" i="1" s="1"/>
  <c r="G8" i="1" s="1"/>
  <c r="H8" i="1" s="1"/>
  <c r="I8" i="1" s="1"/>
  <c r="J8" i="1" s="1"/>
  <c r="K8" i="1" s="1"/>
  <c r="L8" i="1" s="1"/>
  <c r="I10" i="13" l="1"/>
  <c r="I11" i="13" s="1"/>
  <c r="H11" i="13"/>
  <c r="J53" i="6"/>
  <c r="G54" i="6"/>
  <c r="J54" i="6" s="1"/>
  <c r="E53" i="6"/>
  <c r="B54" i="6"/>
  <c r="E54" i="6" s="1"/>
  <c r="F19" i="1"/>
  <c r="F24" i="1"/>
  <c r="C24" i="1"/>
  <c r="C19" i="1"/>
  <c r="I25" i="1"/>
  <c r="I33" i="1"/>
  <c r="K39" i="1"/>
  <c r="K37" i="1"/>
  <c r="K34" i="1"/>
  <c r="E33" i="1"/>
  <c r="E25" i="1"/>
  <c r="J37" i="1"/>
  <c r="J34" i="1"/>
  <c r="J39" i="1"/>
  <c r="G25" i="1"/>
  <c r="G33" i="1"/>
  <c r="D39" i="1"/>
  <c r="D37" i="1"/>
  <c r="D34" i="1"/>
  <c r="L39" i="1"/>
  <c r="L37" i="1"/>
  <c r="L34" i="1"/>
  <c r="H39" i="1"/>
  <c r="H34" i="1"/>
  <c r="H37" i="1"/>
  <c r="C33" i="1" l="1"/>
  <c r="C25" i="1"/>
  <c r="F25" i="1"/>
  <c r="F33" i="1"/>
  <c r="G37" i="1"/>
  <c r="G34" i="1"/>
  <c r="G39" i="1"/>
  <c r="J44" i="1"/>
  <c r="J40" i="1"/>
  <c r="E37" i="1"/>
  <c r="E39" i="1"/>
  <c r="E34" i="1"/>
  <c r="I34" i="1"/>
  <c r="I39" i="1"/>
  <c r="I37" i="1"/>
  <c r="L44" i="1"/>
  <c r="L40" i="1"/>
  <c r="H44" i="1"/>
  <c r="H40" i="1"/>
  <c r="K44" i="1"/>
  <c r="K40" i="1"/>
  <c r="D40" i="1"/>
  <c r="D44" i="1"/>
  <c r="F37" i="1" l="1"/>
  <c r="F34" i="1"/>
  <c r="F39" i="1"/>
  <c r="C39" i="1"/>
  <c r="C37" i="1"/>
  <c r="C34" i="1"/>
  <c r="H48" i="1"/>
  <c r="H50" i="1"/>
  <c r="I44" i="1"/>
  <c r="I40" i="1"/>
  <c r="D48" i="1"/>
  <c r="D50" i="1"/>
  <c r="K48" i="1"/>
  <c r="K50" i="1"/>
  <c r="K45" i="1"/>
  <c r="L45" i="1"/>
  <c r="L48" i="1"/>
  <c r="L50" i="1"/>
  <c r="J48" i="1"/>
  <c r="J50" i="1" s="1"/>
  <c r="E44" i="1"/>
  <c r="E40" i="1"/>
  <c r="G44" i="1"/>
  <c r="G40" i="1"/>
  <c r="F44" i="1" l="1"/>
  <c r="F48" i="1" s="1"/>
  <c r="F50" i="1" s="1"/>
  <c r="F40" i="1"/>
  <c r="C44" i="1"/>
  <c r="C40" i="1"/>
  <c r="I45" i="1"/>
  <c r="I48" i="1"/>
  <c r="I50" i="1" s="1"/>
  <c r="E45" i="1"/>
  <c r="E48" i="1"/>
  <c r="E50" i="1" s="1"/>
  <c r="G48" i="1"/>
  <c r="G50" i="1" s="1"/>
  <c r="J45" i="1"/>
  <c r="H45" i="1"/>
  <c r="F45" i="1" l="1"/>
  <c r="G45" i="1"/>
  <c r="C48" i="1"/>
  <c r="C50" i="1" s="1"/>
  <c r="D45" i="1"/>
</calcChain>
</file>

<file path=xl/sharedStrings.xml><?xml version="1.0" encoding="utf-8"?>
<sst xmlns="http://schemas.openxmlformats.org/spreadsheetml/2006/main" count="524" uniqueCount="351">
  <si>
    <t>Years</t>
  </si>
  <si>
    <t>Income Statement</t>
  </si>
  <si>
    <t>COMPANY NAME</t>
  </si>
  <si>
    <t>HINDUSTAN UNILEVER LTD</t>
  </si>
  <si>
    <t/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</si>
  <si>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</si>
  <si>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</si>
  <si>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</si>
  <si>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</si>
  <si>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</si>
  <si>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</si>
  <si>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</si>
  <si>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</si>
  <si>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</si>
  <si>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</si>
  <si>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</si>
  <si>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</si>
  <si>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</si>
  <si>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</si>
  <si>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</si>
  <si>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</si>
  <si>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</si>
  <si>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</si>
  <si>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</si>
  <si>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</si>
  <si>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</si>
  <si>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</si>
  <si>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</si>
  <si>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</si>
  <si>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</si>
  <si>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</si>
  <si>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</si>
  <si>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</si>
  <si>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</si>
  <si>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</si>
  <si>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</si>
  <si>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</si>
  <si>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</si>
  <si>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</si>
  <si>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</si>
  <si>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</si>
  <si>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</si>
  <si>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</si>
  <si>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</si>
  <si>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</si>
  <si>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</si>
  <si>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</si>
  <si>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</si>
  <si>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</si>
  <si>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</si>
  <si>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</si>
  <si>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</si>
  <si>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</si>
  <si>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</si>
  <si>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</si>
  <si>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</si>
  <si>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</si>
  <si>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Sales Growth</t>
  </si>
  <si>
    <t>COGS</t>
  </si>
  <si>
    <t>COGS % Sales</t>
  </si>
  <si>
    <t>Gross Profit</t>
  </si>
  <si>
    <t>Gross Margins</t>
  </si>
  <si>
    <t>Selling &amp; General Expenses</t>
  </si>
  <si>
    <t>S&amp;G Exp % Sales</t>
  </si>
  <si>
    <t>EBITDA</t>
  </si>
  <si>
    <t>EBITDA Margins</t>
  </si>
  <si>
    <t>Interest % Sales</t>
  </si>
  <si>
    <t>Depreciation % Sales</t>
  </si>
  <si>
    <t>Earnings Before Tax</t>
  </si>
  <si>
    <t>EBT % Sales</t>
  </si>
  <si>
    <t>Effective Tax Rate</t>
  </si>
  <si>
    <t>Net Profit</t>
  </si>
  <si>
    <t>Net Margin</t>
  </si>
  <si>
    <t>No of Equity Shares</t>
  </si>
  <si>
    <t>Earnings Per Share</t>
  </si>
  <si>
    <t>EPS Growth %</t>
  </si>
  <si>
    <t>Divident Per Share</t>
  </si>
  <si>
    <t>Divident Payout Ratio</t>
  </si>
  <si>
    <t>Retained Earnings</t>
  </si>
  <si>
    <t>Balance Sheet</t>
  </si>
  <si>
    <t>Total Liabilities</t>
  </si>
  <si>
    <t>Total Non Current Assets</t>
  </si>
  <si>
    <t>Total Current Assets</t>
  </si>
  <si>
    <t>Total Assets</t>
  </si>
  <si>
    <t>Check</t>
  </si>
  <si>
    <t>Cash Flow Statement</t>
  </si>
  <si>
    <t>Operating Activities</t>
  </si>
  <si>
    <t>Cash Flow Data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</si>
  <si>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</si>
  <si>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</si>
  <si>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</si>
  <si>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</si>
  <si>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</si>
  <si>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</si>
  <si>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</si>
  <si>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Other operating items</t>
  </si>
  <si>
    <t>Exceptional CF items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</si>
  <si>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</si>
  <si>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</si>
  <si>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</si>
  <si>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</si>
  <si>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</si>
  <si>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</si>
  <si>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</si>
  <si>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</si>
  <si>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Loans to subsidiaries</t>
  </si>
  <si>
    <t>Redemp n Canc of Shares</t>
  </si>
  <si>
    <t>Acquisition of companies</t>
  </si>
  <si>
    <t>Other investing items</t>
  </si>
  <si>
    <t>Cash from Financing Activity 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</si>
  <si>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</si>
  <si>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</si>
  <si>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</si>
  <si>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</si>
  <si>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</si>
  <si>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</si>
  <si>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</si>
  <si>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Operating Activities</t>
  </si>
  <si>
    <t>Investing Activities</t>
  </si>
  <si>
    <t>Cash from Investing Activities</t>
  </si>
  <si>
    <t>Financing Activities</t>
  </si>
  <si>
    <t>Cash from Financing Activities</t>
  </si>
  <si>
    <t>Common Size Statement</t>
  </si>
  <si>
    <t>Ratio Analysis</t>
  </si>
  <si>
    <t>EBITDA Growth</t>
  </si>
  <si>
    <t>EBIT Growth</t>
  </si>
  <si>
    <t>Net Profit Growth</t>
  </si>
  <si>
    <t>Divident Growth</t>
  </si>
  <si>
    <t>Gross Margin</t>
  </si>
  <si>
    <t>EBITDA Margin</t>
  </si>
  <si>
    <t>EBIT Margin</t>
  </si>
  <si>
    <t>EBT Margin</t>
  </si>
  <si>
    <t>Net Profit Margin</t>
  </si>
  <si>
    <t>SalesExpenses%Sales</t>
  </si>
  <si>
    <t>Depreciation%Sales</t>
  </si>
  <si>
    <t xml:space="preserve">OperatingIncome%Sales </t>
  </si>
  <si>
    <t xml:space="preserve">Return on Capital Employed </t>
  </si>
  <si>
    <t>Retained Earnings %</t>
  </si>
  <si>
    <t>Return on Equity%</t>
  </si>
  <si>
    <t>Self Sustained Growth Rate</t>
  </si>
  <si>
    <t>Interest Coverage Ratio</t>
  </si>
  <si>
    <t>Debtor Turnover Ratio</t>
  </si>
  <si>
    <t>Creditor Turnover Ratio</t>
  </si>
  <si>
    <t>Inventory Turnover</t>
  </si>
  <si>
    <t>Fixed Asstes Turnover</t>
  </si>
  <si>
    <t>Capital Turnover</t>
  </si>
  <si>
    <t>Debtor Days</t>
  </si>
  <si>
    <t>Payble Days</t>
  </si>
  <si>
    <t>Inventory Days</t>
  </si>
  <si>
    <t>Cash Conversion Cycle(in days)</t>
  </si>
  <si>
    <t>CFO/Sales</t>
  </si>
  <si>
    <t>CFO/Total Assets</t>
  </si>
  <si>
    <t>CFO/Total Debt</t>
  </si>
  <si>
    <t>Trend</t>
  </si>
  <si>
    <t>Mean</t>
  </si>
  <si>
    <t>Median</t>
  </si>
  <si>
    <t>-</t>
  </si>
  <si>
    <t>(in days)</t>
  </si>
  <si>
    <t>Forecasting</t>
  </si>
  <si>
    <t>HUL - Sales Forecasting</t>
  </si>
  <si>
    <t>Year Weight</t>
  </si>
  <si>
    <t xml:space="preserve">Year </t>
  </si>
  <si>
    <t>HUL - EBITDA Forecasting</t>
  </si>
  <si>
    <t>EBIT</t>
  </si>
  <si>
    <t>HUL - EBT Forecasting</t>
  </si>
  <si>
    <t>EBT Growth</t>
  </si>
  <si>
    <t>HUL - EPS Forecasting</t>
  </si>
  <si>
    <t>EPS</t>
  </si>
  <si>
    <t>EPS Growth</t>
  </si>
  <si>
    <t>Beta Regression</t>
  </si>
  <si>
    <t>HUL - Weekly Returns</t>
  </si>
  <si>
    <t>NIFTY Returns</t>
  </si>
  <si>
    <t>Closing Price</t>
  </si>
  <si>
    <t>Date</t>
  </si>
  <si>
    <t>Returns</t>
  </si>
  <si>
    <t>Regression Beta - 2 Years Weeky</t>
  </si>
  <si>
    <t>Beta Drifting</t>
  </si>
  <si>
    <t>Levered Raw Beta</t>
  </si>
  <si>
    <t>Raw Beta Weight</t>
  </si>
  <si>
    <t>Market Beta</t>
  </si>
  <si>
    <t>Market Beta Weight</t>
  </si>
  <si>
    <t>Adjusted Beta</t>
  </si>
  <si>
    <t>BSE : 500696</t>
  </si>
  <si>
    <t>NSE : HINDUNILVR</t>
  </si>
  <si>
    <t>Debt /</t>
  </si>
  <si>
    <t xml:space="preserve">Debt / </t>
  </si>
  <si>
    <t xml:space="preserve">Levered </t>
  </si>
  <si>
    <t xml:space="preserve">Unlevered </t>
  </si>
  <si>
    <t>Country</t>
  </si>
  <si>
    <t>Total Debt</t>
  </si>
  <si>
    <t>Total Equity</t>
  </si>
  <si>
    <t>Equity</t>
  </si>
  <si>
    <t>Capital</t>
  </si>
  <si>
    <t>Peer Comps</t>
  </si>
  <si>
    <t>Name of the Comp</t>
  </si>
  <si>
    <t>WACC</t>
  </si>
  <si>
    <t>S.No.</t>
  </si>
  <si>
    <t>Name</t>
  </si>
  <si>
    <t>Hind. Unilever</t>
  </si>
  <si>
    <t>ITC</t>
  </si>
  <si>
    <t>Hindustan Foods</t>
  </si>
  <si>
    <t>Godavari Bioref.</t>
  </si>
  <si>
    <t>CMP Rs.</t>
  </si>
  <si>
    <t>Debt Rs.Cr.</t>
  </si>
  <si>
    <t>Eq Cap Rs.Cr.</t>
  </si>
  <si>
    <t>Mar Cap Rs.Cr.</t>
  </si>
  <si>
    <t>India</t>
  </si>
  <si>
    <t>Average</t>
  </si>
  <si>
    <t>Return on Market</t>
  </si>
  <si>
    <t>Year</t>
  </si>
  <si>
    <t>Annual</t>
  </si>
  <si>
    <t>Average returns</t>
  </si>
  <si>
    <t>Dividend yeild</t>
  </si>
  <si>
    <t>Total Market Return</t>
  </si>
  <si>
    <t>Cost of Equity</t>
  </si>
  <si>
    <t>Risk Free Rate</t>
  </si>
  <si>
    <t>Equity Risk Premium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</si>
  <si>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</t>
    </r>
  </si>
  <si>
    <t>Levered Beta</t>
  </si>
  <si>
    <t>Comps Median Unlevered Beta</t>
  </si>
  <si>
    <t>Target Debt / Equity</t>
  </si>
  <si>
    <t>Tax Rate</t>
  </si>
  <si>
    <t>Cost of Debt</t>
  </si>
  <si>
    <t>Pre-Tax Cost of Debt</t>
  </si>
  <si>
    <t>Post-Tax Cost of Debt</t>
  </si>
  <si>
    <t>Target</t>
  </si>
  <si>
    <t>Market Cap</t>
  </si>
  <si>
    <t>Total Capital</t>
  </si>
  <si>
    <t>Debt / Equity</t>
  </si>
  <si>
    <t xml:space="preserve">Current </t>
  </si>
  <si>
    <t>Equity Weight</t>
  </si>
  <si>
    <t>Debt Weight</t>
  </si>
  <si>
    <t>Notes:</t>
  </si>
  <si>
    <t>1. Tax Rate considered as Marginal Tax Rate for the country</t>
  </si>
  <si>
    <t>2. Levered Beta is based on 5 year monthly data</t>
  </si>
  <si>
    <t>3. Unlevered Beta = Levered Beta/(1+(1-Tax Rate)*Debt/Equity)</t>
  </si>
  <si>
    <t>4. Levered Beta = Unlevered Beta*(1+(1-Tax Rate)*Debt/Equity)</t>
  </si>
  <si>
    <r>
      <t xml:space="preserve">Tax Rate </t>
    </r>
    <r>
      <rPr>
        <vertAlign val="superscript"/>
        <sz val="11"/>
        <color theme="0"/>
        <rFont val="Calibri"/>
        <family val="2"/>
      </rPr>
      <t>1</t>
    </r>
  </si>
  <si>
    <r>
      <t xml:space="preserve">Beta </t>
    </r>
    <r>
      <rPr>
        <vertAlign val="superscript"/>
        <sz val="11"/>
        <color theme="0"/>
        <rFont val="Calibri"/>
        <family val="2"/>
      </rPr>
      <t>2</t>
    </r>
  </si>
  <si>
    <r>
      <t xml:space="preserve">Beta </t>
    </r>
    <r>
      <rPr>
        <vertAlign val="superscript"/>
        <sz val="11"/>
        <color theme="0"/>
        <rFont val="Calibri"/>
        <family val="2"/>
      </rPr>
      <t>3</t>
    </r>
  </si>
  <si>
    <t>Capital Structure</t>
  </si>
  <si>
    <t>Calculation of ROIC</t>
  </si>
  <si>
    <t>Current Assets</t>
  </si>
  <si>
    <t>Current Liabilities</t>
  </si>
  <si>
    <t>Short term Borrowings</t>
  </si>
  <si>
    <t>Trade Paybles</t>
  </si>
  <si>
    <t>Advance from Customers</t>
  </si>
  <si>
    <t>Total Current Liabilities</t>
  </si>
  <si>
    <t>Net Working Capital</t>
  </si>
  <si>
    <t>Land</t>
  </si>
  <si>
    <t>Building</t>
  </si>
  <si>
    <t>Plant Machinery</t>
  </si>
  <si>
    <t>Equipments</t>
  </si>
  <si>
    <t>Furniture n fittings</t>
  </si>
  <si>
    <t>Railway sidings</t>
  </si>
  <si>
    <t>Vehicles</t>
  </si>
  <si>
    <t>Intangible Assets</t>
  </si>
  <si>
    <t>Other fixed assets</t>
  </si>
  <si>
    <t>Gross Block</t>
  </si>
  <si>
    <t>Accumulated Depreciation</t>
  </si>
  <si>
    <t>Non Current Assets</t>
  </si>
  <si>
    <t>Accm Depreciation</t>
  </si>
  <si>
    <t>Net Non Current Assets</t>
  </si>
  <si>
    <t xml:space="preserve">Invested Capital </t>
  </si>
  <si>
    <t>NOPAT</t>
  </si>
  <si>
    <t>Tax %</t>
  </si>
  <si>
    <t>ROIC</t>
  </si>
  <si>
    <t>Other liability items</t>
  </si>
  <si>
    <t>Calculation of Reinvestment Rate</t>
  </si>
  <si>
    <t>Net Capex</t>
  </si>
  <si>
    <t>Changes in Working Capital</t>
  </si>
  <si>
    <t>Reinvestment</t>
  </si>
  <si>
    <t>Reinvestment Rate</t>
  </si>
  <si>
    <t>Calculation of Growth Rate</t>
  </si>
  <si>
    <t>Intrinsic growth</t>
  </si>
  <si>
    <t>4 Year Average</t>
  </si>
  <si>
    <t>4 Year Median</t>
  </si>
  <si>
    <t>Calculation of PV of FCFF</t>
  </si>
  <si>
    <t>EBIT(1-t)</t>
  </si>
  <si>
    <t>Less: Reinvestment Rate</t>
  </si>
  <si>
    <t>Free Cash Flow to Firm(FCFF)</t>
  </si>
  <si>
    <t>Mid Year Convention</t>
  </si>
  <si>
    <t>Discounting Factor</t>
  </si>
  <si>
    <t>Expected Growth</t>
  </si>
  <si>
    <t>Terminal Growth</t>
  </si>
  <si>
    <t>PV of FCFF</t>
  </si>
  <si>
    <t>Calculation of Terminal value</t>
  </si>
  <si>
    <t>FCFF(n+1)</t>
  </si>
  <si>
    <t>Terminal Growth Rate</t>
  </si>
  <si>
    <t>Terminal Value</t>
  </si>
  <si>
    <t>Calculation of Equity Value per Share</t>
  </si>
  <si>
    <t>PV of Terminal Value</t>
  </si>
  <si>
    <t>Value of Operating Assets</t>
  </si>
  <si>
    <t>Add: Cash</t>
  </si>
  <si>
    <t>Less: Debt</t>
  </si>
  <si>
    <t>Value of Equity</t>
  </si>
  <si>
    <t>No of Shares</t>
  </si>
  <si>
    <t>Equity Value per share</t>
  </si>
  <si>
    <t>Share price</t>
  </si>
  <si>
    <t>Discount/Premium</t>
  </si>
  <si>
    <t>Sensitivity Analysis</t>
  </si>
  <si>
    <t>Comparable Comps Valuation</t>
  </si>
  <si>
    <t>Market Data</t>
  </si>
  <si>
    <t>Financials</t>
  </si>
  <si>
    <t>Valuation</t>
  </si>
  <si>
    <t>Company</t>
  </si>
  <si>
    <t>Ticker</t>
  </si>
  <si>
    <t>Share Price</t>
  </si>
  <si>
    <t>Share Outstanding</t>
  </si>
  <si>
    <t>Equity Value</t>
  </si>
  <si>
    <t>Net Debt</t>
  </si>
  <si>
    <t>Enterprise Value</t>
  </si>
  <si>
    <t>Revenue</t>
  </si>
  <si>
    <t>Net Income</t>
  </si>
  <si>
    <t>EV/Revenue</t>
  </si>
  <si>
    <t>EV/EBITDA</t>
  </si>
  <si>
    <t>P/E</t>
  </si>
  <si>
    <t>High</t>
  </si>
  <si>
    <t>75th percentile</t>
  </si>
  <si>
    <t>25th Percentile</t>
  </si>
  <si>
    <t>Low</t>
  </si>
  <si>
    <t>Implied Enterprise Value</t>
  </si>
  <si>
    <t>Implied Market Value</t>
  </si>
  <si>
    <t>Shares Outstanding</t>
  </si>
  <si>
    <t>Implied Value per share</t>
  </si>
  <si>
    <t>Hindustan Unilever</t>
  </si>
  <si>
    <t>Nestle India</t>
  </si>
  <si>
    <t>Godrej Consumers</t>
  </si>
  <si>
    <t>Britania Inds</t>
  </si>
  <si>
    <t>Marico</t>
  </si>
  <si>
    <t>Dabur India</t>
  </si>
  <si>
    <t>Varun Beverages</t>
  </si>
  <si>
    <t>Tata Consumer</t>
  </si>
  <si>
    <t>HUL Comparable Valuation</t>
  </si>
  <si>
    <t>Adj Close</t>
  </si>
  <si>
    <t>Sorted Returns</t>
  </si>
  <si>
    <t>Replication</t>
  </si>
  <si>
    <t>Simulated Returns</t>
  </si>
  <si>
    <t>Calculation of Value at Risk - HUL</t>
  </si>
  <si>
    <t>Value at Risk</t>
  </si>
  <si>
    <t>Historical Approach</t>
  </si>
  <si>
    <t>Std Deviation</t>
  </si>
  <si>
    <t>Min</t>
  </si>
  <si>
    <t>Max</t>
  </si>
  <si>
    <t>CMP</t>
  </si>
  <si>
    <t>Monte Carlo Simulation</t>
  </si>
  <si>
    <t>Percentile</t>
  </si>
  <si>
    <t>Confidence</t>
  </si>
  <si>
    <t>Stock Price</t>
  </si>
  <si>
    <t>VaR</t>
  </si>
  <si>
    <t>Var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</si>
</sst>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[$-409]mmm\-yy;@"/>
    <numFmt numFmtId="165" formatCode="_ * #,##0.00_ ;_ * \-#,##0.00_ ;_ * &quot;-&quot;??_ ;_ @_ "/>
    <numFmt numFmtId="166" formatCode="[$₹-4009]\ #,##0.00"/>
    <numFmt numFmtId="167" formatCode="[$₹-4009]\ #,##0.0"/>
    <numFmt numFmtId="168" formatCode="0.00&quot;x&quot;"/>
    <numFmt numFmtId="169" formatCode="#,##0.0"/>
    <numFmt numFmtId="170" formatCode="General&quot;A&quot;"/>
    <numFmt numFmtId="171" formatCode="General&quot;E&quot;"/>
    <numFmt numFmtId="172" formatCode="yyyy\-mm\-dd;@"/>
    <numFmt numFmtId="173" formatCode="\(#,##0\)"/>
    <numFmt numFmtId="174" formatCode="0&quot;A&quot;"/>
    <numFmt numFmtId="175" formatCode="0&quot;F&quot;"/>
    <numFmt numFmtId="176" formatCode="0.0"/>
    <numFmt numFmtId="177" formatCode="0.0&quot;x&quot;"/>
  </numFmts>
  <fonts count="2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Calibri"/>
      <family val="2"/>
    </font>
    <font>
      <sz val="11"/>
      <color theme="0"/>
      <name val="Aptos Narrow"/>
      <family val="2"/>
      <scheme val="minor"/>
    </font>
    <font>
      <i/>
      <sz val="11"/>
      <color theme="0" tint="-0.34998626667073579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0"/>
      <color rgb="FF002060"/>
      <name val="Calibri"/>
      <family val="2"/>
    </font>
    <font>
      <b/>
      <i/>
      <sz val="12"/>
      <color theme="0"/>
      <name val="Calibri"/>
      <family val="2"/>
    </font>
    <font>
      <b/>
      <i/>
      <sz val="14"/>
      <color theme="0"/>
      <name val="Calibri"/>
      <family val="2"/>
    </font>
    <font>
      <sz val="11"/>
      <color rgb="FF0000FF"/>
      <name val="Calibri"/>
      <family val="2"/>
    </font>
    <font>
      <sz val="14"/>
      <color theme="0"/>
      <name val="Calibri"/>
      <family val="2"/>
    </font>
    <font>
      <b/>
      <sz val="20"/>
      <color theme="1"/>
      <name val="Calibri"/>
      <family val="2"/>
    </font>
    <font>
      <vertAlign val="superscript"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rgb="FF0000FF"/>
      <name val="Calibri"/>
      <family val="2"/>
    </font>
    <font>
      <vertAlign val="superscript"/>
      <sz val="11"/>
      <color theme="0"/>
      <name val="Calibri"/>
      <family val="2"/>
    </font>
    <font>
      <sz val="11"/>
      <color rgb="FF22222F"/>
      <name val="Arial"/>
      <family val="2"/>
    </font>
    <font>
      <sz val="11"/>
      <color rgb="FF22222F"/>
      <name val="Calibri"/>
      <family val="2"/>
    </font>
    <font>
      <sz val="11"/>
      <color rgb="FF22222F"/>
      <name val="Calibri"/>
      <family val="2"/>
    </font>
    <font>
      <b/>
      <sz val="11"/>
      <color rgb="FF22222F"/>
      <name val="Calibri"/>
      <family val="2"/>
    </font>
    <font>
      <sz val="11"/>
      <color rgb="FF1321A7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02060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theme="8" tint="-0.499984740745262"/>
      </top>
      <bottom/>
      <diagonal/>
    </border>
    <border>
      <left/>
      <right/>
      <top/>
      <bottom style="hair">
        <color theme="8" tint="-0.499984740745262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DBE4F0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/>
      <bottom style="hair">
        <color rgb="FF00206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23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5" borderId="0" xfId="0" applyFont="1" applyFill="1"/>
    <xf numFmtId="0" fontId="2" fillId="5" borderId="0" xfId="0" applyFont="1" applyFill="1"/>
    <xf numFmtId="17" fontId="2" fillId="5" borderId="0" xfId="0" applyNumberFormat="1" applyFont="1" applyFill="1"/>
    <xf numFmtId="0" fontId="4" fillId="0" borderId="0" xfId="2"/>
    <xf numFmtId="165" fontId="5" fillId="0" borderId="0" xfId="3" applyFont="1" applyBorder="1"/>
    <xf numFmtId="165" fontId="4" fillId="0" borderId="0" xfId="3" applyFont="1" applyBorder="1"/>
    <xf numFmtId="164" fontId="6" fillId="6" borderId="0" xfId="2" applyNumberFormat="1" applyFont="1" applyFill="1" applyBorder="1" applyAlignment="1">
      <alignment horizontal="center"/>
    </xf>
    <xf numFmtId="164" fontId="6" fillId="6" borderId="0" xfId="3" applyNumberFormat="1" applyFont="1" applyFill="1" applyBorder="1"/>
    <xf numFmtId="43" fontId="4" fillId="0" borderId="0" xfId="3" applyNumberFormat="1" applyFont="1" applyBorder="1"/>
    <xf numFmtId="0" fontId="3" fillId="7" borderId="0" xfId="0" applyFont="1" applyFill="1"/>
    <xf numFmtId="0" fontId="0" fillId="7" borderId="0" xfId="0" applyFill="1"/>
    <xf numFmtId="43" fontId="0" fillId="0" borderId="0" xfId="0" applyNumberFormat="1"/>
    <xf numFmtId="0" fontId="10" fillId="8" borderId="0" xfId="0" applyFont="1" applyFill="1"/>
    <xf numFmtId="0" fontId="10" fillId="8" borderId="0" xfId="0" applyFont="1" applyFill="1" applyAlignment="1">
      <alignment horizontal="right"/>
    </xf>
    <xf numFmtId="0" fontId="2" fillId="5" borderId="0" xfId="0" applyFont="1" applyFill="1" applyAlignment="1"/>
    <xf numFmtId="0" fontId="2" fillId="7" borderId="0" xfId="0" applyFont="1" applyFill="1" applyAlignment="1"/>
    <xf numFmtId="0" fontId="0" fillId="0" borderId="0" xfId="0" applyAlignment="1"/>
    <xf numFmtId="0" fontId="0" fillId="0" borderId="0" xfId="0" applyFont="1" applyAlignment="1"/>
    <xf numFmtId="0" fontId="9" fillId="0" borderId="0" xfId="0" applyFont="1" applyAlignment="1"/>
    <xf numFmtId="0" fontId="10" fillId="8" borderId="0" xfId="0" applyFont="1" applyFill="1" applyAlignment="1"/>
    <xf numFmtId="0" fontId="10" fillId="0" borderId="3" xfId="0" applyFont="1" applyBorder="1" applyAlignment="1"/>
    <xf numFmtId="0" fontId="11" fillId="8" borderId="0" xfId="0" applyFont="1" applyFill="1" applyAlignment="1"/>
    <xf numFmtId="166" fontId="0" fillId="0" borderId="0" xfId="0" applyNumberFormat="1"/>
    <xf numFmtId="167" fontId="0" fillId="0" borderId="0" xfId="0" applyNumberFormat="1"/>
    <xf numFmtId="167" fontId="11" fillId="8" borderId="0" xfId="0" applyNumberFormat="1" applyFont="1" applyFill="1"/>
    <xf numFmtId="10" fontId="0" fillId="0" borderId="0" xfId="1" applyNumberFormat="1" applyFont="1"/>
    <xf numFmtId="0" fontId="10" fillId="0" borderId="0" xfId="0" applyFont="1" applyAlignment="1"/>
    <xf numFmtId="1" fontId="4" fillId="0" borderId="0" xfId="2" applyNumberFormat="1"/>
    <xf numFmtId="167" fontId="10" fillId="0" borderId="3" xfId="0" applyNumberFormat="1" applyFont="1" applyBorder="1"/>
    <xf numFmtId="0" fontId="11" fillId="7" borderId="0" xfId="0" applyFont="1" applyFill="1" applyAlignment="1"/>
    <xf numFmtId="167" fontId="12" fillId="7" borderId="0" xfId="0" applyNumberFormat="1" applyFont="1" applyFill="1"/>
    <xf numFmtId="0" fontId="10" fillId="0" borderId="0" xfId="0" applyFont="1"/>
    <xf numFmtId="3" fontId="0" fillId="0" borderId="0" xfId="0" applyNumberFormat="1"/>
    <xf numFmtId="17" fontId="10" fillId="0" borderId="0" xfId="0" applyNumberFormat="1" applyFont="1"/>
    <xf numFmtId="39" fontId="0" fillId="0" borderId="0" xfId="0" applyNumberFormat="1"/>
    <xf numFmtId="43" fontId="10" fillId="8" borderId="0" xfId="0" applyNumberFormat="1" applyFont="1" applyFill="1"/>
    <xf numFmtId="9" fontId="0" fillId="0" borderId="0" xfId="1" applyFont="1"/>
    <xf numFmtId="165" fontId="5" fillId="0" borderId="0" xfId="3" applyFont="1" applyFill="1" applyBorder="1"/>
    <xf numFmtId="0" fontId="2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6" fillId="5" borderId="0" xfId="0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right"/>
    </xf>
    <xf numFmtId="0" fontId="0" fillId="0" borderId="6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6" xfId="0" applyNumberFormat="1" applyBorder="1"/>
    <xf numFmtId="10" fontId="0" fillId="0" borderId="0" xfId="0" applyNumberFormat="1"/>
    <xf numFmtId="1" fontId="0" fillId="0" borderId="0" xfId="0" applyNumberFormat="1"/>
    <xf numFmtId="168" fontId="0" fillId="0" borderId="0" xfId="0" applyNumberFormat="1"/>
    <xf numFmtId="0" fontId="13" fillId="7" borderId="3" xfId="0" applyFont="1" applyFill="1" applyBorder="1"/>
    <xf numFmtId="9" fontId="0" fillId="0" borderId="0" xfId="1" applyNumberFormat="1" applyFont="1"/>
    <xf numFmtId="0" fontId="0" fillId="0" borderId="7" xfId="0" applyBorder="1"/>
    <xf numFmtId="10" fontId="0" fillId="0" borderId="6" xfId="1" applyNumberFormat="1" applyFont="1" applyBorder="1"/>
    <xf numFmtId="168" fontId="0" fillId="0" borderId="6" xfId="1" applyNumberFormat="1" applyFont="1" applyBorder="1"/>
    <xf numFmtId="10" fontId="0" fillId="0" borderId="0" xfId="0" applyNumberFormat="1" applyBorder="1"/>
    <xf numFmtId="10" fontId="0" fillId="0" borderId="0" xfId="1" applyNumberFormat="1" applyFont="1" applyBorder="1"/>
    <xf numFmtId="10" fontId="0" fillId="0" borderId="7" xfId="0" applyNumberFormat="1" applyBorder="1"/>
    <xf numFmtId="10" fontId="0" fillId="0" borderId="7" xfId="1" applyNumberFormat="1" applyFont="1" applyBorder="1"/>
    <xf numFmtId="168" fontId="0" fillId="0" borderId="7" xfId="0" applyNumberFormat="1" applyBorder="1"/>
    <xf numFmtId="168" fontId="0" fillId="0" borderId="7" xfId="1" applyNumberFormat="1" applyFont="1" applyBorder="1"/>
    <xf numFmtId="168" fontId="0" fillId="0" borderId="6" xfId="0" applyNumberFormat="1" applyBorder="1"/>
    <xf numFmtId="168" fontId="0" fillId="0" borderId="0" xfId="0" applyNumberFormat="1" applyBorder="1"/>
    <xf numFmtId="168" fontId="0" fillId="0" borderId="0" xfId="1" applyNumberFormat="1" applyFont="1" applyBorder="1"/>
    <xf numFmtId="1" fontId="0" fillId="0" borderId="6" xfId="0" applyNumberFormat="1" applyBorder="1"/>
    <xf numFmtId="1" fontId="0" fillId="0" borderId="6" xfId="1" applyNumberFormat="1" applyFont="1" applyBorder="1"/>
    <xf numFmtId="1" fontId="0" fillId="0" borderId="0" xfId="1" applyNumberFormat="1" applyFont="1" applyBorder="1"/>
    <xf numFmtId="1" fontId="0" fillId="0" borderId="7" xfId="0" applyNumberFormat="1" applyBorder="1"/>
    <xf numFmtId="170" fontId="0" fillId="0" borderId="0" xfId="0" applyNumberFormat="1"/>
    <xf numFmtId="0" fontId="14" fillId="7" borderId="0" xfId="0" applyFont="1" applyFill="1" applyAlignment="1"/>
    <xf numFmtId="169" fontId="16" fillId="0" borderId="0" xfId="0" applyNumberFormat="1" applyFont="1"/>
    <xf numFmtId="4" fontId="0" fillId="0" borderId="0" xfId="0" applyNumberFormat="1"/>
    <xf numFmtId="0" fontId="0" fillId="7" borderId="0" xfId="0" applyFill="1" applyBorder="1"/>
    <xf numFmtId="0" fontId="2" fillId="7" borderId="0" xfId="0" applyFon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10" fillId="7" borderId="0" xfId="0" applyFont="1" applyFill="1" applyAlignment="1"/>
    <xf numFmtId="172" fontId="0" fillId="0" borderId="0" xfId="0" applyNumberFormat="1"/>
    <xf numFmtId="0" fontId="15" fillId="7" borderId="0" xfId="0" applyFont="1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0" fontId="0" fillId="8" borderId="0" xfId="0" applyFill="1"/>
    <xf numFmtId="171" fontId="0" fillId="8" borderId="0" xfId="0" applyNumberFormat="1" applyFill="1"/>
    <xf numFmtId="169" fontId="0" fillId="8" borderId="0" xfId="0" applyNumberFormat="1" applyFill="1"/>
    <xf numFmtId="10" fontId="0" fillId="8" borderId="0" xfId="1" applyNumberFormat="1" applyFont="1" applyFill="1"/>
    <xf numFmtId="0" fontId="17" fillId="7" borderId="0" xfId="0" applyFont="1" applyFill="1" applyBorder="1" applyAlignment="1"/>
    <xf numFmtId="0" fontId="10" fillId="0" borderId="0" xfId="0" applyFont="1" applyBorder="1"/>
    <xf numFmtId="0" fontId="10" fillId="0" borderId="1" xfId="0" applyFont="1" applyBorder="1"/>
    <xf numFmtId="0" fontId="18" fillId="0" borderId="1" xfId="0" applyFont="1" applyBorder="1"/>
    <xf numFmtId="0" fontId="10" fillId="0" borderId="2" xfId="0" applyFont="1" applyBorder="1"/>
    <xf numFmtId="0" fontId="16" fillId="0" borderId="0" xfId="0" applyFont="1"/>
    <xf numFmtId="10" fontId="16" fillId="0" borderId="0" xfId="0" applyNumberFormat="1" applyFont="1"/>
    <xf numFmtId="10" fontId="0" fillId="0" borderId="1" xfId="1" applyNumberFormat="1" applyFont="1" applyBorder="1"/>
    <xf numFmtId="2" fontId="0" fillId="0" borderId="1" xfId="0" applyNumberFormat="1" applyBorder="1"/>
    <xf numFmtId="10" fontId="0" fillId="0" borderId="2" xfId="1" applyNumberFormat="1" applyFont="1" applyBorder="1"/>
    <xf numFmtId="2" fontId="0" fillId="0" borderId="2" xfId="0" applyNumberFormat="1" applyBorder="1"/>
    <xf numFmtId="0" fontId="2" fillId="5" borderId="0" xfId="0" applyFont="1" applyFill="1" applyAlignment="1">
      <alignment horizontal="left"/>
    </xf>
    <xf numFmtId="10" fontId="0" fillId="9" borderId="0" xfId="0" applyNumberFormat="1" applyFill="1"/>
    <xf numFmtId="0" fontId="10" fillId="9" borderId="0" xfId="0" applyFont="1" applyFill="1"/>
    <xf numFmtId="10" fontId="16" fillId="0" borderId="0" xfId="1" applyNumberFormat="1" applyFont="1"/>
    <xf numFmtId="10" fontId="12" fillId="0" borderId="0" xfId="1" applyNumberFormat="1" applyFont="1"/>
    <xf numFmtId="9" fontId="0" fillId="0" borderId="0" xfId="0" applyNumberFormat="1"/>
    <xf numFmtId="49" fontId="0" fillId="0" borderId="0" xfId="0" applyNumberFormat="1" applyFont="1" applyBorder="1"/>
    <xf numFmtId="0" fontId="0" fillId="0" borderId="0" xfId="0" applyFont="1" applyBorder="1"/>
    <xf numFmtId="10" fontId="16" fillId="0" borderId="0" xfId="0" applyNumberFormat="1" applyFont="1" applyBorder="1"/>
    <xf numFmtId="10" fontId="0" fillId="10" borderId="0" xfId="0" applyNumberFormat="1" applyFill="1"/>
    <xf numFmtId="10" fontId="0" fillId="7" borderId="0" xfId="1" applyNumberFormat="1" applyFont="1" applyFill="1" applyBorder="1"/>
    <xf numFmtId="0" fontId="20" fillId="0" borderId="0" xfId="0" applyFont="1" applyAlignment="1">
      <alignment vertical="top"/>
    </xf>
    <xf numFmtId="0" fontId="16" fillId="0" borderId="0" xfId="0" applyFont="1" applyAlignment="1">
      <alignment horizontal="right"/>
    </xf>
    <xf numFmtId="3" fontId="16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0" fontId="3" fillId="5" borderId="1" xfId="0" applyFont="1" applyFill="1" applyBorder="1"/>
    <xf numFmtId="0" fontId="3" fillId="5" borderId="2" xfId="0" applyFont="1" applyFill="1" applyBorder="1"/>
    <xf numFmtId="49" fontId="2" fillId="5" borderId="2" xfId="0" applyNumberFormat="1" applyFont="1" applyFill="1" applyBorder="1"/>
    <xf numFmtId="49" fontId="3" fillId="5" borderId="2" xfId="0" applyNumberFormat="1" applyFont="1" applyFill="1" applyBorder="1"/>
    <xf numFmtId="0" fontId="2" fillId="5" borderId="2" xfId="0" applyFont="1" applyFill="1" applyBorder="1"/>
    <xf numFmtId="2" fontId="0" fillId="9" borderId="0" xfId="0" applyNumberFormat="1" applyFill="1"/>
    <xf numFmtId="10" fontId="0" fillId="9" borderId="0" xfId="1" applyNumberFormat="1" applyFont="1" applyFill="1"/>
    <xf numFmtId="10" fontId="0" fillId="0" borderId="1" xfId="0" applyNumberFormat="1" applyBorder="1"/>
    <xf numFmtId="10" fontId="0" fillId="0" borderId="2" xfId="0" applyNumberFormat="1" applyBorder="1"/>
    <xf numFmtId="2" fontId="16" fillId="0" borderId="0" xfId="0" applyNumberFormat="1" applyFont="1"/>
    <xf numFmtId="10" fontId="0" fillId="0" borderId="0" xfId="0" applyNumberFormat="1" applyFont="1"/>
    <xf numFmtId="0" fontId="10" fillId="0" borderId="8" xfId="0" applyFont="1" applyBorder="1"/>
    <xf numFmtId="2" fontId="10" fillId="10" borderId="8" xfId="0" applyNumberFormat="1" applyFont="1" applyFill="1" applyBorder="1"/>
    <xf numFmtId="169" fontId="10" fillId="0" borderId="8" xfId="0" applyNumberFormat="1" applyFont="1" applyBorder="1"/>
    <xf numFmtId="10" fontId="10" fillId="0" borderId="8" xfId="1" applyNumberFormat="1" applyFont="1" applyBorder="1"/>
    <xf numFmtId="10" fontId="10" fillId="0" borderId="8" xfId="0" applyNumberFormat="1" applyFont="1" applyBorder="1"/>
    <xf numFmtId="10" fontId="10" fillId="10" borderId="8" xfId="0" applyNumberFormat="1" applyFont="1" applyFill="1" applyBorder="1"/>
    <xf numFmtId="0" fontId="2" fillId="5" borderId="8" xfId="0" applyFont="1" applyFill="1" applyBorder="1"/>
    <xf numFmtId="10" fontId="2" fillId="5" borderId="8" xfId="0" applyNumberFormat="1" applyFont="1" applyFill="1" applyBorder="1"/>
    <xf numFmtId="0" fontId="0" fillId="7" borderId="0" xfId="0" applyFont="1" applyFill="1"/>
    <xf numFmtId="0" fontId="20" fillId="10" borderId="0" xfId="0" applyFont="1" applyFill="1" applyAlignment="1">
      <alignment vertical="top"/>
    </xf>
    <xf numFmtId="0" fontId="0" fillId="10" borderId="0" xfId="0" applyFont="1" applyFill="1"/>
    <xf numFmtId="0" fontId="10" fillId="7" borderId="8" xfId="0" applyFont="1" applyFill="1" applyBorder="1"/>
    <xf numFmtId="10" fontId="10" fillId="7" borderId="8" xfId="1" applyNumberFormat="1" applyFont="1" applyFill="1" applyBorder="1"/>
    <xf numFmtId="0" fontId="0" fillId="0" borderId="8" xfId="0" applyBorder="1"/>
    <xf numFmtId="2" fontId="10" fillId="7" borderId="8" xfId="0" applyNumberFormat="1" applyFont="1" applyFill="1" applyBorder="1"/>
    <xf numFmtId="0" fontId="10" fillId="7" borderId="2" xfId="0" applyFont="1" applyFill="1" applyBorder="1" applyAlignment="1">
      <alignment horizontal="center"/>
    </xf>
    <xf numFmtId="17" fontId="2" fillId="5" borderId="0" xfId="0" applyNumberFormat="1" applyFont="1" applyFill="1" applyAlignment="1"/>
    <xf numFmtId="165" fontId="5" fillId="0" borderId="8" xfId="3" applyFont="1" applyFill="1" applyBorder="1"/>
    <xf numFmtId="0" fontId="23" fillId="0" borderId="0" xfId="0" applyFont="1"/>
    <xf numFmtId="3" fontId="24" fillId="11" borderId="0" xfId="0" applyNumberFormat="1" applyFont="1" applyFill="1" applyAlignment="1">
      <alignment horizontal="right" vertical="center" wrapText="1" indent="1"/>
    </xf>
    <xf numFmtId="0" fontId="24" fillId="11" borderId="0" xfId="0" applyFont="1" applyFill="1" applyAlignment="1">
      <alignment horizontal="right" vertical="center" wrapText="1" indent="1"/>
    </xf>
    <xf numFmtId="0" fontId="24" fillId="7" borderId="0" xfId="0" applyFont="1" applyFill="1" applyAlignment="1">
      <alignment horizontal="right" vertical="center" wrapText="1" indent="1"/>
    </xf>
    <xf numFmtId="0" fontId="24" fillId="11" borderId="0" xfId="0" applyFont="1" applyFill="1" applyAlignment="1">
      <alignment horizontal="left" vertical="center"/>
    </xf>
    <xf numFmtId="0" fontId="25" fillId="11" borderId="9" xfId="0" applyFont="1" applyFill="1" applyBorder="1" applyAlignment="1">
      <alignment horizontal="left" vertical="center"/>
    </xf>
    <xf numFmtId="3" fontId="25" fillId="11" borderId="9" xfId="0" applyNumberFormat="1" applyFont="1" applyFill="1" applyBorder="1" applyAlignment="1">
      <alignment horizontal="right" vertical="center" wrapText="1" indent="1"/>
    </xf>
    <xf numFmtId="0" fontId="26" fillId="11" borderId="8" xfId="0" applyFont="1" applyFill="1" applyBorder="1" applyAlignment="1">
      <alignment horizontal="left" vertical="center"/>
    </xf>
    <xf numFmtId="0" fontId="26" fillId="11" borderId="10" xfId="0" applyFont="1" applyFill="1" applyBorder="1" applyAlignment="1">
      <alignment horizontal="left" vertical="center"/>
    </xf>
    <xf numFmtId="0" fontId="10" fillId="0" borderId="10" xfId="0" applyFont="1" applyBorder="1"/>
    <xf numFmtId="3" fontId="10" fillId="0" borderId="10" xfId="0" applyNumberFormat="1" applyFont="1" applyBorder="1"/>
    <xf numFmtId="173" fontId="0" fillId="0" borderId="0" xfId="0" applyNumberFormat="1"/>
    <xf numFmtId="0" fontId="10" fillId="0" borderId="8" xfId="0" applyNumberFormat="1" applyFont="1" applyBorder="1"/>
    <xf numFmtId="0" fontId="0" fillId="0" borderId="10" xfId="0" applyBorder="1"/>
    <xf numFmtId="10" fontId="0" fillId="0" borderId="10" xfId="1" applyNumberFormat="1" applyFont="1" applyBorder="1"/>
    <xf numFmtId="37" fontId="10" fillId="0" borderId="8" xfId="0" applyNumberFormat="1" applyFont="1" applyBorder="1"/>
    <xf numFmtId="37" fontId="0" fillId="0" borderId="0" xfId="0" applyNumberFormat="1"/>
    <xf numFmtId="10" fontId="10" fillId="0" borderId="10" xfId="1" applyNumberFormat="1" applyFont="1" applyBorder="1"/>
    <xf numFmtId="10" fontId="10" fillId="0" borderId="10" xfId="0" applyNumberFormat="1" applyFont="1" applyBorder="1"/>
    <xf numFmtId="10" fontId="10" fillId="0" borderId="0" xfId="1" applyNumberFormat="1" applyFont="1" applyBorder="1"/>
    <xf numFmtId="10" fontId="10" fillId="10" borderId="0" xfId="1" applyNumberFormat="1" applyFont="1" applyFill="1" applyBorder="1"/>
    <xf numFmtId="174" fontId="0" fillId="0" borderId="0" xfId="0" applyNumberFormat="1"/>
    <xf numFmtId="175" fontId="0" fillId="0" borderId="0" xfId="0" applyNumberFormat="1"/>
    <xf numFmtId="174" fontId="2" fillId="5" borderId="0" xfId="0" applyNumberFormat="1" applyFont="1" applyFill="1"/>
    <xf numFmtId="175" fontId="2" fillId="5" borderId="0" xfId="0" applyNumberFormat="1" applyFont="1" applyFill="1"/>
    <xf numFmtId="3" fontId="0" fillId="0" borderId="3" xfId="0" applyNumberFormat="1" applyBorder="1"/>
    <xf numFmtId="9" fontId="27" fillId="0" borderId="3" xfId="0" applyNumberFormat="1" applyFont="1" applyBorder="1"/>
    <xf numFmtId="2" fontId="0" fillId="0" borderId="3" xfId="0" applyNumberFormat="1" applyBorder="1"/>
    <xf numFmtId="10" fontId="0" fillId="0" borderId="3" xfId="0" applyNumberFormat="1" applyBorder="1"/>
    <xf numFmtId="10" fontId="27" fillId="0" borderId="3" xfId="0" applyNumberFormat="1" applyFont="1" applyBorder="1"/>
    <xf numFmtId="0" fontId="20" fillId="0" borderId="0" xfId="0" applyFont="1"/>
    <xf numFmtId="0" fontId="0" fillId="10" borderId="0" xfId="0" applyFill="1"/>
    <xf numFmtId="10" fontId="27" fillId="10" borderId="0" xfId="0" applyNumberFormat="1" applyFont="1" applyFill="1"/>
    <xf numFmtId="2" fontId="0" fillId="0" borderId="0" xfId="0" applyNumberFormat="1" applyBorder="1"/>
    <xf numFmtId="2" fontId="10" fillId="0" borderId="8" xfId="0" applyNumberFormat="1" applyFont="1" applyBorder="1"/>
    <xf numFmtId="0" fontId="10" fillId="0" borderId="11" xfId="0" applyFont="1" applyBorder="1"/>
    <xf numFmtId="2" fontId="10" fillId="0" borderId="11" xfId="0" applyNumberFormat="1" applyFont="1" applyBorder="1"/>
    <xf numFmtId="4" fontId="10" fillId="0" borderId="11" xfId="0" applyNumberFormat="1" applyFont="1" applyBorder="1"/>
    <xf numFmtId="0" fontId="10" fillId="10" borderId="0" xfId="0" applyFont="1" applyFill="1"/>
    <xf numFmtId="168" fontId="10" fillId="10" borderId="0" xfId="0" applyNumberFormat="1" applyFont="1" applyFill="1"/>
    <xf numFmtId="2" fontId="3" fillId="7" borderId="0" xfId="0" applyNumberFormat="1" applyFont="1" applyFill="1"/>
    <xf numFmtId="9" fontId="10" fillId="0" borderId="0" xfId="0" applyNumberFormat="1" applyFont="1"/>
    <xf numFmtId="169" fontId="0" fillId="0" borderId="0" xfId="0" applyNumberFormat="1"/>
    <xf numFmtId="10" fontId="10" fillId="0" borderId="0" xfId="0" applyNumberFormat="1" applyFont="1"/>
    <xf numFmtId="169" fontId="0" fillId="12" borderId="0" xfId="0" applyNumberFormat="1" applyFill="1"/>
    <xf numFmtId="0" fontId="2" fillId="5" borderId="0" xfId="0" applyFont="1" applyFill="1" applyAlignment="1">
      <alignment wrapText="1"/>
    </xf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11" fillId="9" borderId="13" xfId="0" applyFont="1" applyFill="1" applyBorder="1"/>
    <xf numFmtId="0" fontId="12" fillId="9" borderId="13" xfId="0" applyFont="1" applyFill="1" applyBorder="1"/>
    <xf numFmtId="2" fontId="12" fillId="9" borderId="13" xfId="0" applyNumberFormat="1" applyFont="1" applyFill="1" applyBorder="1" applyAlignment="1">
      <alignment wrapText="1"/>
    </xf>
    <xf numFmtId="1" fontId="12" fillId="9" borderId="13" xfId="0" applyNumberFormat="1" applyFont="1" applyFill="1" applyBorder="1" applyAlignment="1">
      <alignment wrapText="1"/>
    </xf>
    <xf numFmtId="1" fontId="12" fillId="9" borderId="13" xfId="0" applyNumberFormat="1" applyFont="1" applyFill="1" applyBorder="1"/>
    <xf numFmtId="1" fontId="11" fillId="9" borderId="13" xfId="0" applyNumberFormat="1" applyFont="1" applyFill="1" applyBorder="1"/>
    <xf numFmtId="177" fontId="12" fillId="9" borderId="13" xfId="0" applyNumberFormat="1" applyFont="1" applyFill="1" applyBorder="1"/>
    <xf numFmtId="0" fontId="0" fillId="0" borderId="13" xfId="0" applyBorder="1"/>
    <xf numFmtId="2" fontId="0" fillId="0" borderId="13" xfId="0" applyNumberFormat="1" applyBorder="1"/>
    <xf numFmtId="1" fontId="0" fillId="0" borderId="13" xfId="0" applyNumberFormat="1" applyBorder="1"/>
    <xf numFmtId="177" fontId="12" fillId="7" borderId="13" xfId="0" applyNumberFormat="1" applyFont="1" applyFill="1" applyBorder="1"/>
    <xf numFmtId="0" fontId="2" fillId="5" borderId="0" xfId="0" applyFont="1" applyFill="1" applyAlignment="1">
      <alignment horizontal="center" wrapText="1"/>
    </xf>
    <xf numFmtId="176" fontId="0" fillId="0" borderId="13" xfId="0" applyNumberFormat="1" applyBorder="1"/>
    <xf numFmtId="0" fontId="0" fillId="0" borderId="14" xfId="0" applyBorder="1"/>
    <xf numFmtId="176" fontId="0" fillId="0" borderId="14" xfId="0" applyNumberFormat="1" applyBorder="1"/>
    <xf numFmtId="0" fontId="10" fillId="12" borderId="0" xfId="0" applyFont="1" applyFill="1"/>
    <xf numFmtId="176" fontId="10" fillId="12" borderId="0" xfId="0" applyNumberFormat="1" applyFont="1" applyFill="1"/>
    <xf numFmtId="2" fontId="0" fillId="0" borderId="14" xfId="0" applyNumberFormat="1" applyBorder="1"/>
    <xf numFmtId="1" fontId="0" fillId="0" borderId="14" xfId="0" applyNumberFormat="1" applyBorder="1"/>
    <xf numFmtId="177" fontId="12" fillId="7" borderId="14" xfId="0" applyNumberFormat="1" applyFont="1" applyFill="1" applyBorder="1"/>
    <xf numFmtId="1" fontId="0" fillId="0" borderId="0" xfId="0" applyNumberFormat="1" applyBorder="1"/>
    <xf numFmtId="177" fontId="12" fillId="7" borderId="0" xfId="0" applyNumberFormat="1" applyFont="1" applyFill="1" applyBorder="1"/>
    <xf numFmtId="0" fontId="0" fillId="0" borderId="0" xfId="0" applyFill="1" applyBorder="1"/>
    <xf numFmtId="0" fontId="0" fillId="10" borderId="3" xfId="0" applyFill="1" applyBorder="1"/>
    <xf numFmtId="177" fontId="0" fillId="10" borderId="3" xfId="0" applyNumberFormat="1" applyFill="1" applyBorder="1"/>
    <xf numFmtId="0" fontId="10" fillId="10" borderId="3" xfId="0" applyFont="1" applyFill="1" applyBorder="1"/>
    <xf numFmtId="177" fontId="10" fillId="10" borderId="3" xfId="0" applyNumberFormat="1" applyFont="1" applyFill="1" applyBorder="1"/>
    <xf numFmtId="0" fontId="2" fillId="5" borderId="0" xfId="0" applyFont="1" applyFill="1" applyAlignment="1">
      <alignment horizontal="right"/>
    </xf>
    <xf numFmtId="14" fontId="0" fillId="0" borderId="0" xfId="0" applyNumberFormat="1"/>
    <xf numFmtId="0" fontId="10" fillId="7" borderId="15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center"/>
    </xf>
    <xf numFmtId="10" fontId="0" fillId="0" borderId="13" xfId="1" applyNumberFormat="1" applyFont="1" applyBorder="1"/>
    <xf numFmtId="2" fontId="0" fillId="0" borderId="13" xfId="1" applyNumberFormat="1" applyFont="1" applyBorder="1"/>
    <xf numFmtId="10" fontId="0" fillId="0" borderId="13" xfId="0" applyNumberFormat="1" applyBorder="1"/>
    <xf numFmtId="9" fontId="0" fillId="0" borderId="13" xfId="0" applyNumberFormat="1" applyBorder="1"/>
    <xf numFmtId="0" fontId="10" fillId="0" borderId="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165" fontId="7" fillId="0" borderId="0" xfId="4" applyNumberFormat="1" applyBorder="1" applyAlignment="1" applyProtection="1">
      <alignment horizontal="center"/>
    </xf>
    <xf numFmtId="165" fontId="6" fillId="4" borderId="0" xfId="7" applyNumberFormat="1" applyFont="1" applyBorder="1" applyAlignment="1">
      <alignment horizontal="center"/>
    </xf>
  </cellXfs>
  <cellStyles count="9">
    <cellStyle name="60% - Accent1 2" xfId="5" xr:uid="{9FB5BA13-1C38-484C-92BC-7941801BF9E7}"/>
    <cellStyle name="60% - Accent3 2" xfId="6" xr:uid="{3A46CD4B-A331-43BB-8C7F-66A37A78D8B7}"/>
    <cellStyle name="Accent6 2" xfId="7" xr:uid="{08DD0659-AC33-4597-BEB8-36D2E3A9B1B9}"/>
    <cellStyle name="Comma 2" xfId="3" xr:uid="{DEDF5C20-BF35-4396-833F-1959775B9D38}"/>
    <cellStyle name="Hyperlink" xfId="4" builtinId="8"/>
    <cellStyle name="Normal" xfId="0" builtinId="0"/>
    <cellStyle name="Normal 2" xfId="2" xr:uid="{B85A0094-B171-471C-9792-067B8BDB3E0E}"/>
    <cellStyle name="Percent" xfId="1" builtinId="5"/>
    <cellStyle name="Percent 2" xfId="8" xr:uid="{24117795-1E09-4BA0-BC5D-0F64E7DE6D79}"/>
  </cellStyles>
  <dxfs count="0"/>
  <tableStyles count="0" defaultTableStyle="TableStyleMedium2" defaultPivotStyle="PivotStyleLight16"/>
  <colors>
    <mruColors>
      <color rgb="FF1321A7"/>
      <color rgb="FF0000FF"/>
      <color rgb="FF2807B3"/>
      <color rgb="FF2D10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Forecasting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>
                    <a:alpha val="92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B9E-483A-BEAA-BC849B0D12A5}"/>
              </c:ext>
            </c:extLst>
          </c:dPt>
          <c:cat>
            <c:numRef>
              <c:f>Forecasting!$C$11:$C$25</c:f>
              <c:numCache>
                <c:formatCode>General"A"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 formatCode="General&quot;E&quot;">
                  <c:v>2026</c:v>
                </c:pt>
                <c:pt idx="11" formatCode="General&quot;E&quot;">
                  <c:v>2027</c:v>
                </c:pt>
                <c:pt idx="12" formatCode="General&quot;E&quot;">
                  <c:v>2028</c:v>
                </c:pt>
                <c:pt idx="13" formatCode="General&quot;E&quot;">
                  <c:v>2029</c:v>
                </c:pt>
                <c:pt idx="14" formatCode="General&quot;E&quot;">
                  <c:v>2030</c:v>
                </c:pt>
              </c:numCache>
            </c:numRef>
          </c:cat>
          <c:val>
            <c:numRef>
              <c:f>Forecasting!$D$11:$D$25</c:f>
              <c:numCache>
                <c:formatCode>#,##0.0</c:formatCode>
                <c:ptCount val="15"/>
                <c:pt idx="0">
                  <c:v>32186</c:v>
                </c:pt>
                <c:pt idx="1">
                  <c:v>33162</c:v>
                </c:pt>
                <c:pt idx="2">
                  <c:v>35545</c:v>
                </c:pt>
                <c:pt idx="3">
                  <c:v>39310</c:v>
                </c:pt>
                <c:pt idx="4">
                  <c:v>39783</c:v>
                </c:pt>
                <c:pt idx="5">
                  <c:v>47028</c:v>
                </c:pt>
                <c:pt idx="6">
                  <c:v>52446</c:v>
                </c:pt>
                <c:pt idx="7">
                  <c:v>60580</c:v>
                </c:pt>
                <c:pt idx="8">
                  <c:v>61896</c:v>
                </c:pt>
                <c:pt idx="9">
                  <c:v>63121</c:v>
                </c:pt>
                <c:pt idx="10">
                  <c:v>68218.399999999994</c:v>
                </c:pt>
                <c:pt idx="11">
                  <c:v>72166.163636363635</c:v>
                </c:pt>
                <c:pt idx="12">
                  <c:v>76113.927272727276</c:v>
                </c:pt>
                <c:pt idx="13">
                  <c:v>80061.690909090903</c:v>
                </c:pt>
                <c:pt idx="14">
                  <c:v>84009.454545454544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E-483A-BEAA-BC849B0D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083424"/>
        <c:axId val="1783079104"/>
      </c:barChart>
      <c:catAx>
        <c:axId val="1783083424"/>
        <c:scaling>
          <c:orientation val="minMax"/>
        </c:scaling>
        <c:delete val="0"/>
        <c:axPos val="b"/>
        <c:numFmt formatCode="General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79104"/>
        <c:crosses val="autoZero"/>
        <c:auto val="1"/>
        <c:lblAlgn val="ctr"/>
        <c:lblOffset val="100"/>
        <c:noMultiLvlLbl val="0"/>
      </c:catAx>
      <c:valAx>
        <c:axId val="1783079104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</a:t>
            </a:r>
            <a:r>
              <a:rPr lang="en-US" baseline="0"/>
              <a:t> Forecasting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Forecasting!$H$11:$H$25</c:f>
              <c:numCache>
                <c:formatCode>General"A"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 formatCode="General&quot;E&quot;">
                  <c:v>2026</c:v>
                </c:pt>
                <c:pt idx="11" formatCode="General&quot;E&quot;">
                  <c:v>2027</c:v>
                </c:pt>
                <c:pt idx="12" formatCode="General&quot;E&quot;">
                  <c:v>2028</c:v>
                </c:pt>
                <c:pt idx="13" formatCode="General&quot;E&quot;">
                  <c:v>2029</c:v>
                </c:pt>
                <c:pt idx="14" formatCode="General&quot;E&quot;">
                  <c:v>2030</c:v>
                </c:pt>
              </c:numCache>
            </c:numRef>
          </c:cat>
          <c:val>
            <c:numRef>
              <c:f>Forecasting!$I$11:$I$25</c:f>
              <c:numCache>
                <c:formatCode>#,##0.0</c:formatCode>
                <c:ptCount val="15"/>
                <c:pt idx="0">
                  <c:v>6076</c:v>
                </c:pt>
                <c:pt idx="1">
                  <c:v>6616</c:v>
                </c:pt>
                <c:pt idx="2">
                  <c:v>7355</c:v>
                </c:pt>
                <c:pt idx="3">
                  <c:v>8904</c:v>
                </c:pt>
                <c:pt idx="4">
                  <c:v>9645</c:v>
                </c:pt>
                <c:pt idx="5">
                  <c:v>10816</c:v>
                </c:pt>
                <c:pt idx="6">
                  <c:v>12813</c:v>
                </c:pt>
                <c:pt idx="7">
                  <c:v>13997</c:v>
                </c:pt>
                <c:pt idx="8">
                  <c:v>14637</c:v>
                </c:pt>
                <c:pt idx="9">
                  <c:v>14537</c:v>
                </c:pt>
                <c:pt idx="10">
                  <c:v>16486.400000000001</c:v>
                </c:pt>
                <c:pt idx="11">
                  <c:v>17567.636363636364</c:v>
                </c:pt>
                <c:pt idx="12">
                  <c:v>18648.872727272726</c:v>
                </c:pt>
                <c:pt idx="13">
                  <c:v>19730.109090909093</c:v>
                </c:pt>
                <c:pt idx="14">
                  <c:v>20811.345454545455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7-4B4F-9BE0-85C4A328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395712"/>
        <c:axId val="1838393792"/>
      </c:barChart>
      <c:catAx>
        <c:axId val="1838395712"/>
        <c:scaling>
          <c:orientation val="minMax"/>
        </c:scaling>
        <c:delete val="0"/>
        <c:axPos val="b"/>
        <c:numFmt formatCode="General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93792"/>
        <c:crosses val="autoZero"/>
        <c:auto val="1"/>
        <c:lblAlgn val="ctr"/>
        <c:lblOffset val="100"/>
        <c:noMultiLvlLbl val="0"/>
      </c:catAx>
      <c:valAx>
        <c:axId val="1838393792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EBT</a:t>
            </a:r>
            <a:r>
              <a:rPr lang="en-US" baseline="0"/>
              <a:t> Forecasting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Forecasting!$C$40:$C$54</c:f>
              <c:numCache>
                <c:formatCode>General"A"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 formatCode="General&quot;E&quot;">
                  <c:v>2026</c:v>
                </c:pt>
                <c:pt idx="11" formatCode="General&quot;E&quot;">
                  <c:v>2027</c:v>
                </c:pt>
                <c:pt idx="12" formatCode="General&quot;E&quot;">
                  <c:v>2028</c:v>
                </c:pt>
                <c:pt idx="13" formatCode="General&quot;E&quot;">
                  <c:v>2029</c:v>
                </c:pt>
                <c:pt idx="14" formatCode="General&quot;E&quot;">
                  <c:v>2030</c:v>
                </c:pt>
              </c:numCache>
            </c:numRef>
          </c:cat>
          <c:val>
            <c:numRef>
              <c:f>Forecasting!$D$40:$D$54</c:f>
              <c:numCache>
                <c:formatCode>#,##0.0</c:formatCode>
                <c:ptCount val="15"/>
                <c:pt idx="0">
                  <c:v>5706</c:v>
                </c:pt>
                <c:pt idx="1">
                  <c:v>6149</c:v>
                </c:pt>
                <c:pt idx="2">
                  <c:v>6809</c:v>
                </c:pt>
                <c:pt idx="3">
                  <c:v>8306</c:v>
                </c:pt>
                <c:pt idx="4">
                  <c:v>8525</c:v>
                </c:pt>
                <c:pt idx="5">
                  <c:v>9625</c:v>
                </c:pt>
                <c:pt idx="6">
                  <c:v>11616</c:v>
                </c:pt>
                <c:pt idx="7">
                  <c:v>12746</c:v>
                </c:pt>
                <c:pt idx="8">
                  <c:v>13087</c:v>
                </c:pt>
                <c:pt idx="9">
                  <c:v>12787</c:v>
                </c:pt>
                <c:pt idx="10">
                  <c:v>14635.933333333334</c:v>
                </c:pt>
                <c:pt idx="11">
                  <c:v>15563.266666666666</c:v>
                </c:pt>
                <c:pt idx="12">
                  <c:v>16490.599999999999</c:v>
                </c:pt>
                <c:pt idx="13">
                  <c:v>17417.933333333334</c:v>
                </c:pt>
                <c:pt idx="14">
                  <c:v>18345.266666666666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2-4D1B-8EB0-DF89698E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396192"/>
        <c:axId val="1838384192"/>
      </c:barChart>
      <c:catAx>
        <c:axId val="1838396192"/>
        <c:scaling>
          <c:orientation val="minMax"/>
        </c:scaling>
        <c:delete val="0"/>
        <c:axPos val="b"/>
        <c:numFmt formatCode="General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84192"/>
        <c:crosses val="autoZero"/>
        <c:auto val="1"/>
        <c:lblAlgn val="ctr"/>
        <c:lblOffset val="100"/>
        <c:noMultiLvlLbl val="0"/>
      </c:catAx>
      <c:valAx>
        <c:axId val="1838384192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  <a:r>
              <a:rPr lang="en-US" baseline="0"/>
              <a:t> Forecasting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Forecasting!$H$40:$H$54</c:f>
              <c:numCache>
                <c:formatCode>General"A"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 formatCode="General&quot;E&quot;">
                  <c:v>2026</c:v>
                </c:pt>
                <c:pt idx="11" formatCode="General&quot;E&quot;">
                  <c:v>2027</c:v>
                </c:pt>
                <c:pt idx="12" formatCode="General&quot;E&quot;">
                  <c:v>2028</c:v>
                </c:pt>
                <c:pt idx="13" formatCode="General&quot;E&quot;">
                  <c:v>2029</c:v>
                </c:pt>
                <c:pt idx="14" formatCode="General&quot;E&quot;">
                  <c:v>2030</c:v>
                </c:pt>
              </c:numCache>
            </c:numRef>
          </c:cat>
          <c:val>
            <c:numRef>
              <c:f>Forecasting!$I$40:$I$54</c:f>
              <c:numCache>
                <c:formatCode>#,##0.0</c:formatCode>
                <c:ptCount val="15"/>
                <c:pt idx="0">
                  <c:v>17.704145293220574</c:v>
                </c:pt>
                <c:pt idx="1">
                  <c:v>19.276440419535184</c:v>
                </c:pt>
                <c:pt idx="2">
                  <c:v>21.852621852621855</c:v>
                </c:pt>
                <c:pt idx="3">
                  <c:v>26.618007114149766</c:v>
                </c:pt>
                <c:pt idx="4">
                  <c:v>28.252032520325205</c:v>
                </c:pt>
                <c:pt idx="5">
                  <c:v>29.873169901259789</c:v>
                </c:pt>
                <c:pt idx="6">
                  <c:v>36.725400068096697</c:v>
                </c:pt>
                <c:pt idx="7">
                  <c:v>40.623935989104524</c:v>
                </c:pt>
                <c:pt idx="8">
                  <c:v>40.18981954375213</c:v>
                </c:pt>
                <c:pt idx="9">
                  <c:v>38.487402110997614</c:v>
                </c:pt>
                <c:pt idx="10">
                  <c:v>45.268392553129694</c:v>
                </c:pt>
                <c:pt idx="11">
                  <c:v>48.051682566188482</c:v>
                </c:pt>
                <c:pt idx="12">
                  <c:v>50.834972579247271</c:v>
                </c:pt>
                <c:pt idx="13">
                  <c:v>53.618262592306067</c:v>
                </c:pt>
                <c:pt idx="14">
                  <c:v>56.401552605364863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9-4E8E-B0D5-63DEB496C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994944"/>
        <c:axId val="1932997344"/>
      </c:barChart>
      <c:catAx>
        <c:axId val="1932994944"/>
        <c:scaling>
          <c:orientation val="minMax"/>
        </c:scaling>
        <c:delete val="0"/>
        <c:axPos val="b"/>
        <c:numFmt formatCode="General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97344"/>
        <c:crosses val="autoZero"/>
        <c:auto val="1"/>
        <c:lblAlgn val="ctr"/>
        <c:lblOffset val="100"/>
        <c:noMultiLvlLbl val="0"/>
      </c:catAx>
      <c:valAx>
        <c:axId val="1932997344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117474</xdr:colOff>
      <xdr:row>25</xdr:row>
      <xdr:rowOff>85725</xdr:rowOff>
    </xdr:from>
    <xdr:to>
      <xdr:col>5</xdr:col>
      <xdr:colOff>28575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E8B8-23E5-CCD6-9BC3-51F76932A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25</xdr:row>
      <xdr:rowOff>152400</xdr:rowOff>
    </xdr:from>
    <xdr:to>
      <xdr:col>9</xdr:col>
      <xdr:colOff>962024</xdr:colOff>
      <xdr:row>36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A73D71-EBEA-A530-7B79-A16018A36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54</xdr:row>
      <xdr:rowOff>152400</xdr:rowOff>
    </xdr:from>
    <xdr:to>
      <xdr:col>5</xdr:col>
      <xdr:colOff>28575</xdr:colOff>
      <xdr:row>65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A188E2-D1E6-80FE-0BC1-A749F679A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54</xdr:row>
      <xdr:rowOff>180976</xdr:rowOff>
    </xdr:from>
    <xdr:to>
      <xdr:col>9</xdr:col>
      <xdr:colOff>819150</xdr:colOff>
      <xdr:row>65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0D2D81-A543-72BD-6294-DEA28FE9B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141A-EDEF-4028-8032-2EAA706010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E778-08C5-4917-A1CF-7D0395A01C44}">
  <dimension ref="B2:J60"/>
  <sheetViews>
    <sheetView showGridLines="0" workbookViewId="0">
      <selection activeCell="J49" sqref="J49"/>
    </sheetView>
  </sheetViews>
  <sheetFormatPr defaultRowHeight="15" x14ac:dyDescent="0.25"/>
  <cols>
    <col min="1" max="1" width="1.85546875" customWidth="1"/>
    <col min="2" max="2" width="24.5703125" customWidth="1"/>
    <col min="6" max="6" width="13.140625" customWidth="1"/>
  </cols>
  <sheetData>
    <row r="2" spans="2:10" ht="26.25" x14ac:dyDescent="0.4">
      <c r="B2" s="92" t="s">
        <v>3</v>
      </c>
      <c r="C2" s="1"/>
      <c r="D2" s="1"/>
      <c r="E2" s="1"/>
      <c r="F2" s="1"/>
      <c r="G2" s="1"/>
      <c r="H2" s="1"/>
      <c r="I2" s="1"/>
      <c r="J2" s="1"/>
    </row>
    <row r="3" spans="2:10" x14ac:dyDescent="0.25">
      <c r="B3" s="93" t="s">
        <v>182</v>
      </c>
      <c r="C3" s="93" t="s">
        <v>183</v>
      </c>
      <c r="D3" s="93"/>
      <c r="E3" s="3"/>
      <c r="F3" s="3"/>
      <c r="G3" s="3"/>
      <c r="H3" s="3"/>
      <c r="I3" s="3"/>
      <c r="J3" s="3"/>
    </row>
    <row r="5" spans="2:10" x14ac:dyDescent="0.25">
      <c r="B5" s="18" t="s">
        <v>241</v>
      </c>
      <c r="C5" s="18"/>
      <c r="D5" s="18"/>
      <c r="E5" s="18"/>
      <c r="F5" s="142">
        <v>44276</v>
      </c>
      <c r="G5" s="142">
        <f>F5+365</f>
        <v>44641</v>
      </c>
      <c r="H5" s="142">
        <f t="shared" ref="H5:J5" si="0">G5+365</f>
        <v>45006</v>
      </c>
      <c r="I5" s="142">
        <f t="shared" si="0"/>
        <v>45371</v>
      </c>
      <c r="J5" s="142">
        <f t="shared" si="0"/>
        <v>45736</v>
      </c>
    </row>
    <row r="7" spans="2:10" x14ac:dyDescent="0.25">
      <c r="B7" s="35" t="s">
        <v>242</v>
      </c>
    </row>
    <row r="8" spans="2:10" x14ac:dyDescent="0.25">
      <c r="B8" s="9" t="s">
        <v>43</v>
      </c>
      <c r="F8">
        <f>'Data Sheet'!G67</f>
        <v>1758</v>
      </c>
      <c r="G8">
        <f>'Data Sheet'!H67</f>
        <v>2236</v>
      </c>
      <c r="H8">
        <f>'Data Sheet'!I67</f>
        <v>3079</v>
      </c>
      <c r="I8">
        <f>'Data Sheet'!J67</f>
        <v>2997</v>
      </c>
      <c r="J8">
        <f>'Data Sheet'!K67</f>
        <v>3819</v>
      </c>
    </row>
    <row r="9" spans="2:10" x14ac:dyDescent="0.25">
      <c r="B9" s="9" t="s">
        <v>44</v>
      </c>
      <c r="F9">
        <f>'Data Sheet'!G68</f>
        <v>3579</v>
      </c>
      <c r="G9">
        <f>'Data Sheet'!H68</f>
        <v>4096</v>
      </c>
      <c r="H9">
        <f>'Data Sheet'!I68</f>
        <v>4251</v>
      </c>
      <c r="I9">
        <f>'Data Sheet'!J68</f>
        <v>4022</v>
      </c>
      <c r="J9">
        <f>'Data Sheet'!K68</f>
        <v>4415</v>
      </c>
    </row>
    <row r="10" spans="2:10" x14ac:dyDescent="0.25">
      <c r="B10" s="9" t="s">
        <v>45</v>
      </c>
      <c r="F10">
        <f>'Data Sheet'!G69</f>
        <v>4471</v>
      </c>
      <c r="G10">
        <f>'Data Sheet'!H69</f>
        <v>3846</v>
      </c>
      <c r="H10">
        <f>'Data Sheet'!I69</f>
        <v>4678</v>
      </c>
      <c r="I10">
        <f>'Data Sheet'!J69</f>
        <v>7559</v>
      </c>
      <c r="J10">
        <f>'Data Sheet'!K69</f>
        <v>7554</v>
      </c>
    </row>
    <row r="11" spans="2:10" x14ac:dyDescent="0.25">
      <c r="B11" s="143" t="s">
        <v>82</v>
      </c>
      <c r="C11" s="139"/>
      <c r="D11" s="139"/>
      <c r="E11" s="139"/>
      <c r="F11" s="139">
        <f>SUM(F8:F10)</f>
        <v>9808</v>
      </c>
      <c r="G11" s="139">
        <f t="shared" ref="G11:J11" si="1">SUM(G8:G10)</f>
        <v>10178</v>
      </c>
      <c r="H11" s="139">
        <f t="shared" si="1"/>
        <v>12008</v>
      </c>
      <c r="I11" s="139">
        <f t="shared" si="1"/>
        <v>14578</v>
      </c>
      <c r="J11" s="139">
        <f t="shared" si="1"/>
        <v>15788</v>
      </c>
    </row>
    <row r="13" spans="2:10" x14ac:dyDescent="0.25">
      <c r="B13" s="41" t="s">
        <v>243</v>
      </c>
    </row>
    <row r="14" spans="2:10" x14ac:dyDescent="0.25">
      <c r="B14" s="144" t="s">
        <v>244</v>
      </c>
      <c r="F14" s="147">
        <v>0</v>
      </c>
      <c r="G14" s="147">
        <v>0</v>
      </c>
      <c r="H14" s="147">
        <v>98</v>
      </c>
      <c r="I14" s="147">
        <v>13</v>
      </c>
      <c r="J14" s="147">
        <v>1</v>
      </c>
    </row>
    <row r="15" spans="2:10" x14ac:dyDescent="0.25">
      <c r="B15" t="s">
        <v>245</v>
      </c>
      <c r="F15" s="145">
        <v>8802</v>
      </c>
      <c r="G15" s="145">
        <v>9068</v>
      </c>
      <c r="H15" s="145">
        <v>9574</v>
      </c>
      <c r="I15" s="145">
        <v>10486</v>
      </c>
      <c r="J15" s="145">
        <v>11315</v>
      </c>
    </row>
    <row r="16" spans="2:10" x14ac:dyDescent="0.25">
      <c r="B16" t="s">
        <v>267</v>
      </c>
      <c r="F16" s="145">
        <v>12148</v>
      </c>
      <c r="G16" s="145">
        <v>11189</v>
      </c>
      <c r="H16" s="145">
        <v>11664</v>
      </c>
      <c r="I16" s="145">
        <v>15005</v>
      </c>
      <c r="J16" s="145">
        <v>17186</v>
      </c>
    </row>
    <row r="17" spans="2:10" x14ac:dyDescent="0.25">
      <c r="B17" t="s">
        <v>246</v>
      </c>
      <c r="F17" s="146">
        <v>96</v>
      </c>
      <c r="G17" s="146">
        <v>119</v>
      </c>
      <c r="H17" s="146">
        <v>98</v>
      </c>
      <c r="I17" s="146">
        <v>91</v>
      </c>
      <c r="J17" s="146">
        <v>105</v>
      </c>
    </row>
    <row r="18" spans="2:10" x14ac:dyDescent="0.25">
      <c r="B18" s="143" t="s">
        <v>247</v>
      </c>
      <c r="C18" s="139"/>
      <c r="D18" s="139"/>
      <c r="E18" s="139"/>
      <c r="F18" s="139">
        <f>SUM(F14:F17)</f>
        <v>21046</v>
      </c>
      <c r="G18" s="139">
        <f t="shared" ref="G18:J18" si="2">SUM(G14:G17)</f>
        <v>20376</v>
      </c>
      <c r="H18" s="139">
        <f t="shared" si="2"/>
        <v>21434</v>
      </c>
      <c r="I18" s="139">
        <f t="shared" si="2"/>
        <v>25595</v>
      </c>
      <c r="J18" s="139">
        <f t="shared" si="2"/>
        <v>28607</v>
      </c>
    </row>
    <row r="20" spans="2:10" x14ac:dyDescent="0.25">
      <c r="B20" s="126" t="s">
        <v>248</v>
      </c>
      <c r="C20" s="126"/>
      <c r="D20" s="126"/>
      <c r="E20" s="126"/>
      <c r="F20" s="159">
        <f>F11-F18</f>
        <v>-11238</v>
      </c>
      <c r="G20" s="159">
        <f t="shared" ref="G20:J20" si="3">G11-G18</f>
        <v>-10198</v>
      </c>
      <c r="H20" s="159">
        <f t="shared" si="3"/>
        <v>-9426</v>
      </c>
      <c r="I20" s="159">
        <f t="shared" si="3"/>
        <v>-11017</v>
      </c>
      <c r="J20" s="159">
        <f t="shared" si="3"/>
        <v>-12819</v>
      </c>
    </row>
    <row r="22" spans="2:10" x14ac:dyDescent="0.25">
      <c r="B22" s="35" t="s">
        <v>260</v>
      </c>
    </row>
    <row r="23" spans="2:10" x14ac:dyDescent="0.25">
      <c r="B23" s="148" t="s">
        <v>249</v>
      </c>
      <c r="F23">
        <f>'Peer Data'!K9</f>
        <v>477</v>
      </c>
      <c r="G23">
        <f>'Peer Data'!L9</f>
        <v>477</v>
      </c>
      <c r="H23">
        <f>'Peer Data'!M9</f>
        <v>609</v>
      </c>
      <c r="I23">
        <f>'Peer Data'!N9</f>
        <v>633</v>
      </c>
      <c r="J23">
        <f>'Peer Data'!O9</f>
        <v>628</v>
      </c>
    </row>
    <row r="24" spans="2:10" x14ac:dyDescent="0.25">
      <c r="B24" s="148" t="s">
        <v>250</v>
      </c>
      <c r="F24">
        <f>'Peer Data'!K10</f>
        <v>2602</v>
      </c>
      <c r="G24">
        <f>'Peer Data'!L10</f>
        <v>2788</v>
      </c>
      <c r="H24">
        <f>'Peer Data'!M10</f>
        <v>3101</v>
      </c>
      <c r="I24">
        <f>'Peer Data'!N10</f>
        <v>3590</v>
      </c>
      <c r="J24">
        <f>'Peer Data'!O10</f>
        <v>3833</v>
      </c>
    </row>
    <row r="25" spans="2:10" x14ac:dyDescent="0.25">
      <c r="B25" s="148" t="s">
        <v>251</v>
      </c>
      <c r="F25">
        <f>'Peer Data'!K11</f>
        <v>6097</v>
      </c>
      <c r="G25">
        <f>'Peer Data'!L11</f>
        <v>6566</v>
      </c>
      <c r="H25">
        <f>'Peer Data'!M11</f>
        <v>7612</v>
      </c>
      <c r="I25">
        <f>'Peer Data'!N11</f>
        <v>8946</v>
      </c>
      <c r="J25">
        <f>'Peer Data'!O11</f>
        <v>9900</v>
      </c>
    </row>
    <row r="26" spans="2:10" x14ac:dyDescent="0.25">
      <c r="B26" s="148" t="s">
        <v>252</v>
      </c>
      <c r="F26">
        <f>'Peer Data'!K12</f>
        <v>175</v>
      </c>
      <c r="G26">
        <f>'Peer Data'!L12</f>
        <v>181</v>
      </c>
      <c r="H26">
        <f>'Peer Data'!M12</f>
        <v>185</v>
      </c>
      <c r="I26">
        <f>'Peer Data'!N12</f>
        <v>206</v>
      </c>
      <c r="J26">
        <f>'Peer Data'!O12</f>
        <v>245</v>
      </c>
    </row>
    <row r="27" spans="2:10" x14ac:dyDescent="0.25">
      <c r="B27" s="148" t="s">
        <v>253</v>
      </c>
      <c r="F27">
        <f>'Peer Data'!K13</f>
        <v>156</v>
      </c>
      <c r="G27">
        <f>'Peer Data'!L13</f>
        <v>152</v>
      </c>
      <c r="H27">
        <f>'Peer Data'!M13</f>
        <v>161</v>
      </c>
      <c r="I27">
        <f>'Peer Data'!N13</f>
        <v>165</v>
      </c>
      <c r="J27">
        <f>'Peer Data'!O13</f>
        <v>174</v>
      </c>
    </row>
    <row r="28" spans="2:10" x14ac:dyDescent="0.25">
      <c r="B28" s="148" t="s">
        <v>255</v>
      </c>
      <c r="F28">
        <f>'Peer Data'!K15</f>
        <v>0</v>
      </c>
      <c r="G28">
        <f>'Peer Data'!L15</f>
        <v>0</v>
      </c>
      <c r="H28">
        <f>'Peer Data'!M15</f>
        <v>33</v>
      </c>
      <c r="I28">
        <f>'Peer Data'!N15</f>
        <v>39</v>
      </c>
      <c r="J28">
        <f>'Peer Data'!O15</f>
        <v>102</v>
      </c>
    </row>
    <row r="29" spans="2:10" x14ac:dyDescent="0.25">
      <c r="B29" s="148" t="s">
        <v>256</v>
      </c>
      <c r="F29">
        <f>'Peer Data'!K16</f>
        <v>45262</v>
      </c>
      <c r="G29">
        <f>'Peer Data'!L16</f>
        <v>45262</v>
      </c>
      <c r="H29">
        <f>'Peer Data'!M16</f>
        <v>45692</v>
      </c>
      <c r="I29">
        <f>'Peer Data'!N16</f>
        <v>45692</v>
      </c>
      <c r="J29">
        <f>'Peer Data'!O16</f>
        <v>45692</v>
      </c>
    </row>
    <row r="30" spans="2:10" x14ac:dyDescent="0.25">
      <c r="B30" s="148" t="s">
        <v>257</v>
      </c>
      <c r="F30">
        <f>'Peer Data'!K17</f>
        <v>155</v>
      </c>
      <c r="G30">
        <f>'Peer Data'!L17</f>
        <v>152</v>
      </c>
      <c r="H30">
        <f>'Peer Data'!M17</f>
        <v>171</v>
      </c>
      <c r="I30">
        <f>'Peer Data'!N17</f>
        <v>180</v>
      </c>
      <c r="J30">
        <f>'Peer Data'!O17</f>
        <v>190</v>
      </c>
    </row>
    <row r="31" spans="2:10" x14ac:dyDescent="0.25">
      <c r="B31" s="151" t="s">
        <v>258</v>
      </c>
      <c r="C31" s="139"/>
      <c r="D31" s="139"/>
      <c r="E31" s="139"/>
      <c r="F31" s="139">
        <f>SUM(F23:F30)</f>
        <v>54924</v>
      </c>
      <c r="G31" s="139">
        <f t="shared" ref="G31:J31" si="4">SUM(G23:G30)</f>
        <v>55578</v>
      </c>
      <c r="H31" s="139">
        <f t="shared" si="4"/>
        <v>57564</v>
      </c>
      <c r="I31" s="139">
        <f t="shared" si="4"/>
        <v>59451</v>
      </c>
      <c r="J31" s="139">
        <f t="shared" si="4"/>
        <v>60764</v>
      </c>
    </row>
    <row r="32" spans="2:10" x14ac:dyDescent="0.25">
      <c r="B32" s="148" t="s">
        <v>261</v>
      </c>
      <c r="F32" s="155">
        <v>3481</v>
      </c>
      <c r="G32" s="155">
        <v>4105</v>
      </c>
      <c r="H32" s="155">
        <v>4886</v>
      </c>
      <c r="I32" s="155">
        <v>5707</v>
      </c>
      <c r="J32" s="155">
        <v>6429</v>
      </c>
    </row>
    <row r="33" spans="2:10" ht="15.75" thickBot="1" x14ac:dyDescent="0.3">
      <c r="B33" s="152" t="s">
        <v>262</v>
      </c>
      <c r="C33" s="153"/>
      <c r="D33" s="153"/>
      <c r="E33" s="153"/>
      <c r="F33" s="154">
        <f>F31-F32</f>
        <v>51443</v>
      </c>
      <c r="G33" s="154">
        <f t="shared" ref="G33:J33" si="5">G31-G32</f>
        <v>51473</v>
      </c>
      <c r="H33" s="154">
        <f t="shared" si="5"/>
        <v>52678</v>
      </c>
      <c r="I33" s="154">
        <f t="shared" si="5"/>
        <v>53744</v>
      </c>
      <c r="J33" s="154">
        <f t="shared" si="5"/>
        <v>54335</v>
      </c>
    </row>
    <row r="34" spans="2:10" ht="15.75" thickTop="1" x14ac:dyDescent="0.25"/>
    <row r="35" spans="2:10" x14ac:dyDescent="0.25">
      <c r="B35" t="s">
        <v>263</v>
      </c>
      <c r="F35" s="36">
        <f>F33+F20</f>
        <v>40205</v>
      </c>
      <c r="G35" s="36">
        <f t="shared" ref="G35:J35" si="6">G33+G20</f>
        <v>41275</v>
      </c>
      <c r="H35" s="36">
        <f t="shared" si="6"/>
        <v>43252</v>
      </c>
      <c r="I35" s="36">
        <f t="shared" si="6"/>
        <v>42727</v>
      </c>
      <c r="J35" s="36">
        <f t="shared" si="6"/>
        <v>41516</v>
      </c>
    </row>
    <row r="36" spans="2:10" x14ac:dyDescent="0.25">
      <c r="B36" t="s">
        <v>264</v>
      </c>
      <c r="F36">
        <f>'Peer Data'!K26</f>
        <v>8041.5</v>
      </c>
      <c r="G36">
        <f>'Peer Data'!L26</f>
        <v>8988.75</v>
      </c>
      <c r="H36">
        <f>'Peer Data'!M26</f>
        <v>10228.08</v>
      </c>
      <c r="I36">
        <f>'Peer Data'!N26</f>
        <v>10552.4</v>
      </c>
      <c r="J36">
        <f>'Peer Data'!O26</f>
        <v>10959.4</v>
      </c>
    </row>
    <row r="38" spans="2:10" ht="15.75" thickBot="1" x14ac:dyDescent="0.3">
      <c r="B38" s="157" t="s">
        <v>266</v>
      </c>
      <c r="C38" s="157"/>
      <c r="D38" s="157"/>
      <c r="E38" s="157"/>
      <c r="F38" s="158">
        <f>F36/F35</f>
        <v>0.20001243626414625</v>
      </c>
      <c r="G38" s="158">
        <f t="shared" ref="G38:J38" si="7">G36/G35</f>
        <v>0.2177771047849788</v>
      </c>
      <c r="H38" s="158">
        <f t="shared" si="7"/>
        <v>0.23647646351613799</v>
      </c>
      <c r="I38" s="158">
        <f t="shared" si="7"/>
        <v>0.24697264025089521</v>
      </c>
      <c r="J38" s="158">
        <f t="shared" si="7"/>
        <v>0.26398015223046534</v>
      </c>
    </row>
    <row r="39" spans="2:10" ht="15.75" thickTop="1" x14ac:dyDescent="0.25"/>
    <row r="40" spans="2:10" x14ac:dyDescent="0.25">
      <c r="B40" s="5" t="s">
        <v>268</v>
      </c>
      <c r="C40" s="5"/>
      <c r="D40" s="5"/>
      <c r="E40" s="5"/>
      <c r="F40" s="142">
        <v>44276</v>
      </c>
      <c r="G40" s="142">
        <f>F40+365</f>
        <v>44641</v>
      </c>
      <c r="H40" s="142">
        <f t="shared" ref="H40:J40" si="8">G40+365</f>
        <v>45006</v>
      </c>
      <c r="I40" s="142">
        <f t="shared" si="8"/>
        <v>45371</v>
      </c>
      <c r="J40" s="142">
        <f t="shared" si="8"/>
        <v>45736</v>
      </c>
    </row>
    <row r="42" spans="2:10" x14ac:dyDescent="0.25">
      <c r="B42" t="s">
        <v>269</v>
      </c>
      <c r="F42" s="36">
        <f>'Peer Data'!K31</f>
        <v>4163</v>
      </c>
      <c r="G42" s="36">
        <f>'Peer Data'!L31</f>
        <v>1228</v>
      </c>
      <c r="H42" s="36">
        <f>'Peer Data'!M31</f>
        <v>1192</v>
      </c>
      <c r="I42" s="36">
        <f>'Peer Data'!N31</f>
        <v>1477</v>
      </c>
      <c r="J42" s="36">
        <f>'Peer Data'!O31</f>
        <v>1275</v>
      </c>
    </row>
    <row r="43" spans="2:10" x14ac:dyDescent="0.25">
      <c r="B43" t="s">
        <v>270</v>
      </c>
      <c r="F43" s="160"/>
      <c r="G43" s="160">
        <f>G20-F20</f>
        <v>1040</v>
      </c>
      <c r="H43" s="160">
        <f t="shared" ref="H43:J43" si="9">H20-G20</f>
        <v>772</v>
      </c>
      <c r="I43" s="160">
        <f t="shared" si="9"/>
        <v>-1591</v>
      </c>
      <c r="J43" s="160">
        <f t="shared" si="9"/>
        <v>-1802</v>
      </c>
    </row>
    <row r="45" spans="2:10" x14ac:dyDescent="0.25">
      <c r="B45" t="s">
        <v>271</v>
      </c>
      <c r="F45" s="160">
        <f>SUM(F42:F43)</f>
        <v>4163</v>
      </c>
      <c r="G45" s="160">
        <f t="shared" ref="G45:J45" si="10">SUM(G42:G43)</f>
        <v>2268</v>
      </c>
      <c r="H45" s="160">
        <f t="shared" si="10"/>
        <v>1964</v>
      </c>
      <c r="I45" s="160">
        <f t="shared" si="10"/>
        <v>-114</v>
      </c>
      <c r="J45" s="160">
        <f t="shared" si="10"/>
        <v>-527</v>
      </c>
    </row>
    <row r="46" spans="2:10" x14ac:dyDescent="0.25">
      <c r="F46" s="160"/>
      <c r="G46" s="160"/>
      <c r="H46" s="160"/>
      <c r="I46" s="160"/>
      <c r="J46" s="160"/>
    </row>
    <row r="47" spans="2:10" ht="15.75" thickBot="1" x14ac:dyDescent="0.3">
      <c r="B47" s="153" t="s">
        <v>272</v>
      </c>
      <c r="C47" s="153"/>
      <c r="D47" s="153"/>
      <c r="E47" s="153"/>
      <c r="F47" s="161"/>
      <c r="G47" s="161">
        <f t="shared" ref="G47:J47" si="11">G45/G36</f>
        <v>0.25231539424280353</v>
      </c>
      <c r="H47" s="161">
        <f t="shared" si="11"/>
        <v>0.19202039874541457</v>
      </c>
      <c r="I47" s="161">
        <f t="shared" si="11"/>
        <v>-1.0803229597058489E-2</v>
      </c>
      <c r="J47" s="161">
        <f t="shared" si="11"/>
        <v>-4.8086574082522766E-2</v>
      </c>
    </row>
    <row r="48" spans="2:10" ht="15.75" thickTop="1" x14ac:dyDescent="0.25">
      <c r="B48" s="90"/>
      <c r="C48" s="90"/>
      <c r="D48" s="90"/>
      <c r="E48" s="90"/>
      <c r="F48" s="163"/>
      <c r="G48" s="163"/>
      <c r="H48" s="163"/>
      <c r="I48" s="163"/>
      <c r="J48" s="163"/>
    </row>
    <row r="49" spans="2:10" x14ac:dyDescent="0.25">
      <c r="B49" s="90"/>
      <c r="C49" s="90"/>
      <c r="D49" s="90"/>
      <c r="E49" s="90"/>
      <c r="F49" s="163"/>
      <c r="G49" s="163"/>
      <c r="H49" s="164" t="s">
        <v>275</v>
      </c>
      <c r="I49" s="164"/>
      <c r="J49" s="164">
        <f>AVERAGE(G47:J47)</f>
        <v>9.6361497327159221E-2</v>
      </c>
    </row>
    <row r="50" spans="2:10" x14ac:dyDescent="0.25">
      <c r="B50" s="90"/>
      <c r="C50" s="90"/>
      <c r="D50" s="90"/>
      <c r="E50" s="90"/>
      <c r="F50" s="163"/>
      <c r="G50" s="163"/>
      <c r="H50" s="164" t="s">
        <v>276</v>
      </c>
      <c r="I50" s="164"/>
      <c r="J50" s="164">
        <f>MEDIAN(G47:J47)</f>
        <v>9.0608584574178044E-2</v>
      </c>
    </row>
    <row r="52" spans="2:10" x14ac:dyDescent="0.25">
      <c r="B52" s="5" t="s">
        <v>273</v>
      </c>
      <c r="C52" s="5"/>
      <c r="D52" s="5"/>
      <c r="E52" s="5"/>
      <c r="F52" s="5"/>
      <c r="G52" s="6"/>
      <c r="H52" s="6"/>
      <c r="I52" s="6"/>
      <c r="J52" s="6"/>
    </row>
    <row r="54" spans="2:10" x14ac:dyDescent="0.25">
      <c r="B54" t="s">
        <v>272</v>
      </c>
      <c r="F54" s="52">
        <f>F47</f>
        <v>0</v>
      </c>
      <c r="G54" s="52">
        <f t="shared" ref="G54:J54" si="12">G47</f>
        <v>0.25231539424280353</v>
      </c>
      <c r="H54" s="52">
        <f t="shared" si="12"/>
        <v>0.19202039874541457</v>
      </c>
      <c r="I54" s="52">
        <f t="shared" si="12"/>
        <v>-1.0803229597058489E-2</v>
      </c>
      <c r="J54" s="52">
        <f t="shared" si="12"/>
        <v>-4.8086574082522766E-2</v>
      </c>
    </row>
    <row r="55" spans="2:10" x14ac:dyDescent="0.25">
      <c r="B55" t="s">
        <v>266</v>
      </c>
      <c r="F55" s="52">
        <f>F38</f>
        <v>0.20001243626414625</v>
      </c>
      <c r="G55" s="52">
        <f t="shared" ref="G55:J55" si="13">G38</f>
        <v>0.2177771047849788</v>
      </c>
      <c r="H55" s="52">
        <f t="shared" si="13"/>
        <v>0.23647646351613799</v>
      </c>
      <c r="I55" s="52">
        <f t="shared" si="13"/>
        <v>0.24697264025089521</v>
      </c>
      <c r="J55" s="52">
        <f t="shared" si="13"/>
        <v>0.26398015223046534</v>
      </c>
    </row>
    <row r="56" spans="2:10" ht="4.5" customHeight="1" x14ac:dyDescent="0.25"/>
    <row r="57" spans="2:10" ht="15.75" thickBot="1" x14ac:dyDescent="0.3">
      <c r="B57" s="153" t="s">
        <v>274</v>
      </c>
      <c r="C57" s="153"/>
      <c r="D57" s="153"/>
      <c r="E57" s="153"/>
      <c r="F57" s="162">
        <f>F54*F55</f>
        <v>0</v>
      </c>
      <c r="G57" s="162">
        <f t="shared" ref="G57:J57" si="14">G54*G55</f>
        <v>5.4948516050878263E-2</v>
      </c>
      <c r="H57" s="162">
        <f t="shared" si="14"/>
        <v>4.5408304818274299E-2</v>
      </c>
      <c r="I57" s="162">
        <f t="shared" si="14"/>
        <v>-2.6681021368221499E-3</v>
      </c>
      <c r="J57" s="162">
        <f t="shared" si="14"/>
        <v>-1.269390114654591E-2</v>
      </c>
    </row>
    <row r="58" spans="2:10" ht="15.75" thickTop="1" x14ac:dyDescent="0.25"/>
    <row r="59" spans="2:10" x14ac:dyDescent="0.25">
      <c r="H59" s="164" t="s">
        <v>275</v>
      </c>
      <c r="I59" s="164"/>
      <c r="J59" s="164">
        <f>AVERAGE(F57:J57)</f>
        <v>1.69989635171569E-2</v>
      </c>
    </row>
    <row r="60" spans="2:10" x14ac:dyDescent="0.25">
      <c r="H60" s="164" t="s">
        <v>276</v>
      </c>
      <c r="I60" s="164"/>
      <c r="J60" s="164">
        <f>MEDIAN(F57:J57)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ABF3-D8B2-4103-93D4-5CBBAB81E61E}">
  <sheetPr>
    <tabColor rgb="FF002060"/>
  </sheetPr>
  <dimension ref="B2:J43"/>
  <sheetViews>
    <sheetView showGridLines="0" topLeftCell="A30" workbookViewId="0">
      <selection activeCell="D36" sqref="D36"/>
    </sheetView>
  </sheetViews>
  <sheetFormatPr defaultRowHeight="15" x14ac:dyDescent="0.25"/>
  <cols>
    <col min="1" max="1" width="1.85546875" customWidth="1"/>
    <col min="2" max="2" width="21.42578125" customWidth="1"/>
    <col min="3" max="3" width="12.7109375" customWidth="1"/>
    <col min="6" max="6" width="9.140625" customWidth="1"/>
  </cols>
  <sheetData>
    <row r="2" spans="2:10" ht="26.25" x14ac:dyDescent="0.4">
      <c r="B2" s="92" t="s">
        <v>3</v>
      </c>
      <c r="C2" s="1"/>
      <c r="D2" s="1"/>
      <c r="E2" s="1"/>
      <c r="F2" s="1"/>
      <c r="G2" s="1"/>
      <c r="H2" s="1"/>
      <c r="I2" s="1"/>
      <c r="J2" s="1"/>
    </row>
    <row r="3" spans="2:10" x14ac:dyDescent="0.25">
      <c r="B3" s="93" t="s">
        <v>182</v>
      </c>
      <c r="C3" s="93" t="s">
        <v>183</v>
      </c>
      <c r="D3" s="93"/>
      <c r="E3" s="3"/>
      <c r="F3" s="3"/>
      <c r="G3" s="3"/>
      <c r="H3" s="3"/>
      <c r="I3" s="3"/>
      <c r="J3" s="3"/>
    </row>
    <row r="5" spans="2:10" x14ac:dyDescent="0.25">
      <c r="B5" s="5" t="s">
        <v>277</v>
      </c>
      <c r="C5" s="5"/>
      <c r="D5" s="5"/>
      <c r="E5" s="167">
        <v>2025</v>
      </c>
      <c r="F5" s="168">
        <v>2026</v>
      </c>
      <c r="G5" s="168">
        <f>F5+1</f>
        <v>2027</v>
      </c>
      <c r="H5" s="168">
        <f t="shared" ref="H5:J5" si="0">G5+1</f>
        <v>2028</v>
      </c>
      <c r="I5" s="168">
        <f t="shared" si="0"/>
        <v>2029</v>
      </c>
      <c r="J5" s="168">
        <f t="shared" si="0"/>
        <v>2030</v>
      </c>
    </row>
    <row r="6" spans="2:10" x14ac:dyDescent="0.25">
      <c r="E6" s="165"/>
      <c r="F6" s="166"/>
      <c r="G6" s="166"/>
      <c r="H6" s="166"/>
      <c r="I6" s="166"/>
      <c r="J6" s="166"/>
    </row>
    <row r="7" spans="2:10" x14ac:dyDescent="0.25">
      <c r="B7" s="48" t="s">
        <v>163</v>
      </c>
      <c r="C7" s="48"/>
      <c r="D7" s="48"/>
      <c r="E7" s="169">
        <f>'Peer Data'!O24</f>
        <v>14810</v>
      </c>
      <c r="F7" s="171">
        <f>E7*(1+$C$17)</f>
        <v>15550.5</v>
      </c>
      <c r="G7" s="171">
        <f t="shared" ref="G7:J7" si="1">F7*(1+$C$17)</f>
        <v>16328.025000000001</v>
      </c>
      <c r="H7" s="171">
        <f t="shared" si="1"/>
        <v>17144.42625</v>
      </c>
      <c r="I7" s="171">
        <f t="shared" si="1"/>
        <v>18001.647562500002</v>
      </c>
      <c r="J7" s="171">
        <f t="shared" si="1"/>
        <v>18901.729940625002</v>
      </c>
    </row>
    <row r="8" spans="2:10" x14ac:dyDescent="0.25">
      <c r="B8" s="48" t="s">
        <v>221</v>
      </c>
      <c r="C8" s="48"/>
      <c r="D8" s="48"/>
      <c r="E8" s="170">
        <v>0.25</v>
      </c>
      <c r="F8" s="170">
        <v>0.25</v>
      </c>
      <c r="G8" s="170">
        <v>0.25</v>
      </c>
      <c r="H8" s="170">
        <v>0.25</v>
      </c>
      <c r="I8" s="170">
        <v>0.25</v>
      </c>
      <c r="J8" s="170">
        <v>0.25</v>
      </c>
    </row>
    <row r="9" spans="2:10" x14ac:dyDescent="0.25">
      <c r="B9" s="48" t="s">
        <v>278</v>
      </c>
      <c r="C9" s="48"/>
      <c r="D9" s="48"/>
      <c r="E9" s="171">
        <f>E7*(1-E8)</f>
        <v>11107.5</v>
      </c>
      <c r="F9" s="171">
        <f t="shared" ref="F9:J9" si="2">F7*(1-F8)</f>
        <v>11662.875</v>
      </c>
      <c r="G9" s="171">
        <f t="shared" si="2"/>
        <v>12246.018750000001</v>
      </c>
      <c r="H9" s="171">
        <f t="shared" si="2"/>
        <v>12858.319687499999</v>
      </c>
      <c r="I9" s="171">
        <f t="shared" si="2"/>
        <v>13501.235671875002</v>
      </c>
      <c r="J9" s="171">
        <f t="shared" si="2"/>
        <v>14176.297455468752</v>
      </c>
    </row>
    <row r="10" spans="2:10" x14ac:dyDescent="0.25">
      <c r="B10" s="48" t="s">
        <v>279</v>
      </c>
      <c r="C10" s="48"/>
      <c r="D10" s="48"/>
      <c r="E10" s="172">
        <f>ROIC!J50</f>
        <v>9.0608584574178044E-2</v>
      </c>
      <c r="F10" s="172">
        <f>E10+(($J$10-$E$10)/4)</f>
        <v>0.10795643843063353</v>
      </c>
      <c r="G10" s="172">
        <f t="shared" ref="G10:I10" si="3">F10+(($J$10-$E$10)/4)</f>
        <v>0.12530429228708903</v>
      </c>
      <c r="H10" s="172">
        <f t="shared" si="3"/>
        <v>0.14265214614354452</v>
      </c>
      <c r="I10" s="172">
        <f t="shared" si="3"/>
        <v>0.16</v>
      </c>
      <c r="J10" s="173">
        <v>0.16</v>
      </c>
    </row>
    <row r="11" spans="2:10" x14ac:dyDescent="0.25">
      <c r="B11" s="48" t="s">
        <v>280</v>
      </c>
      <c r="C11" s="48"/>
      <c r="D11" s="48"/>
      <c r="E11" s="48">
        <f>E9*(1-E10)</f>
        <v>10101.065146842317</v>
      </c>
      <c r="F11" s="48">
        <f t="shared" ref="F11:J11" si="4">F9*(1-F10)</f>
        <v>10403.792553138324</v>
      </c>
      <c r="G11" s="48">
        <f t="shared" si="4"/>
        <v>10711.540037196828</v>
      </c>
      <c r="H11" s="48">
        <f t="shared" si="4"/>
        <v>11024.052788278334</v>
      </c>
      <c r="I11" s="48">
        <f t="shared" si="4"/>
        <v>11341.037964375</v>
      </c>
      <c r="J11" s="48">
        <f t="shared" si="4"/>
        <v>11908.089862593752</v>
      </c>
    </row>
    <row r="12" spans="2:10" x14ac:dyDescent="0.25">
      <c r="B12" s="48" t="s">
        <v>281</v>
      </c>
      <c r="C12" s="48"/>
      <c r="D12" s="48"/>
      <c r="E12" s="48"/>
      <c r="F12" s="48">
        <v>0.5</v>
      </c>
      <c r="G12" s="48">
        <f>F12+1</f>
        <v>1.5</v>
      </c>
      <c r="H12" s="48">
        <f t="shared" ref="H12:J12" si="5">G12+1</f>
        <v>2.5</v>
      </c>
      <c r="I12" s="48">
        <f t="shared" si="5"/>
        <v>3.5</v>
      </c>
      <c r="J12" s="48">
        <f t="shared" si="5"/>
        <v>4.5</v>
      </c>
    </row>
    <row r="13" spans="2:10" x14ac:dyDescent="0.25">
      <c r="B13" s="48" t="s">
        <v>282</v>
      </c>
      <c r="C13" s="48"/>
      <c r="D13" s="48"/>
      <c r="E13" s="48"/>
      <c r="F13" s="171">
        <f>1/(1+$C$19)^F12</f>
        <v>0.93980751166808418</v>
      </c>
      <c r="G13" s="171">
        <f t="shared" ref="G13:J13" si="6">1/(1+$C$19)^G12</f>
        <v>0.83007385640858256</v>
      </c>
      <c r="H13" s="171">
        <f t="shared" si="6"/>
        <v>0.73315290475818329</v>
      </c>
      <c r="I13" s="171">
        <f t="shared" si="6"/>
        <v>0.64754862185514339</v>
      </c>
      <c r="J13" s="171">
        <f t="shared" si="6"/>
        <v>0.57193965262239543</v>
      </c>
    </row>
    <row r="14" spans="2:10" x14ac:dyDescent="0.25">
      <c r="B14" s="2"/>
      <c r="C14" s="2"/>
      <c r="D14" s="2"/>
      <c r="E14" s="2"/>
      <c r="F14" s="177"/>
      <c r="G14" s="177"/>
      <c r="H14" s="177"/>
      <c r="I14" s="177"/>
      <c r="J14" s="177"/>
    </row>
    <row r="15" spans="2:10" x14ac:dyDescent="0.25">
      <c r="B15" s="126" t="s">
        <v>285</v>
      </c>
      <c r="C15" s="126"/>
      <c r="D15" s="126"/>
      <c r="E15" s="126"/>
      <c r="F15" s="178">
        <f>F11*F13</f>
        <v>9777.5623912758729</v>
      </c>
      <c r="G15" s="178">
        <f t="shared" ref="G15:J15" si="7">G11*G13</f>
        <v>8891.3693467509038</v>
      </c>
      <c r="H15" s="178">
        <f t="shared" si="7"/>
        <v>8082.3163239338101</v>
      </c>
      <c r="I15" s="178">
        <f t="shared" si="7"/>
        <v>7343.8735042378921</v>
      </c>
      <c r="J15" s="178">
        <f t="shared" si="7"/>
        <v>6810.708779408139</v>
      </c>
    </row>
    <row r="17" spans="2:10" x14ac:dyDescent="0.25">
      <c r="B17" s="175" t="s">
        <v>283</v>
      </c>
      <c r="C17" s="176">
        <v>0.05</v>
      </c>
      <c r="D17" s="174"/>
    </row>
    <row r="18" spans="2:10" x14ac:dyDescent="0.25">
      <c r="B18" s="175" t="s">
        <v>284</v>
      </c>
      <c r="C18" s="176">
        <v>5.3800000000000001E-2</v>
      </c>
      <c r="D18" s="174"/>
    </row>
    <row r="19" spans="2:10" x14ac:dyDescent="0.25">
      <c r="B19" s="175" t="s">
        <v>195</v>
      </c>
      <c r="C19" s="109">
        <f>WACC!K42</f>
        <v>0.13219745979505701</v>
      </c>
    </row>
    <row r="21" spans="2:10" x14ac:dyDescent="0.25">
      <c r="B21" s="232" t="s">
        <v>286</v>
      </c>
      <c r="C21" s="232"/>
      <c r="F21" s="232" t="s">
        <v>300</v>
      </c>
      <c r="G21" s="232"/>
      <c r="H21" s="232"/>
      <c r="I21" s="232"/>
      <c r="J21" s="232"/>
    </row>
    <row r="22" spans="2:10" x14ac:dyDescent="0.25">
      <c r="F22" s="184">
        <f>D40</f>
        <v>0</v>
      </c>
      <c r="G22" s="40">
        <v>0.17</v>
      </c>
      <c r="H22" s="29">
        <v>0.18679999999999999</v>
      </c>
      <c r="I22" s="40">
        <v>0.19</v>
      </c>
      <c r="J22" s="40">
        <v>0.2</v>
      </c>
    </row>
    <row r="23" spans="2:10" x14ac:dyDescent="0.25">
      <c r="B23" t="s">
        <v>287</v>
      </c>
      <c r="C23" s="84">
        <f>J11*(1+C17)</f>
        <v>12503.49435572344</v>
      </c>
      <c r="F23" s="185">
        <v>0.03</v>
      </c>
      <c r="G23" s="186">
        <v>299.18688863299462</v>
      </c>
      <c r="H23" s="186">
        <v>279.01488931233627</v>
      </c>
      <c r="I23" s="186">
        <v>275.65288942555986</v>
      </c>
      <c r="J23" s="186">
        <v>265.96241916367501</v>
      </c>
    </row>
    <row r="24" spans="2:10" x14ac:dyDescent="0.25">
      <c r="B24" t="s">
        <v>195</v>
      </c>
      <c r="C24" s="52">
        <f>C19</f>
        <v>0.13219745979505701</v>
      </c>
      <c r="F24" s="185">
        <v>0.04</v>
      </c>
      <c r="G24" s="186">
        <v>313.66934968372368</v>
      </c>
      <c r="H24" s="186">
        <v>290.46584260517142</v>
      </c>
      <c r="I24" s="186">
        <v>286.63542238902943</v>
      </c>
      <c r="J24" s="186">
        <v>275.65288942555986</v>
      </c>
    </row>
    <row r="25" spans="2:10" x14ac:dyDescent="0.25">
      <c r="B25" t="s">
        <v>288</v>
      </c>
      <c r="C25" s="52">
        <f>C18</f>
        <v>5.3800000000000001E-2</v>
      </c>
      <c r="F25" s="187">
        <v>5.3800000000000001E-2</v>
      </c>
      <c r="G25" s="186">
        <v>337.7486222740925</v>
      </c>
      <c r="H25" s="188">
        <f>C40</f>
        <v>594.46984839548486</v>
      </c>
      <c r="I25" s="186">
        <v>304.43970490249546</v>
      </c>
      <c r="J25" s="186">
        <v>291.20271379928215</v>
      </c>
    </row>
    <row r="26" spans="2:10" x14ac:dyDescent="0.25">
      <c r="F26" s="185">
        <v>0.06</v>
      </c>
      <c r="G26" s="186">
        <v>350.53379599467036</v>
      </c>
      <c r="H26" s="186">
        <v>318.78618134833459</v>
      </c>
      <c r="I26" s="186">
        <v>313.66934968372368</v>
      </c>
      <c r="J26" s="186">
        <v>299.18688863299462</v>
      </c>
    </row>
    <row r="27" spans="2:10" ht="15.75" thickBot="1" x14ac:dyDescent="0.3">
      <c r="B27" s="179" t="s">
        <v>289</v>
      </c>
      <c r="C27" s="181">
        <f>C23/(C24-C25)</f>
        <v>159488.51389330078</v>
      </c>
      <c r="F27" s="185">
        <v>7.0000000000000007E-2</v>
      </c>
      <c r="G27" s="186">
        <v>374.49568609678579</v>
      </c>
      <c r="H27" s="186">
        <v>336.58338052426086</v>
      </c>
      <c r="I27" s="186">
        <v>330.56555424290764</v>
      </c>
      <c r="J27" s="186">
        <v>313.66934968372368</v>
      </c>
    </row>
    <row r="29" spans="2:10" x14ac:dyDescent="0.25">
      <c r="B29" s="228" t="s">
        <v>290</v>
      </c>
      <c r="C29" s="228"/>
    </row>
    <row r="31" spans="2:10" x14ac:dyDescent="0.25">
      <c r="B31" t="s">
        <v>285</v>
      </c>
      <c r="C31" s="84">
        <f>SUM(F15:J15)</f>
        <v>40905.830345606613</v>
      </c>
    </row>
    <row r="32" spans="2:10" x14ac:dyDescent="0.25">
      <c r="B32" t="s">
        <v>291</v>
      </c>
      <c r="C32" s="84">
        <f>C27*J13</f>
        <v>91217.805233396532</v>
      </c>
    </row>
    <row r="33" spans="2:3" ht="15.75" thickBot="1" x14ac:dyDescent="0.3">
      <c r="B33" s="179" t="s">
        <v>292</v>
      </c>
      <c r="C33" s="180">
        <f>C31+C32</f>
        <v>132123.63557900314</v>
      </c>
    </row>
    <row r="34" spans="2:3" x14ac:dyDescent="0.25">
      <c r="C34" s="84"/>
    </row>
    <row r="35" spans="2:3" x14ac:dyDescent="0.25">
      <c r="B35" t="s">
        <v>293</v>
      </c>
      <c r="C35" s="84">
        <f>'Data Sheet'!K69</f>
        <v>7554</v>
      </c>
    </row>
    <row r="36" spans="2:3" x14ac:dyDescent="0.25">
      <c r="B36" t="s">
        <v>294</v>
      </c>
      <c r="C36" s="53">
        <v>1</v>
      </c>
    </row>
    <row r="37" spans="2:3" x14ac:dyDescent="0.25">
      <c r="B37" s="1" t="s">
        <v>295</v>
      </c>
      <c r="C37" s="97">
        <f>C33+C35-C36</f>
        <v>139676.63557900314</v>
      </c>
    </row>
    <row r="38" spans="2:3" x14ac:dyDescent="0.25">
      <c r="B38" t="s">
        <v>296</v>
      </c>
      <c r="C38" s="15">
        <f>'Data Sheet'!K93</f>
        <v>234.96</v>
      </c>
    </row>
    <row r="40" spans="2:3" ht="15.75" thickBot="1" x14ac:dyDescent="0.3">
      <c r="B40" s="179" t="s">
        <v>297</v>
      </c>
      <c r="C40" s="180">
        <f>C37/C38</f>
        <v>594.46984839548486</v>
      </c>
    </row>
    <row r="42" spans="2:3" x14ac:dyDescent="0.25">
      <c r="B42" t="s">
        <v>298</v>
      </c>
      <c r="C42">
        <v>2417</v>
      </c>
    </row>
    <row r="43" spans="2:3" x14ac:dyDescent="0.25">
      <c r="B43" s="182" t="s">
        <v>299</v>
      </c>
      <c r="C43" s="183">
        <f>C42/C40</f>
        <v>4.0658075536104139</v>
      </c>
    </row>
  </sheetData>
  <mergeCells count="3">
    <mergeCell ref="B21:C21"/>
    <mergeCell ref="B29:C29"/>
    <mergeCell ref="F21:J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926F7-CF08-45DD-BA5A-0F63EB490C61}">
  <dimension ref="B2:Q36"/>
  <sheetViews>
    <sheetView showGridLines="0" topLeftCell="A10" workbookViewId="0">
      <selection activeCell="B5" sqref="B5:Q5"/>
    </sheetView>
  </sheetViews>
  <sheetFormatPr defaultRowHeight="15" x14ac:dyDescent="0.25"/>
  <cols>
    <col min="1" max="1" width="1.85546875" customWidth="1"/>
    <col min="2" max="2" width="21.42578125" customWidth="1"/>
    <col min="15" max="15" width="11.7109375" customWidth="1"/>
    <col min="16" max="16" width="12.7109375" customWidth="1"/>
    <col min="17" max="17" width="12.140625" customWidth="1"/>
  </cols>
  <sheetData>
    <row r="2" spans="2:17" ht="26.25" x14ac:dyDescent="0.4">
      <c r="B2" s="92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x14ac:dyDescent="0.25">
      <c r="B3" s="93" t="s">
        <v>182</v>
      </c>
      <c r="C3" s="93" t="s">
        <v>183</v>
      </c>
      <c r="D3" s="9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5" spans="2:17" ht="18.75" x14ac:dyDescent="0.3">
      <c r="B5" s="230" t="s">
        <v>301</v>
      </c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</row>
    <row r="7" spans="2:17" x14ac:dyDescent="0.25">
      <c r="B7" s="5"/>
      <c r="C7" s="5"/>
      <c r="D7" s="233" t="s">
        <v>302</v>
      </c>
      <c r="E7" s="233"/>
      <c r="F7" s="233"/>
      <c r="G7" s="233"/>
      <c r="H7" s="233"/>
      <c r="I7" s="233"/>
      <c r="J7" s="5"/>
      <c r="K7" s="233" t="s">
        <v>303</v>
      </c>
      <c r="L7" s="233"/>
      <c r="M7" s="233"/>
      <c r="N7" s="5"/>
      <c r="O7" s="233" t="s">
        <v>304</v>
      </c>
      <c r="P7" s="233"/>
      <c r="Q7" s="233"/>
    </row>
    <row r="8" spans="2:17" ht="45" x14ac:dyDescent="0.25">
      <c r="B8" s="5" t="s">
        <v>305</v>
      </c>
      <c r="C8" s="5" t="s">
        <v>306</v>
      </c>
      <c r="D8" s="189" t="s">
        <v>307</v>
      </c>
      <c r="E8" s="189" t="s">
        <v>308</v>
      </c>
      <c r="F8" s="189" t="s">
        <v>309</v>
      </c>
      <c r="G8" s="189" t="s">
        <v>310</v>
      </c>
      <c r="H8" s="189" t="s">
        <v>311</v>
      </c>
      <c r="I8" s="5"/>
      <c r="J8" s="5"/>
      <c r="K8" s="5" t="s">
        <v>312</v>
      </c>
      <c r="L8" s="5" t="s">
        <v>64</v>
      </c>
      <c r="M8" s="5" t="s">
        <v>313</v>
      </c>
      <c r="N8" s="5"/>
      <c r="O8" s="203" t="s">
        <v>314</v>
      </c>
      <c r="P8" s="203" t="s">
        <v>315</v>
      </c>
      <c r="Q8" s="203" t="s">
        <v>316</v>
      </c>
    </row>
    <row r="9" spans="2:17" x14ac:dyDescent="0.25">
      <c r="B9" s="190"/>
      <c r="C9" s="190"/>
      <c r="D9" s="191"/>
      <c r="E9" s="191"/>
      <c r="F9" s="191"/>
      <c r="G9" s="191"/>
      <c r="H9" s="191"/>
      <c r="I9" s="190"/>
      <c r="J9" s="190"/>
      <c r="K9" s="190"/>
      <c r="L9" s="190"/>
      <c r="M9" s="190"/>
      <c r="N9" s="190"/>
      <c r="O9" s="190"/>
      <c r="P9" s="190"/>
      <c r="Q9" s="190"/>
    </row>
    <row r="10" spans="2:17" x14ac:dyDescent="0.25">
      <c r="B10" s="192" t="s">
        <v>325</v>
      </c>
      <c r="C10" s="193"/>
      <c r="D10" s="194">
        <v>2417</v>
      </c>
      <c r="E10" s="194">
        <v>234.93</v>
      </c>
      <c r="F10" s="195">
        <f>D10*E10</f>
        <v>567825.81000000006</v>
      </c>
      <c r="G10" s="195">
        <v>1648</v>
      </c>
      <c r="H10" s="195">
        <f>F10+G10</f>
        <v>569473.81000000006</v>
      </c>
      <c r="I10" s="196"/>
      <c r="J10" s="196"/>
      <c r="K10" s="196">
        <v>63121</v>
      </c>
      <c r="L10" s="196">
        <f>'Historical FS'!L24</f>
        <v>14537</v>
      </c>
      <c r="M10" s="196">
        <v>10671</v>
      </c>
      <c r="N10" s="197"/>
      <c r="O10" s="198">
        <f>$H10/K10</f>
        <v>9.0219389743508511</v>
      </c>
      <c r="P10" s="198">
        <f>$H10/L10</f>
        <v>39.174094379858296</v>
      </c>
      <c r="Q10" s="198">
        <f>F10/M10</f>
        <v>53.212052291256683</v>
      </c>
    </row>
    <row r="11" spans="2:17" x14ac:dyDescent="0.25">
      <c r="B11" s="199" t="s">
        <v>199</v>
      </c>
      <c r="C11" s="199"/>
      <c r="D11" s="200">
        <v>417</v>
      </c>
      <c r="E11" s="200">
        <v>1251</v>
      </c>
      <c r="F11" s="201">
        <f>D11*E11</f>
        <v>521667</v>
      </c>
      <c r="G11" s="201">
        <v>285</v>
      </c>
      <c r="H11" s="201">
        <f>F11+G11</f>
        <v>521952</v>
      </c>
      <c r="I11" s="201"/>
      <c r="J11" s="201"/>
      <c r="K11" s="201">
        <v>75323</v>
      </c>
      <c r="L11" s="201">
        <v>43634</v>
      </c>
      <c r="M11" s="201">
        <v>35052</v>
      </c>
      <c r="N11" s="201"/>
      <c r="O11" s="202">
        <f t="shared" ref="O11:P18" si="0">$H11/K11</f>
        <v>6.9295168806340692</v>
      </c>
      <c r="P11" s="202">
        <f t="shared" si="0"/>
        <v>11.962047944263647</v>
      </c>
      <c r="Q11" s="202">
        <f t="shared" ref="Q11:Q18" si="1">F11/M11</f>
        <v>14.882660047928791</v>
      </c>
    </row>
    <row r="12" spans="2:17" x14ac:dyDescent="0.25">
      <c r="B12" s="199" t="s">
        <v>326</v>
      </c>
      <c r="C12" s="199"/>
      <c r="D12" s="200">
        <v>2424</v>
      </c>
      <c r="E12" s="200">
        <v>96.42</v>
      </c>
      <c r="F12" s="201">
        <f t="shared" ref="F12:F18" si="2">D12*E12</f>
        <v>233722.08000000002</v>
      </c>
      <c r="G12" s="201">
        <v>1166.8499999999999</v>
      </c>
      <c r="H12" s="201">
        <f t="shared" ref="H12:H18" si="3">F12+G12</f>
        <v>234888.93000000002</v>
      </c>
      <c r="I12" s="201"/>
      <c r="J12" s="201"/>
      <c r="K12" s="201">
        <v>20201</v>
      </c>
      <c r="L12" s="201">
        <v>5123</v>
      </c>
      <c r="M12" s="201">
        <v>3314</v>
      </c>
      <c r="N12" s="201"/>
      <c r="O12" s="202">
        <f t="shared" si="0"/>
        <v>11.627589228256028</v>
      </c>
      <c r="P12" s="202">
        <f t="shared" si="0"/>
        <v>45.849878977161822</v>
      </c>
      <c r="Q12" s="202">
        <f t="shared" si="1"/>
        <v>70.525672902836462</v>
      </c>
    </row>
    <row r="13" spans="2:17" x14ac:dyDescent="0.25">
      <c r="B13" s="199" t="s">
        <v>330</v>
      </c>
      <c r="C13" s="199"/>
      <c r="D13" s="200">
        <v>519.15</v>
      </c>
      <c r="E13" s="200">
        <v>177.23</v>
      </c>
      <c r="F13" s="201">
        <f t="shared" si="2"/>
        <v>92008.954499999993</v>
      </c>
      <c r="G13" s="201">
        <v>950.37</v>
      </c>
      <c r="H13" s="201">
        <f t="shared" si="3"/>
        <v>92959.324499999988</v>
      </c>
      <c r="I13" s="201"/>
      <c r="J13" s="201"/>
      <c r="K13" s="201">
        <v>12563</v>
      </c>
      <c r="L13" s="201">
        <v>2868</v>
      </c>
      <c r="M13" s="201">
        <v>1740</v>
      </c>
      <c r="N13" s="201"/>
      <c r="O13" s="202">
        <f t="shared" si="0"/>
        <v>7.3994527182997683</v>
      </c>
      <c r="P13" s="202">
        <f t="shared" si="0"/>
        <v>32.412595711297065</v>
      </c>
      <c r="Q13" s="202">
        <f t="shared" si="1"/>
        <v>52.878709482758616</v>
      </c>
    </row>
    <row r="14" spans="2:17" x14ac:dyDescent="0.25">
      <c r="B14" s="199" t="s">
        <v>327</v>
      </c>
      <c r="C14" s="199"/>
      <c r="D14" s="200">
        <v>1288</v>
      </c>
      <c r="E14" s="200">
        <v>102.3</v>
      </c>
      <c r="F14" s="201">
        <f t="shared" si="2"/>
        <v>131762.4</v>
      </c>
      <c r="G14" s="201">
        <v>4004</v>
      </c>
      <c r="H14" s="201">
        <f t="shared" si="3"/>
        <v>135766.39999999999</v>
      </c>
      <c r="I14" s="201"/>
      <c r="J14" s="201"/>
      <c r="K14" s="201">
        <v>14364</v>
      </c>
      <c r="L14" s="201">
        <v>3256</v>
      </c>
      <c r="M14" s="201">
        <v>1852</v>
      </c>
      <c r="N14" s="201"/>
      <c r="O14" s="202">
        <f t="shared" si="0"/>
        <v>9.4518518518518508</v>
      </c>
      <c r="P14" s="202">
        <f t="shared" si="0"/>
        <v>41.697297297297297</v>
      </c>
      <c r="Q14" s="202">
        <f t="shared" si="1"/>
        <v>71.146004319654423</v>
      </c>
    </row>
    <row r="15" spans="2:17" x14ac:dyDescent="0.25">
      <c r="B15" s="199" t="s">
        <v>329</v>
      </c>
      <c r="C15" s="199"/>
      <c r="D15" s="200">
        <v>730.25</v>
      </c>
      <c r="E15" s="200">
        <v>129</v>
      </c>
      <c r="F15" s="201">
        <f t="shared" si="2"/>
        <v>94202.25</v>
      </c>
      <c r="G15" s="201">
        <v>554</v>
      </c>
      <c r="H15" s="201">
        <f t="shared" si="3"/>
        <v>94756.25</v>
      </c>
      <c r="I15" s="201"/>
      <c r="J15" s="201"/>
      <c r="K15" s="201">
        <v>10831</v>
      </c>
      <c r="L15" s="201">
        <v>2347</v>
      </c>
      <c r="M15" s="201">
        <v>1658</v>
      </c>
      <c r="N15" s="201"/>
      <c r="O15" s="202">
        <f t="shared" si="0"/>
        <v>8.7486150863262857</v>
      </c>
      <c r="P15" s="202">
        <f t="shared" si="0"/>
        <v>40.373348956114185</v>
      </c>
      <c r="Q15" s="202">
        <f t="shared" si="1"/>
        <v>56.816797346200239</v>
      </c>
    </row>
    <row r="16" spans="2:17" x14ac:dyDescent="0.25">
      <c r="B16" s="199" t="s">
        <v>328</v>
      </c>
      <c r="C16" s="199"/>
      <c r="D16" s="200">
        <v>5897</v>
      </c>
      <c r="E16" s="200">
        <v>24</v>
      </c>
      <c r="F16" s="201">
        <f t="shared" si="2"/>
        <v>141528</v>
      </c>
      <c r="G16" s="201">
        <v>1246</v>
      </c>
      <c r="H16" s="201">
        <f t="shared" si="3"/>
        <v>142774</v>
      </c>
      <c r="I16" s="201"/>
      <c r="J16" s="201"/>
      <c r="K16" s="201">
        <v>17942</v>
      </c>
      <c r="L16" s="201">
        <v>3379</v>
      </c>
      <c r="M16" s="201">
        <v>2177</v>
      </c>
      <c r="N16" s="201"/>
      <c r="O16" s="202">
        <f t="shared" si="0"/>
        <v>7.9575298183034224</v>
      </c>
      <c r="P16" s="202">
        <f t="shared" si="0"/>
        <v>42.253329387392718</v>
      </c>
      <c r="Q16" s="202">
        <f t="shared" si="1"/>
        <v>65.010564997703256</v>
      </c>
    </row>
    <row r="17" spans="2:17" x14ac:dyDescent="0.25">
      <c r="B17" s="205" t="s">
        <v>331</v>
      </c>
      <c r="C17" s="205"/>
      <c r="D17" s="209">
        <v>460.8</v>
      </c>
      <c r="E17" s="209">
        <v>676.37</v>
      </c>
      <c r="F17" s="210">
        <f t="shared" si="2"/>
        <v>311671.29600000003</v>
      </c>
      <c r="G17" s="210">
        <v>2826.25</v>
      </c>
      <c r="H17" s="210">
        <f t="shared" si="3"/>
        <v>314497.54600000003</v>
      </c>
      <c r="I17" s="210"/>
      <c r="J17" s="210"/>
      <c r="K17" s="210">
        <v>21257</v>
      </c>
      <c r="L17" s="210">
        <v>5125</v>
      </c>
      <c r="M17" s="210">
        <v>2817</v>
      </c>
      <c r="N17" s="210"/>
      <c r="O17" s="211">
        <f t="shared" si="0"/>
        <v>14.795010867008516</v>
      </c>
      <c r="P17" s="211">
        <f t="shared" si="0"/>
        <v>61.365374829268298</v>
      </c>
      <c r="Q17" s="211">
        <f t="shared" si="1"/>
        <v>110.63943769968053</v>
      </c>
    </row>
    <row r="18" spans="2:17" x14ac:dyDescent="0.25">
      <c r="B18" s="214" t="s">
        <v>332</v>
      </c>
      <c r="C18" s="2"/>
      <c r="D18" s="177">
        <v>1098.3</v>
      </c>
      <c r="E18" s="177">
        <v>98.95</v>
      </c>
      <c r="F18" s="212">
        <f t="shared" si="2"/>
        <v>108676.785</v>
      </c>
      <c r="G18" s="212">
        <v>2392.6799999999998</v>
      </c>
      <c r="H18" s="212">
        <f t="shared" si="3"/>
        <v>111069.465</v>
      </c>
      <c r="I18" s="212"/>
      <c r="J18" s="212"/>
      <c r="K18" s="212">
        <v>17618</v>
      </c>
      <c r="L18" s="212">
        <v>2668</v>
      </c>
      <c r="M18" s="212">
        <v>1287</v>
      </c>
      <c r="N18" s="212"/>
      <c r="O18" s="213">
        <f t="shared" si="0"/>
        <v>6.3043174594165059</v>
      </c>
      <c r="P18" s="213">
        <f t="shared" si="0"/>
        <v>41.630234257871066</v>
      </c>
      <c r="Q18" s="213">
        <f t="shared" si="1"/>
        <v>84.441946386946384</v>
      </c>
    </row>
    <row r="19" spans="2:17" x14ac:dyDescent="0.25">
      <c r="B19" s="214"/>
      <c r="C19" s="2"/>
      <c r="D19" s="177"/>
      <c r="E19" s="177"/>
      <c r="F19" s="212"/>
      <c r="G19" s="212"/>
      <c r="H19" s="212"/>
      <c r="I19" s="212"/>
      <c r="J19" s="212"/>
      <c r="K19" s="212"/>
      <c r="L19" s="212"/>
      <c r="M19" s="212"/>
      <c r="N19" s="212"/>
      <c r="O19" s="213"/>
      <c r="P19" s="213"/>
      <c r="Q19" s="213"/>
    </row>
    <row r="21" spans="2:17" x14ac:dyDescent="0.25">
      <c r="B21" s="215" t="s">
        <v>317</v>
      </c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6">
        <f>MAX(O10:O18)</f>
        <v>14.795010867008516</v>
      </c>
      <c r="P21" s="216">
        <f>MAX(P10:P18)</f>
        <v>61.365374829268298</v>
      </c>
      <c r="Q21" s="216">
        <f>MAX(Q10:Q18)</f>
        <v>110.63943769968053</v>
      </c>
    </row>
    <row r="22" spans="2:17" x14ac:dyDescent="0.25">
      <c r="B22" s="215" t="s">
        <v>318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6">
        <f>QUARTILE(O10:O18,3)</f>
        <v>9.4518518518518508</v>
      </c>
      <c r="P22" s="216">
        <f>QUARTILE(P10:P18,3)</f>
        <v>42.253329387392718</v>
      </c>
      <c r="Q22" s="216">
        <f>QUARTILE(Q10:Q18,3)</f>
        <v>71.146004319654423</v>
      </c>
    </row>
    <row r="23" spans="2:17" x14ac:dyDescent="0.25">
      <c r="B23" s="217" t="s">
        <v>207</v>
      </c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8">
        <f>AVERAGE(O10:O18)</f>
        <v>9.1373136538274782</v>
      </c>
      <c r="P23" s="218">
        <f>AVERAGE(P10:P18)</f>
        <v>39.635355748947148</v>
      </c>
      <c r="Q23" s="218">
        <f>AVERAGE(Q10:Q18)</f>
        <v>64.394871719440602</v>
      </c>
    </row>
    <row r="24" spans="2:17" x14ac:dyDescent="0.25">
      <c r="B24" s="217" t="s">
        <v>155</v>
      </c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8">
        <f>MEDIAN(O10:O18)</f>
        <v>8.7486150863262857</v>
      </c>
      <c r="P24" s="218">
        <f>MEDIAN(P10:P18)</f>
        <v>41.630234257871066</v>
      </c>
      <c r="Q24" s="218">
        <f>MEDIAN(Q10:Q18)</f>
        <v>65.010564997703256</v>
      </c>
    </row>
    <row r="25" spans="2:17" x14ac:dyDescent="0.25">
      <c r="B25" s="215" t="s">
        <v>319</v>
      </c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6">
        <f>QUARTILE(O10:O18,1)</f>
        <v>7.3994527182997683</v>
      </c>
      <c r="P25" s="216">
        <f>QUARTILE(P10:P18,1)</f>
        <v>39.174094379858296</v>
      </c>
      <c r="Q25" s="216">
        <f>QUARTILE(Q10:Q18,1)</f>
        <v>53.212052291256683</v>
      </c>
    </row>
    <row r="26" spans="2:17" x14ac:dyDescent="0.25">
      <c r="B26" s="215" t="s">
        <v>320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6">
        <f>MIN(O10:O18)</f>
        <v>6.3043174594165059</v>
      </c>
      <c r="P26" s="216">
        <f>MIN(P10:P18)</f>
        <v>11.962047944263647</v>
      </c>
      <c r="Q26" s="216">
        <f>MIN(Q10:Q18)</f>
        <v>14.882660047928791</v>
      </c>
    </row>
    <row r="27" spans="2:17" ht="15" customHeight="1" x14ac:dyDescent="0.25"/>
    <row r="28" spans="2:17" ht="16.5" customHeight="1" x14ac:dyDescent="0.25">
      <c r="B28" s="5" t="s">
        <v>333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03" t="s">
        <v>314</v>
      </c>
      <c r="P28" s="203" t="s">
        <v>315</v>
      </c>
      <c r="Q28" s="203" t="s">
        <v>316</v>
      </c>
    </row>
    <row r="29" spans="2:17" ht="13.5" customHeight="1" x14ac:dyDescent="0.25"/>
    <row r="30" spans="2:17" x14ac:dyDescent="0.25">
      <c r="B30" s="199" t="s">
        <v>321</v>
      </c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204">
        <f>O24*K10</f>
        <v>552221.33286400151</v>
      </c>
      <c r="P30" s="204">
        <f>P24*L10</f>
        <v>605178.71540667175</v>
      </c>
      <c r="Q30" s="204">
        <f>Q32+Q31</f>
        <v>695375.73909049144</v>
      </c>
    </row>
    <row r="31" spans="2:17" x14ac:dyDescent="0.25">
      <c r="B31" s="199" t="s">
        <v>310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204">
        <f>G10</f>
        <v>1648</v>
      </c>
      <c r="P31" s="204">
        <f>O31</f>
        <v>1648</v>
      </c>
      <c r="Q31" s="204">
        <f>P31</f>
        <v>1648</v>
      </c>
    </row>
    <row r="32" spans="2:17" x14ac:dyDescent="0.25">
      <c r="B32" s="199" t="s">
        <v>322</v>
      </c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204">
        <f>O30-O31</f>
        <v>550573.33286400151</v>
      </c>
      <c r="P32" s="204">
        <f t="shared" ref="P32" si="4">P30-P31</f>
        <v>603530.71540667175</v>
      </c>
      <c r="Q32" s="204">
        <f>Q24*M10</f>
        <v>693727.73909049144</v>
      </c>
    </row>
    <row r="33" spans="2:17" x14ac:dyDescent="0.25">
      <c r="B33" s="205" t="s">
        <v>323</v>
      </c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6">
        <v>235</v>
      </c>
      <c r="P33" s="206">
        <v>235</v>
      </c>
      <c r="Q33" s="206">
        <v>235</v>
      </c>
    </row>
    <row r="34" spans="2:17" x14ac:dyDescent="0.25">
      <c r="B34" s="207" t="s">
        <v>324</v>
      </c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8">
        <f>O32/O33</f>
        <v>2342.8652462297937</v>
      </c>
      <c r="P34" s="208">
        <f t="shared" ref="P34:Q34" si="5">P32/P33</f>
        <v>2568.2158102411563</v>
      </c>
      <c r="Q34" s="208">
        <f t="shared" si="5"/>
        <v>2952.0329322999637</v>
      </c>
    </row>
    <row r="36" spans="2:17" x14ac:dyDescent="0.25">
      <c r="O36" s="35" t="str">
        <f>IF(O34&gt;$D$7,"Undervalued","Overvalued")</f>
        <v>Overvalued</v>
      </c>
      <c r="P36" s="35" t="str">
        <f>IF(P34&gt;$D$10,"Undervalued","Overvalued")</f>
        <v>Undervalued</v>
      </c>
      <c r="Q36" s="35" t="str">
        <f>IF(Q34&gt;$D$10,"Undervalued","Overvalued")</f>
        <v>Undervalued</v>
      </c>
    </row>
  </sheetData>
  <mergeCells count="4">
    <mergeCell ref="D7:I7"/>
    <mergeCell ref="K7:M7"/>
    <mergeCell ref="O7:Q7"/>
    <mergeCell ref="B5:Q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A9BF-4275-4163-B7FA-A27456D9E76E}">
  <sheetPr>
    <tabColor rgb="FF002060"/>
  </sheetPr>
  <dimension ref="B2:O86"/>
  <sheetViews>
    <sheetView showGridLines="0" workbookViewId="0">
      <selection activeCell="L23" sqref="L23"/>
    </sheetView>
  </sheetViews>
  <sheetFormatPr defaultRowHeight="15" x14ac:dyDescent="0.25"/>
  <cols>
    <col min="1" max="1" width="1.85546875" customWidth="1"/>
    <col min="2" max="2" width="16.28515625" customWidth="1"/>
    <col min="3" max="3" width="9.28515625" customWidth="1"/>
    <col min="4" max="4" width="8.5703125" customWidth="1"/>
    <col min="5" max="5" width="14.5703125" customWidth="1"/>
    <col min="6" max="6" width="11" bestFit="1" customWidth="1"/>
    <col min="7" max="7" width="18.7109375" customWidth="1"/>
    <col min="10" max="10" width="10" customWidth="1"/>
    <col min="11" max="11" width="10.7109375" customWidth="1"/>
    <col min="12" max="12" width="8" customWidth="1"/>
    <col min="13" max="13" width="10.28515625" customWidth="1"/>
    <col min="15" max="15" width="11.140625" bestFit="1" customWidth="1"/>
  </cols>
  <sheetData>
    <row r="2" spans="2:15" ht="26.25" x14ac:dyDescent="0.4">
      <c r="B2" s="92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5" x14ac:dyDescent="0.25">
      <c r="B3" s="93" t="s">
        <v>182</v>
      </c>
      <c r="C3" s="93" t="s">
        <v>183</v>
      </c>
      <c r="D3" s="9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5" x14ac:dyDescent="0.25">
      <c r="B4" s="90"/>
      <c r="C4" s="90"/>
      <c r="D4" s="90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5" ht="18.75" x14ac:dyDescent="0.3">
      <c r="B5" s="230" t="s">
        <v>339</v>
      </c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</row>
    <row r="7" spans="2:15" x14ac:dyDescent="0.25">
      <c r="B7" s="5" t="s">
        <v>173</v>
      </c>
      <c r="C7" s="219" t="s">
        <v>334</v>
      </c>
      <c r="D7" s="219" t="s">
        <v>174</v>
      </c>
      <c r="E7" s="219" t="s">
        <v>335</v>
      </c>
      <c r="F7" s="219" t="s">
        <v>336</v>
      </c>
      <c r="G7" s="219" t="s">
        <v>337</v>
      </c>
      <c r="H7" s="219"/>
      <c r="I7" s="219"/>
      <c r="J7" s="234" t="s">
        <v>338</v>
      </c>
      <c r="K7" s="234"/>
      <c r="L7" s="234"/>
      <c r="M7" s="234"/>
      <c r="N7" s="234"/>
      <c r="O7" s="234"/>
    </row>
    <row r="9" spans="2:15" x14ac:dyDescent="0.25">
      <c r="B9" s="220">
        <v>45664</v>
      </c>
      <c r="C9" s="76">
        <v>2407.1</v>
      </c>
      <c r="D9" s="29">
        <f t="shared" ref="D9:D40" si="0">(C9-C10)/C10</f>
        <v>-8.3686722955225529E-2</v>
      </c>
      <c r="E9">
        <v>4.9028153054998698E-2</v>
      </c>
      <c r="F9">
        <v>1</v>
      </c>
      <c r="G9">
        <f ca="1">_xlfn.NORM.INV(RAND(),O$10,O$11)</f>
        <v>4.2824198877004019E-2</v>
      </c>
      <c r="J9" s="221" t="s">
        <v>340</v>
      </c>
      <c r="K9" s="222"/>
      <c r="L9" s="222"/>
      <c r="M9" s="222"/>
      <c r="N9" s="222"/>
      <c r="O9" s="222"/>
    </row>
    <row r="10" spans="2:15" x14ac:dyDescent="0.25">
      <c r="B10" s="220">
        <v>44568</v>
      </c>
      <c r="C10" s="76">
        <v>2626.94</v>
      </c>
      <c r="D10" s="29">
        <f t="shared" si="0"/>
        <v>-3.1828400840305207E-2</v>
      </c>
      <c r="E10">
        <v>0.18237425452908745</v>
      </c>
      <c r="F10">
        <f>F9+1</f>
        <v>2</v>
      </c>
      <c r="G10">
        <f t="shared" ref="G10:G73" ca="1" si="1">_xlfn.NORM.INV(RAND(),O$10,O$11)</f>
        <v>0.18336228433387838</v>
      </c>
      <c r="J10" s="199" t="s">
        <v>154</v>
      </c>
      <c r="K10" s="199"/>
      <c r="L10" s="199"/>
      <c r="M10" s="199"/>
      <c r="N10" s="199"/>
      <c r="O10" s="223">
        <f>AVERAGE(D9:D46)</f>
        <v>6.9333320597676348E-3</v>
      </c>
    </row>
    <row r="11" spans="2:15" x14ac:dyDescent="0.25">
      <c r="B11" s="220">
        <v>44204</v>
      </c>
      <c r="C11" s="76">
        <v>2713.3</v>
      </c>
      <c r="D11" s="29">
        <f t="shared" si="0"/>
        <v>0.1203372614436838</v>
      </c>
      <c r="E11">
        <v>0.16748779071018263</v>
      </c>
      <c r="F11">
        <f t="shared" ref="F11:F74" si="2">F10+1</f>
        <v>3</v>
      </c>
      <c r="G11">
        <f t="shared" ca="1" si="1"/>
        <v>-0.20470373872662473</v>
      </c>
      <c r="J11" s="199" t="s">
        <v>341</v>
      </c>
      <c r="K11" s="199"/>
      <c r="L11" s="199"/>
      <c r="M11" s="199"/>
      <c r="N11" s="199"/>
      <c r="O11" s="223">
        <f>_xlfn.STDEV.S(D9:D85)</f>
        <v>0.11773564574206917</v>
      </c>
    </row>
    <row r="12" spans="2:15" x14ac:dyDescent="0.25">
      <c r="B12" s="220">
        <v>44199</v>
      </c>
      <c r="C12" s="76">
        <v>2421.86</v>
      </c>
      <c r="D12" s="29">
        <f t="shared" si="0"/>
        <v>1.5071880632046623E-2</v>
      </c>
      <c r="E12">
        <v>0.14045554932920196</v>
      </c>
      <c r="F12">
        <f t="shared" si="2"/>
        <v>4</v>
      </c>
      <c r="G12">
        <f t="shared" ca="1" si="1"/>
        <v>7.9199153814218701E-2</v>
      </c>
      <c r="J12" s="199" t="s">
        <v>342</v>
      </c>
      <c r="K12" s="199"/>
      <c r="L12" s="199"/>
      <c r="M12" s="199"/>
      <c r="N12" s="199"/>
      <c r="O12" s="223">
        <f>MIN(D8:D85)</f>
        <v>-0.26799634829649388</v>
      </c>
    </row>
    <row r="13" spans="2:15" x14ac:dyDescent="0.25">
      <c r="B13" s="220">
        <v>43842</v>
      </c>
      <c r="C13" s="76">
        <v>2385.9</v>
      </c>
      <c r="D13" s="29">
        <f t="shared" si="0"/>
        <v>-0.1146675968117792</v>
      </c>
      <c r="E13">
        <v>0.1202881129913793</v>
      </c>
      <c r="F13">
        <f t="shared" si="2"/>
        <v>5</v>
      </c>
      <c r="G13">
        <f t="shared" ca="1" si="1"/>
        <v>0.1308111716886439</v>
      </c>
      <c r="J13" s="199" t="s">
        <v>343</v>
      </c>
      <c r="K13" s="199"/>
      <c r="L13" s="199"/>
      <c r="M13" s="199"/>
      <c r="N13" s="199"/>
      <c r="O13" s="223">
        <f>MAX(D8:D85)</f>
        <v>0.24815123218144683</v>
      </c>
    </row>
    <row r="14" spans="2:15" x14ac:dyDescent="0.25">
      <c r="B14" s="220">
        <v>45298</v>
      </c>
      <c r="C14" s="76">
        <v>2694.92</v>
      </c>
      <c r="D14" s="29">
        <f t="shared" si="0"/>
        <v>0.21066132372562335</v>
      </c>
      <c r="E14">
        <v>9.4054984491970056E-2</v>
      </c>
      <c r="F14">
        <f t="shared" si="2"/>
        <v>6</v>
      </c>
      <c r="G14">
        <f t="shared" ca="1" si="1"/>
        <v>1.4505195114669595E-2</v>
      </c>
      <c r="J14" s="199" t="s">
        <v>344</v>
      </c>
      <c r="K14" s="199"/>
      <c r="L14" s="199"/>
      <c r="M14" s="199"/>
      <c r="N14" s="199"/>
      <c r="O14" s="224">
        <f>C9</f>
        <v>2407.1</v>
      </c>
    </row>
    <row r="15" spans="2:15" x14ac:dyDescent="0.25">
      <c r="B15" s="220">
        <v>44565</v>
      </c>
      <c r="C15" s="76">
        <v>2225.9899999999998</v>
      </c>
      <c r="D15" s="29">
        <f t="shared" si="0"/>
        <v>-0.1622073263905878</v>
      </c>
      <c r="E15">
        <v>9.088815160767047E-2</v>
      </c>
      <c r="F15">
        <f t="shared" si="2"/>
        <v>7</v>
      </c>
      <c r="G15">
        <f t="shared" ca="1" si="1"/>
        <v>0.10146396732405312</v>
      </c>
    </row>
    <row r="16" spans="2:15" x14ac:dyDescent="0.25">
      <c r="B16" s="220">
        <v>44931</v>
      </c>
      <c r="C16" s="76">
        <v>2656.97</v>
      </c>
      <c r="D16" s="29">
        <f t="shared" si="0"/>
        <v>0.23184663173999706</v>
      </c>
      <c r="E16">
        <v>8.5563114134542539E-2</v>
      </c>
      <c r="F16">
        <f t="shared" si="2"/>
        <v>8</v>
      </c>
      <c r="G16">
        <f t="shared" ca="1" si="1"/>
        <v>-5.9115477835842783E-2</v>
      </c>
      <c r="J16" s="221" t="s">
        <v>345</v>
      </c>
      <c r="K16" s="222"/>
      <c r="L16" s="222"/>
      <c r="M16" s="222"/>
      <c r="N16" s="222"/>
      <c r="O16" s="222"/>
    </row>
    <row r="17" spans="2:15" x14ac:dyDescent="0.25">
      <c r="B17" s="220">
        <v>43832</v>
      </c>
      <c r="C17" s="76">
        <v>2156.9</v>
      </c>
      <c r="D17" s="29">
        <f t="shared" si="0"/>
        <v>-0.26799634829649388</v>
      </c>
      <c r="E17">
        <v>6.9063621404072323E-2</v>
      </c>
      <c r="F17">
        <f t="shared" si="2"/>
        <v>9</v>
      </c>
      <c r="G17">
        <f t="shared" ca="1" si="1"/>
        <v>4.1308353242717477E-2</v>
      </c>
      <c r="J17" s="199" t="s">
        <v>154</v>
      </c>
      <c r="K17" s="199"/>
      <c r="L17" s="199"/>
      <c r="M17" s="199"/>
      <c r="N17" s="199"/>
      <c r="O17" s="223">
        <f ca="1">AVERAGE(G8:G5189)</f>
        <v>1.3053971580273108E-2</v>
      </c>
    </row>
    <row r="18" spans="2:15" x14ac:dyDescent="0.25">
      <c r="B18" s="220">
        <v>45300</v>
      </c>
      <c r="C18" s="76">
        <v>2946.57</v>
      </c>
      <c r="D18" s="29">
        <f t="shared" si="0"/>
        <v>0.19621717737613892</v>
      </c>
      <c r="E18">
        <v>6.4904697540278625E-2</v>
      </c>
      <c r="F18">
        <f t="shared" si="2"/>
        <v>10</v>
      </c>
      <c r="G18">
        <f t="shared" ca="1" si="1"/>
        <v>-7.2068090502320006E-2</v>
      </c>
      <c r="J18" s="199" t="s">
        <v>341</v>
      </c>
      <c r="K18" s="199"/>
      <c r="L18" s="199"/>
      <c r="M18" s="199"/>
      <c r="N18" s="199"/>
      <c r="O18" s="223">
        <f ca="1">_xlfn.STDEV.S(G8:G5189)</f>
        <v>0.12528971989112805</v>
      </c>
    </row>
    <row r="19" spans="2:15" x14ac:dyDescent="0.25">
      <c r="B19" s="220">
        <v>45297</v>
      </c>
      <c r="C19" s="76">
        <v>2463.2399999999998</v>
      </c>
      <c r="D19" s="29">
        <f t="shared" si="0"/>
        <v>-2.2521062864551199E-3</v>
      </c>
      <c r="E19">
        <v>6.1828339389863755E-2</v>
      </c>
      <c r="F19">
        <f t="shared" si="2"/>
        <v>11</v>
      </c>
      <c r="G19">
        <f t="shared" ca="1" si="1"/>
        <v>0.18048739352921969</v>
      </c>
      <c r="J19" s="199" t="s">
        <v>342</v>
      </c>
      <c r="K19" s="199"/>
      <c r="L19" s="199"/>
      <c r="M19" s="199"/>
      <c r="N19" s="199"/>
      <c r="O19" s="223">
        <f ca="1">MIN(G8:G5189)</f>
        <v>-0.27434559683453896</v>
      </c>
    </row>
    <row r="20" spans="2:15" x14ac:dyDescent="0.25">
      <c r="B20" s="220">
        <v>45658</v>
      </c>
      <c r="C20" s="76">
        <v>2468.8000000000002</v>
      </c>
      <c r="D20" s="29">
        <f t="shared" si="0"/>
        <v>0.14184754707207314</v>
      </c>
      <c r="E20">
        <v>6.1005221651589177E-2</v>
      </c>
      <c r="F20">
        <f t="shared" si="2"/>
        <v>12</v>
      </c>
      <c r="G20">
        <f t="shared" ca="1" si="1"/>
        <v>-3.4926684072949556E-2</v>
      </c>
      <c r="J20" s="199" t="s">
        <v>343</v>
      </c>
      <c r="K20" s="199"/>
      <c r="L20" s="199"/>
      <c r="M20" s="199"/>
      <c r="N20" s="199"/>
      <c r="O20" s="223">
        <f ca="1">MAX(G8:G5189)</f>
        <v>0.33891020760676455</v>
      </c>
    </row>
    <row r="21" spans="2:15" x14ac:dyDescent="0.25">
      <c r="B21" s="220">
        <v>43836</v>
      </c>
      <c r="C21" s="76">
        <v>2162.11</v>
      </c>
      <c r="D21" s="29">
        <f t="shared" si="0"/>
        <v>-5.1556386096050143E-2</v>
      </c>
      <c r="E21">
        <v>5.961890946159204E-2</v>
      </c>
      <c r="F21">
        <f t="shared" si="2"/>
        <v>13</v>
      </c>
      <c r="G21">
        <f t="shared" ca="1" si="1"/>
        <v>0.20062928496209609</v>
      </c>
      <c r="J21" s="199" t="s">
        <v>344</v>
      </c>
      <c r="K21" s="199"/>
      <c r="L21" s="199"/>
      <c r="M21" s="199"/>
      <c r="N21" s="199"/>
      <c r="O21" s="199">
        <v>7115.7</v>
      </c>
    </row>
    <row r="22" spans="2:15" x14ac:dyDescent="0.25">
      <c r="B22" s="220">
        <v>43833</v>
      </c>
      <c r="C22" s="76">
        <v>2279.64</v>
      </c>
      <c r="D22" s="29">
        <f t="shared" si="0"/>
        <v>-7.3881779402803216E-2</v>
      </c>
      <c r="E22">
        <v>5.6905744355324667E-2</v>
      </c>
      <c r="F22">
        <f t="shared" si="2"/>
        <v>14</v>
      </c>
      <c r="G22">
        <f t="shared" ca="1" si="1"/>
        <v>0.25140682005198411</v>
      </c>
    </row>
    <row r="23" spans="2:15" x14ac:dyDescent="0.25">
      <c r="B23" s="220">
        <v>44202</v>
      </c>
      <c r="C23" s="76">
        <v>2461.5</v>
      </c>
      <c r="D23" s="29">
        <f t="shared" si="0"/>
        <v>5.0163828117000549E-2</v>
      </c>
      <c r="E23">
        <v>5.608876036674576E-2</v>
      </c>
      <c r="F23">
        <f t="shared" si="2"/>
        <v>15</v>
      </c>
      <c r="G23">
        <f t="shared" ca="1" si="1"/>
        <v>-0.16013875741957137</v>
      </c>
      <c r="J23" s="227" t="s">
        <v>346</v>
      </c>
      <c r="K23" s="227" t="s">
        <v>347</v>
      </c>
      <c r="L23" s="227" t="s">
        <v>350</v>
      </c>
      <c r="M23" s="227" t="s">
        <v>348</v>
      </c>
      <c r="N23" s="227" t="s">
        <v>349</v>
      </c>
    </row>
    <row r="24" spans="2:15" x14ac:dyDescent="0.25">
      <c r="B24" s="220">
        <v>44566</v>
      </c>
      <c r="C24" s="76">
        <v>2343.92</v>
      </c>
      <c r="D24" s="29">
        <f t="shared" si="0"/>
        <v>-0.12334218498709644</v>
      </c>
      <c r="E24">
        <v>5.2978674657118988E-2</v>
      </c>
      <c r="F24">
        <f t="shared" si="2"/>
        <v>16</v>
      </c>
      <c r="G24">
        <f t="shared" ca="1" si="1"/>
        <v>2.338731606825508E-2</v>
      </c>
      <c r="J24" s="225">
        <v>0.05</v>
      </c>
      <c r="K24" s="225">
        <f>100%-J24</f>
        <v>0.95</v>
      </c>
      <c r="L24" s="223">
        <f ca="1">_xlfn.PERCENTILE.INC($G$9:$G$75,J24)</f>
        <v>-0.20507418054351706</v>
      </c>
      <c r="M24" s="200">
        <f ca="1">$O$14*(1-L24)</f>
        <v>2900.7340599862996</v>
      </c>
      <c r="N24" s="200">
        <f ca="1">$O$14-M24</f>
        <v>-493.63405998629969</v>
      </c>
    </row>
    <row r="25" spans="2:15" x14ac:dyDescent="0.25">
      <c r="B25" s="220">
        <v>44572</v>
      </c>
      <c r="C25" s="76">
        <v>2673.7</v>
      </c>
      <c r="D25" s="29">
        <f t="shared" si="0"/>
        <v>7.6543591405710985E-3</v>
      </c>
      <c r="E25">
        <v>5.2397484039077652E-2</v>
      </c>
      <c r="F25">
        <f t="shared" si="2"/>
        <v>17</v>
      </c>
      <c r="G25">
        <f t="shared" ca="1" si="1"/>
        <v>5.2370799293862073E-3</v>
      </c>
      <c r="J25" s="225">
        <v>0.01</v>
      </c>
      <c r="K25" s="225">
        <f t="shared" ref="K25:K27" si="3">100%-J25</f>
        <v>0.99</v>
      </c>
      <c r="L25" s="223">
        <f t="shared" ref="L25:L27" ca="1" si="4">_xlfn.PERCENTILE.INC($G$9:$G$75,J25)</f>
        <v>-0.26006271851765245</v>
      </c>
      <c r="M25" s="200">
        <f t="shared" ref="M25:M27" ca="1" si="5">$O$14*(1-L25)</f>
        <v>3033.0969697438413</v>
      </c>
      <c r="N25" s="200">
        <f t="shared" ref="N25:N27" ca="1" si="6">$O$14-M25</f>
        <v>-625.99696974384142</v>
      </c>
    </row>
    <row r="26" spans="2:15" x14ac:dyDescent="0.25">
      <c r="B26" s="220">
        <v>44938</v>
      </c>
      <c r="C26" s="76">
        <v>2653.39</v>
      </c>
      <c r="D26" s="29">
        <f t="shared" si="0"/>
        <v>0.14379625917639804</v>
      </c>
      <c r="E26">
        <v>4.6516397483681422E-2</v>
      </c>
      <c r="F26">
        <f t="shared" si="2"/>
        <v>18</v>
      </c>
      <c r="G26">
        <f t="shared" ca="1" si="1"/>
        <v>-9.6118813972370445E-3</v>
      </c>
      <c r="J26" s="225">
        <v>5.0000000000000001E-3</v>
      </c>
      <c r="K26" s="225">
        <f t="shared" si="3"/>
        <v>0.995</v>
      </c>
      <c r="L26" s="223">
        <f t="shared" ca="1" si="4"/>
        <v>-0.26720415767609573</v>
      </c>
      <c r="M26" s="200">
        <f t="shared" ca="1" si="5"/>
        <v>3050.2871279421297</v>
      </c>
      <c r="N26" s="200">
        <f t="shared" ca="1" si="6"/>
        <v>-643.18712794212979</v>
      </c>
    </row>
    <row r="27" spans="2:15" x14ac:dyDescent="0.25">
      <c r="B27" s="220">
        <v>45296</v>
      </c>
      <c r="C27" s="76">
        <v>2319.81</v>
      </c>
      <c r="D27" s="29">
        <f t="shared" si="0"/>
        <v>-9.0341933965963406E-2</v>
      </c>
      <c r="E27">
        <v>4.4206877925819246E-2</v>
      </c>
      <c r="F27">
        <f t="shared" si="2"/>
        <v>19</v>
      </c>
      <c r="G27">
        <f t="shared" ca="1" si="1"/>
        <v>8.7520751772684254E-4</v>
      </c>
      <c r="J27" s="226">
        <v>0.1</v>
      </c>
      <c r="K27" s="225">
        <f t="shared" si="3"/>
        <v>0.9</v>
      </c>
      <c r="L27" s="223">
        <f t="shared" ca="1" si="4"/>
        <v>-0.16894191678399931</v>
      </c>
      <c r="M27" s="200">
        <f t="shared" ca="1" si="5"/>
        <v>2813.7600878907647</v>
      </c>
      <c r="N27" s="200">
        <f t="shared" ca="1" si="6"/>
        <v>-406.66008789076477</v>
      </c>
    </row>
    <row r="28" spans="2:15" x14ac:dyDescent="0.25">
      <c r="B28" s="220">
        <v>44929</v>
      </c>
      <c r="C28" s="76">
        <v>2550.1999999999998</v>
      </c>
      <c r="D28" s="29">
        <f t="shared" si="0"/>
        <v>8.8851885060415831E-2</v>
      </c>
      <c r="E28">
        <v>4.0519974376654992E-2</v>
      </c>
      <c r="F28">
        <f t="shared" si="2"/>
        <v>20</v>
      </c>
      <c r="G28">
        <f t="shared" ca="1" si="1"/>
        <v>1.6552247234323914E-2</v>
      </c>
    </row>
    <row r="29" spans="2:15" x14ac:dyDescent="0.25">
      <c r="B29" s="220">
        <v>45661</v>
      </c>
      <c r="C29" s="76">
        <v>2342.1</v>
      </c>
      <c r="D29" s="29">
        <f t="shared" si="0"/>
        <v>9.9722029186935429E-2</v>
      </c>
      <c r="E29">
        <v>3.6855036855036855E-2</v>
      </c>
      <c r="F29">
        <f t="shared" si="2"/>
        <v>21</v>
      </c>
      <c r="G29">
        <f t="shared" ca="1" si="1"/>
        <v>1.1561529848047957E-2</v>
      </c>
    </row>
    <row r="30" spans="2:15" x14ac:dyDescent="0.25">
      <c r="B30" s="220">
        <v>43841</v>
      </c>
      <c r="C30" s="76">
        <v>2129.7199999999998</v>
      </c>
      <c r="D30" s="29">
        <f t="shared" si="0"/>
        <v>-5.7166257166257214E-2</v>
      </c>
      <c r="E30">
        <v>3.2301219535839559E-2</v>
      </c>
      <c r="F30">
        <f t="shared" si="2"/>
        <v>22</v>
      </c>
      <c r="G30">
        <f t="shared" ca="1" si="1"/>
        <v>-0.15291548884305109</v>
      </c>
    </row>
    <row r="31" spans="2:15" x14ac:dyDescent="0.25">
      <c r="B31" s="220">
        <v>45660</v>
      </c>
      <c r="C31" s="76">
        <v>2258.85</v>
      </c>
      <c r="D31" s="29">
        <f t="shared" si="0"/>
        <v>-0.18364064792662041</v>
      </c>
      <c r="E31">
        <v>3.1320625499372173E-2</v>
      </c>
      <c r="F31">
        <f t="shared" si="2"/>
        <v>23</v>
      </c>
      <c r="G31">
        <f t="shared" ca="1" si="1"/>
        <v>-0.18214665583064124</v>
      </c>
    </row>
    <row r="32" spans="2:15" x14ac:dyDescent="0.25">
      <c r="B32" s="220">
        <v>45299</v>
      </c>
      <c r="C32" s="76">
        <v>2766.98</v>
      </c>
      <c r="D32" s="29">
        <f t="shared" si="0"/>
        <v>9.1317123193121616E-2</v>
      </c>
      <c r="E32">
        <v>2.6739198195122653E-2</v>
      </c>
      <c r="F32">
        <f t="shared" si="2"/>
        <v>24</v>
      </c>
      <c r="G32">
        <f t="shared" ca="1" si="1"/>
        <v>5.6482608600305684E-2</v>
      </c>
    </row>
    <row r="33" spans="2:7" x14ac:dyDescent="0.25">
      <c r="B33" s="220">
        <v>44937</v>
      </c>
      <c r="C33" s="76">
        <v>2535.4499999999998</v>
      </c>
      <c r="D33" s="29">
        <f t="shared" si="0"/>
        <v>7.855231645531921E-2</v>
      </c>
      <c r="E33">
        <v>2.4776185760766213E-2</v>
      </c>
      <c r="F33">
        <f t="shared" si="2"/>
        <v>25</v>
      </c>
      <c r="G33">
        <f t="shared" ca="1" si="1"/>
        <v>7.1044030923939169E-2</v>
      </c>
    </row>
    <row r="34" spans="2:7" x14ac:dyDescent="0.25">
      <c r="B34" s="220">
        <v>44208</v>
      </c>
      <c r="C34" s="76">
        <v>2350.79</v>
      </c>
      <c r="D34" s="29">
        <f t="shared" si="0"/>
        <v>6.7987497387717324E-2</v>
      </c>
      <c r="E34">
        <v>1.8381015092966364E-2</v>
      </c>
      <c r="F34">
        <f t="shared" si="2"/>
        <v>26</v>
      </c>
      <c r="G34">
        <f t="shared" ca="1" si="1"/>
        <v>-0.25270487211198367</v>
      </c>
    </row>
    <row r="35" spans="2:7" x14ac:dyDescent="0.25">
      <c r="B35" s="220">
        <v>43837</v>
      </c>
      <c r="C35" s="76">
        <v>2201.14</v>
      </c>
      <c r="D35" s="29">
        <f t="shared" si="0"/>
        <v>-0.18044054569283938</v>
      </c>
      <c r="E35">
        <v>1.8051810499928191E-2</v>
      </c>
      <c r="F35">
        <f t="shared" si="2"/>
        <v>27</v>
      </c>
      <c r="G35">
        <f t="shared" ca="1" si="1"/>
        <v>-0.27434559683453896</v>
      </c>
    </row>
    <row r="36" spans="2:7" x14ac:dyDescent="0.25">
      <c r="B36" s="220">
        <v>44570</v>
      </c>
      <c r="C36" s="76">
        <v>2685.76</v>
      </c>
      <c r="D36" s="29">
        <f t="shared" si="0"/>
        <v>1.3762125844562727E-2</v>
      </c>
      <c r="E36">
        <v>1.3762125844562727E-2</v>
      </c>
      <c r="F36">
        <f t="shared" si="2"/>
        <v>28</v>
      </c>
      <c r="G36">
        <f t="shared" ca="1" si="1"/>
        <v>5.7210215115128311E-2</v>
      </c>
    </row>
    <row r="37" spans="2:7" x14ac:dyDescent="0.25">
      <c r="B37" s="220">
        <v>44569</v>
      </c>
      <c r="C37" s="76">
        <v>2649.3</v>
      </c>
      <c r="D37" s="29">
        <f t="shared" si="0"/>
        <v>7.079198916799713E-2</v>
      </c>
      <c r="E37">
        <v>8.5118046091650842E-3</v>
      </c>
      <c r="F37">
        <f t="shared" si="2"/>
        <v>29</v>
      </c>
      <c r="G37">
        <f t="shared" ca="1" si="1"/>
        <v>0.33891020760676455</v>
      </c>
    </row>
    <row r="38" spans="2:7" x14ac:dyDescent="0.25">
      <c r="B38" s="220">
        <v>44936</v>
      </c>
      <c r="C38" s="76">
        <v>2474.15</v>
      </c>
      <c r="D38" s="29">
        <f t="shared" si="0"/>
        <v>-3.5994124362466094E-2</v>
      </c>
      <c r="E38">
        <v>7.4639020775137946E-3</v>
      </c>
      <c r="F38">
        <f t="shared" si="2"/>
        <v>30</v>
      </c>
      <c r="G38">
        <f t="shared" ca="1" si="1"/>
        <v>-0.11276265762048948</v>
      </c>
    </row>
    <row r="39" spans="2:7" x14ac:dyDescent="0.25">
      <c r="B39" s="220">
        <v>44927</v>
      </c>
      <c r="C39" s="76">
        <v>2566.5300000000002</v>
      </c>
      <c r="D39" s="29">
        <f t="shared" si="0"/>
        <v>-3.78627419372978E-2</v>
      </c>
      <c r="E39">
        <v>6.131193426608097E-3</v>
      </c>
      <c r="F39">
        <f t="shared" si="2"/>
        <v>31</v>
      </c>
      <c r="G39">
        <f t="shared" ca="1" si="1"/>
        <v>0.16312538812076463</v>
      </c>
    </row>
    <row r="40" spans="2:7" x14ac:dyDescent="0.25">
      <c r="B40" s="220">
        <v>44932</v>
      </c>
      <c r="C40" s="76">
        <v>2667.53</v>
      </c>
      <c r="D40" s="29">
        <f t="shared" si="0"/>
        <v>0.13594089341225568</v>
      </c>
      <c r="E40">
        <v>3.9744521014540629E-3</v>
      </c>
      <c r="F40">
        <f t="shared" si="2"/>
        <v>32</v>
      </c>
      <c r="G40">
        <f t="shared" ca="1" si="1"/>
        <v>3.9259587545966347E-2</v>
      </c>
    </row>
    <row r="41" spans="2:7" x14ac:dyDescent="0.25">
      <c r="B41" s="220">
        <v>45662</v>
      </c>
      <c r="C41" s="76">
        <v>2348.3000000000002</v>
      </c>
      <c r="D41" s="29">
        <f t="shared" ref="D41:D72" si="7">(C41-C42)/C42</f>
        <v>0.13824960738313602</v>
      </c>
      <c r="E41">
        <v>2.6471969599932851E-3</v>
      </c>
      <c r="F41">
        <f t="shared" si="2"/>
        <v>33</v>
      </c>
      <c r="G41">
        <f t="shared" ca="1" si="1"/>
        <v>-0.21602734964019304</v>
      </c>
    </row>
    <row r="42" spans="2:7" x14ac:dyDescent="0.25">
      <c r="B42" s="220">
        <v>43840</v>
      </c>
      <c r="C42" s="76">
        <v>2063.08</v>
      </c>
      <c r="D42" s="29">
        <f t="shared" si="7"/>
        <v>-0.11485045714506367</v>
      </c>
      <c r="E42">
        <v>1.4708380864540886E-3</v>
      </c>
      <c r="F42">
        <f t="shared" si="2"/>
        <v>34</v>
      </c>
      <c r="G42">
        <f t="shared" ca="1" si="1"/>
        <v>-8.126279272822938E-2</v>
      </c>
    </row>
    <row r="43" spans="2:7" x14ac:dyDescent="0.25">
      <c r="B43" s="220">
        <v>44201</v>
      </c>
      <c r="C43" s="76">
        <v>2330.77</v>
      </c>
      <c r="D43" s="29">
        <f t="shared" si="7"/>
        <v>-0.13389048263150852</v>
      </c>
      <c r="E43">
        <v>-5.8223355883331874E-3</v>
      </c>
      <c r="F43">
        <f t="shared" si="2"/>
        <v>35</v>
      </c>
      <c r="G43">
        <f t="shared" ca="1" si="1"/>
        <v>-1.9251363337908476E-2</v>
      </c>
    </row>
    <row r="44" spans="2:7" x14ac:dyDescent="0.25">
      <c r="B44" s="220">
        <v>44205</v>
      </c>
      <c r="C44" s="76">
        <v>2691.08</v>
      </c>
      <c r="D44" s="29">
        <f t="shared" si="7"/>
        <v>7.8092262083608685E-2</v>
      </c>
      <c r="E44">
        <v>-8.1892897947150167E-3</v>
      </c>
      <c r="F44">
        <f t="shared" si="2"/>
        <v>36</v>
      </c>
      <c r="G44">
        <f t="shared" ca="1" si="1"/>
        <v>4.7850082723397316E-2</v>
      </c>
    </row>
    <row r="45" spans="2:7" x14ac:dyDescent="0.25">
      <c r="B45" s="220">
        <v>45302</v>
      </c>
      <c r="C45" s="76">
        <v>2496.15</v>
      </c>
      <c r="D45" s="29">
        <f t="shared" si="7"/>
        <v>0.12358210298883696</v>
      </c>
      <c r="E45">
        <v>-8.7641270421169367E-3</v>
      </c>
      <c r="F45">
        <f t="shared" si="2"/>
        <v>37</v>
      </c>
      <c r="G45">
        <f t="shared" ca="1" si="1"/>
        <v>-6.5504207970789707E-2</v>
      </c>
    </row>
    <row r="46" spans="2:7" x14ac:dyDescent="0.25">
      <c r="B46" s="220">
        <v>45295</v>
      </c>
      <c r="C46" s="76">
        <v>2221.6</v>
      </c>
      <c r="D46" s="29">
        <f t="shared" si="7"/>
        <v>-9.5373439421456069E-2</v>
      </c>
      <c r="E46">
        <v>-1.4973152963815243E-2</v>
      </c>
      <c r="F46">
        <f t="shared" si="2"/>
        <v>38</v>
      </c>
      <c r="G46">
        <f t="shared" ca="1" si="1"/>
        <v>3.4601398881459404E-2</v>
      </c>
    </row>
    <row r="47" spans="2:7" x14ac:dyDescent="0.25">
      <c r="B47" s="220">
        <v>44935</v>
      </c>
      <c r="C47" s="76">
        <v>2455.8200000000002</v>
      </c>
      <c r="D47" s="29">
        <f t="shared" si="7"/>
        <v>-1.5746800742251828E-2</v>
      </c>
      <c r="E47">
        <v>-1.5746800742251828E-2</v>
      </c>
      <c r="F47">
        <f t="shared" si="2"/>
        <v>39</v>
      </c>
      <c r="G47">
        <f t="shared" ca="1" si="1"/>
        <v>-6.2546937201632142E-4</v>
      </c>
    </row>
    <row r="48" spans="2:7" x14ac:dyDescent="0.25">
      <c r="B48" s="220">
        <v>44934</v>
      </c>
      <c r="C48" s="76">
        <v>2495.11</v>
      </c>
      <c r="D48" s="29">
        <f t="shared" si="7"/>
        <v>8.7383421947180434E-2</v>
      </c>
      <c r="E48">
        <v>-2.177100649248806E-2</v>
      </c>
      <c r="F48">
        <f t="shared" si="2"/>
        <v>40</v>
      </c>
      <c r="G48">
        <f t="shared" ca="1" si="1"/>
        <v>4.7539809769076985E-2</v>
      </c>
    </row>
    <row r="49" spans="2:7" x14ac:dyDescent="0.25">
      <c r="B49" s="220">
        <v>45663</v>
      </c>
      <c r="C49" s="76">
        <v>2294.6</v>
      </c>
      <c r="D49" s="29">
        <f t="shared" si="7"/>
        <v>0.11385645979466504</v>
      </c>
      <c r="E49">
        <v>-2.2867606353532455E-2</v>
      </c>
      <c r="F49">
        <f t="shared" si="2"/>
        <v>41</v>
      </c>
      <c r="G49">
        <f t="shared" ca="1" si="1"/>
        <v>0.22099602732379764</v>
      </c>
    </row>
    <row r="50" spans="2:7" x14ac:dyDescent="0.25">
      <c r="B50" s="220">
        <v>43839</v>
      </c>
      <c r="C50" s="76">
        <v>2060.0500000000002</v>
      </c>
      <c r="D50" s="29">
        <f t="shared" si="7"/>
        <v>-0.14262110183000165</v>
      </c>
      <c r="E50">
        <v>-2.3186893951966447E-2</v>
      </c>
      <c r="F50">
        <f t="shared" si="2"/>
        <v>42</v>
      </c>
      <c r="G50">
        <f t="shared" ca="1" si="1"/>
        <v>0.13620810308768661</v>
      </c>
    </row>
    <row r="51" spans="2:7" x14ac:dyDescent="0.25">
      <c r="B51" s="220">
        <v>45293</v>
      </c>
      <c r="C51" s="76">
        <v>2402.73</v>
      </c>
      <c r="D51" s="29">
        <f t="shared" si="7"/>
        <v>4.0881838188150846E-2</v>
      </c>
      <c r="E51">
        <v>-2.7907804718191057E-2</v>
      </c>
      <c r="F51">
        <f t="shared" si="2"/>
        <v>43</v>
      </c>
      <c r="G51">
        <f t="shared" ca="1" si="1"/>
        <v>-1.8214619808770701E-2</v>
      </c>
    </row>
    <row r="52" spans="2:7" x14ac:dyDescent="0.25">
      <c r="B52" s="220">
        <v>44207</v>
      </c>
      <c r="C52" s="76">
        <v>2308.36</v>
      </c>
      <c r="D52" s="29">
        <f t="shared" si="7"/>
        <v>-1.5381203026761393E-2</v>
      </c>
      <c r="E52">
        <v>-3.1590075765838978E-2</v>
      </c>
      <c r="F52">
        <f t="shared" si="2"/>
        <v>44</v>
      </c>
      <c r="G52">
        <f t="shared" ca="1" si="1"/>
        <v>-0.14065761570685548</v>
      </c>
    </row>
    <row r="53" spans="2:7" x14ac:dyDescent="0.25">
      <c r="B53" s="220">
        <v>44200</v>
      </c>
      <c r="C53" s="76">
        <v>2344.42</v>
      </c>
      <c r="D53" s="29">
        <f t="shared" si="7"/>
        <v>3.5187417484644989E-2</v>
      </c>
      <c r="E53">
        <v>-3.1975423847786434E-2</v>
      </c>
      <c r="F53">
        <f t="shared" si="2"/>
        <v>45</v>
      </c>
      <c r="G53">
        <f t="shared" ca="1" si="1"/>
        <v>-6.6157838190775989E-2</v>
      </c>
    </row>
    <row r="54" spans="2:7" x14ac:dyDescent="0.25">
      <c r="B54" s="220">
        <v>44562</v>
      </c>
      <c r="C54" s="76">
        <v>2264.73</v>
      </c>
      <c r="D54" s="29">
        <f t="shared" si="7"/>
        <v>-7.4695103266531893E-2</v>
      </c>
      <c r="E54">
        <v>-3.660896975059446E-2</v>
      </c>
      <c r="F54">
        <f t="shared" si="2"/>
        <v>46</v>
      </c>
      <c r="G54">
        <f t="shared" ca="1" si="1"/>
        <v>-7.3862522095565181E-2</v>
      </c>
    </row>
    <row r="55" spans="2:7" x14ac:dyDescent="0.25">
      <c r="B55" s="220">
        <v>44930</v>
      </c>
      <c r="C55" s="76">
        <v>2447.5500000000002</v>
      </c>
      <c r="D55" s="29">
        <f t="shared" si="7"/>
        <v>0.16055383010502874</v>
      </c>
      <c r="E55">
        <v>-4.0251744961179378E-2</v>
      </c>
      <c r="F55">
        <f t="shared" si="2"/>
        <v>47</v>
      </c>
      <c r="G55">
        <f t="shared" ca="1" si="1"/>
        <v>5.0548938923358953E-2</v>
      </c>
    </row>
    <row r="56" spans="2:7" x14ac:dyDescent="0.25">
      <c r="B56" s="220">
        <v>43838</v>
      </c>
      <c r="C56" s="76">
        <v>2108.9499999999998</v>
      </c>
      <c r="D56" s="29">
        <f t="shared" si="7"/>
        <v>-0.17316830285732213</v>
      </c>
      <c r="E56">
        <v>-4.1882842527054188E-2</v>
      </c>
      <c r="F56">
        <f t="shared" si="2"/>
        <v>48</v>
      </c>
      <c r="G56">
        <f t="shared" ca="1" si="1"/>
        <v>-2.4624529965814969E-2</v>
      </c>
    </row>
    <row r="57" spans="2:7" x14ac:dyDescent="0.25">
      <c r="B57" s="220">
        <v>44933</v>
      </c>
      <c r="C57" s="76">
        <v>2550.64</v>
      </c>
      <c r="D57" s="29">
        <f t="shared" si="7"/>
        <v>0.1789469791864072</v>
      </c>
      <c r="E57">
        <v>-4.3819563416344076E-2</v>
      </c>
      <c r="F57">
        <f t="shared" si="2"/>
        <v>49</v>
      </c>
      <c r="G57">
        <f t="shared" ca="1" si="1"/>
        <v>-5.2646436944961432E-3</v>
      </c>
    </row>
    <row r="58" spans="2:7" x14ac:dyDescent="0.25">
      <c r="B58" s="220">
        <v>44563</v>
      </c>
      <c r="C58" s="76">
        <v>2163.4899999999998</v>
      </c>
      <c r="D58" s="29">
        <f t="shared" si="7"/>
        <v>-6.2012227892640761E-3</v>
      </c>
      <c r="E58">
        <v>-4.4702900566513548E-2</v>
      </c>
      <c r="F58">
        <f t="shared" si="2"/>
        <v>50</v>
      </c>
      <c r="G58">
        <f t="shared" ca="1" si="1"/>
        <v>1.6325913722907356E-2</v>
      </c>
    </row>
    <row r="59" spans="2:7" x14ac:dyDescent="0.25">
      <c r="B59" s="220">
        <v>43834</v>
      </c>
      <c r="C59" s="76">
        <v>2176.9899999999998</v>
      </c>
      <c r="D59" s="29">
        <f t="shared" si="7"/>
        <v>-0.11175532153625831</v>
      </c>
      <c r="E59">
        <v>-4.5029039672930857E-2</v>
      </c>
      <c r="F59">
        <f t="shared" si="2"/>
        <v>51</v>
      </c>
      <c r="G59">
        <f t="shared" ca="1" si="1"/>
        <v>4.9898049917419675E-2</v>
      </c>
    </row>
    <row r="60" spans="2:7" x14ac:dyDescent="0.25">
      <c r="B60" s="220">
        <v>44928</v>
      </c>
      <c r="C60" s="76">
        <v>2450.89</v>
      </c>
      <c r="D60" s="29">
        <f t="shared" si="7"/>
        <v>-3.9202004006444809E-2</v>
      </c>
      <c r="E60">
        <v>-4.5056944590556244E-2</v>
      </c>
      <c r="F60">
        <f t="shared" si="2"/>
        <v>52</v>
      </c>
      <c r="G60">
        <f t="shared" ca="1" si="1"/>
        <v>-3.3953864084105674E-2</v>
      </c>
    </row>
    <row r="61" spans="2:7" x14ac:dyDescent="0.25">
      <c r="B61" s="220">
        <v>44573</v>
      </c>
      <c r="C61" s="76">
        <v>2550.89</v>
      </c>
      <c r="D61" s="29">
        <f t="shared" si="7"/>
        <v>0.14814448070214914</v>
      </c>
      <c r="E61">
        <v>-4.5932602760219904E-2</v>
      </c>
      <c r="F61">
        <f t="shared" si="2"/>
        <v>53</v>
      </c>
      <c r="G61">
        <f t="shared" ca="1" si="1"/>
        <v>5.8843294816883267E-2</v>
      </c>
    </row>
    <row r="62" spans="2:7" x14ac:dyDescent="0.25">
      <c r="B62" s="220">
        <v>44567</v>
      </c>
      <c r="C62" s="76">
        <v>2221.75</v>
      </c>
      <c r="D62" s="29">
        <f t="shared" si="7"/>
        <v>-0.12549496571648991</v>
      </c>
      <c r="E62">
        <v>-5.2122086078023169E-2</v>
      </c>
      <c r="F62">
        <f t="shared" si="2"/>
        <v>54</v>
      </c>
      <c r="G62">
        <f t="shared" ca="1" si="1"/>
        <v>0.17739656683388647</v>
      </c>
    </row>
    <row r="63" spans="2:7" x14ac:dyDescent="0.25">
      <c r="B63" s="220">
        <v>44571</v>
      </c>
      <c r="C63" s="76">
        <v>2540.58</v>
      </c>
      <c r="D63" s="29">
        <f t="shared" si="7"/>
        <v>0.12668298653610766</v>
      </c>
      <c r="E63">
        <v>-5.4055462885738217E-2</v>
      </c>
      <c r="F63">
        <f t="shared" si="2"/>
        <v>55</v>
      </c>
      <c r="G63">
        <f t="shared" ca="1" si="1"/>
        <v>3.1809138782242945E-2</v>
      </c>
    </row>
    <row r="64" spans="2:7" x14ac:dyDescent="0.25">
      <c r="B64" s="220">
        <v>44197</v>
      </c>
      <c r="C64" s="76">
        <v>2254.92</v>
      </c>
      <c r="D64" s="29">
        <f t="shared" si="7"/>
        <v>-2.9745487403455218E-2</v>
      </c>
      <c r="E64">
        <v>-5.4897522947315487E-2</v>
      </c>
      <c r="F64">
        <f t="shared" si="2"/>
        <v>56</v>
      </c>
      <c r="G64">
        <f t="shared" ca="1" si="1"/>
        <v>-0.2052329413221852</v>
      </c>
    </row>
    <row r="65" spans="2:7" x14ac:dyDescent="0.25">
      <c r="B65" s="220">
        <v>44203</v>
      </c>
      <c r="C65" s="76">
        <v>2324.0500000000002</v>
      </c>
      <c r="D65" s="29">
        <f t="shared" si="7"/>
        <v>0.13894429388443208</v>
      </c>
      <c r="E65">
        <v>-5.5839934998984285E-2</v>
      </c>
      <c r="F65">
        <f t="shared" si="2"/>
        <v>57</v>
      </c>
      <c r="G65">
        <f t="shared" ca="1" si="1"/>
        <v>9.3552161700897057E-2</v>
      </c>
    </row>
    <row r="66" spans="2:7" x14ac:dyDescent="0.25">
      <c r="B66" s="220">
        <v>44564</v>
      </c>
      <c r="C66" s="76">
        <v>2040.53</v>
      </c>
      <c r="D66" s="29">
        <f t="shared" si="7"/>
        <v>-3.9113011457013909E-2</v>
      </c>
      <c r="E66">
        <v>-5.6834096760326983E-2</v>
      </c>
      <c r="F66">
        <f t="shared" si="2"/>
        <v>58</v>
      </c>
      <c r="G66">
        <f t="shared" ca="1" si="1"/>
        <v>6.4818756179097603E-2</v>
      </c>
    </row>
    <row r="67" spans="2:7" x14ac:dyDescent="0.25">
      <c r="B67" s="220">
        <v>44198</v>
      </c>
      <c r="C67" s="76">
        <v>2123.59</v>
      </c>
      <c r="D67" s="29">
        <f t="shared" si="7"/>
        <v>-5.8429437298536273E-2</v>
      </c>
      <c r="E67">
        <v>-5.8241534067727425E-2</v>
      </c>
      <c r="F67">
        <f t="shared" si="2"/>
        <v>59</v>
      </c>
      <c r="G67">
        <f t="shared" ca="1" si="1"/>
        <v>4.4602849734362064E-2</v>
      </c>
    </row>
    <row r="68" spans="2:7" x14ac:dyDescent="0.25">
      <c r="B68" s="220">
        <v>45294</v>
      </c>
      <c r="C68" s="76">
        <v>2255.37</v>
      </c>
      <c r="D68" s="29">
        <f t="shared" si="7"/>
        <v>0.10532428962096775</v>
      </c>
      <c r="E68">
        <v>-6.1330236855576835E-2</v>
      </c>
      <c r="F68">
        <f t="shared" si="2"/>
        <v>60</v>
      </c>
      <c r="G68">
        <f t="shared" ca="1" si="1"/>
        <v>0.18169603471365012</v>
      </c>
    </row>
    <row r="69" spans="2:7" x14ac:dyDescent="0.25">
      <c r="B69" s="220">
        <v>43835</v>
      </c>
      <c r="C69" s="76">
        <v>2040.46</v>
      </c>
      <c r="D69" s="29">
        <f t="shared" si="7"/>
        <v>-0.12308055955476283</v>
      </c>
      <c r="E69">
        <v>-6.2715033142090579E-2</v>
      </c>
      <c r="F69">
        <f t="shared" si="2"/>
        <v>61</v>
      </c>
      <c r="G69">
        <f t="shared" ca="1" si="1"/>
        <v>-8.3961052120265514E-2</v>
      </c>
    </row>
    <row r="70" spans="2:7" x14ac:dyDescent="0.25">
      <c r="B70" s="220">
        <v>45303</v>
      </c>
      <c r="C70" s="76">
        <v>2326.85</v>
      </c>
      <c r="D70" s="29">
        <f t="shared" si="7"/>
        <v>-5.8607199064615235E-2</v>
      </c>
      <c r="E70">
        <v>-6.7824449652464869E-2</v>
      </c>
      <c r="F70">
        <f t="shared" si="2"/>
        <v>62</v>
      </c>
      <c r="G70">
        <f t="shared" ca="1" si="1"/>
        <v>-1.5774992467443683E-2</v>
      </c>
    </row>
    <row r="71" spans="2:7" x14ac:dyDescent="0.25">
      <c r="B71" s="220">
        <v>45292</v>
      </c>
      <c r="C71" s="76">
        <v>2471.71</v>
      </c>
      <c r="D71" s="29">
        <f t="shared" si="7"/>
        <v>0.1285058783243922</v>
      </c>
      <c r="E71">
        <v>-6.8470899490839968E-2</v>
      </c>
      <c r="F71">
        <f t="shared" si="2"/>
        <v>63</v>
      </c>
      <c r="G71">
        <f t="shared" ca="1" si="1"/>
        <v>0.16844427869269721</v>
      </c>
    </row>
    <row r="72" spans="2:7" x14ac:dyDescent="0.25">
      <c r="B72" s="220">
        <v>45659</v>
      </c>
      <c r="C72" s="76">
        <v>2190.25</v>
      </c>
      <c r="D72" s="29">
        <f t="shared" si="7"/>
        <v>-8.1139927674248782E-2</v>
      </c>
      <c r="E72">
        <v>-0.1128280946208685</v>
      </c>
      <c r="F72">
        <f t="shared" si="2"/>
        <v>64</v>
      </c>
      <c r="G72">
        <f t="shared" ca="1" si="1"/>
        <v>0.13048567960526136</v>
      </c>
    </row>
    <row r="73" spans="2:7" x14ac:dyDescent="0.25">
      <c r="B73" s="220">
        <v>44206</v>
      </c>
      <c r="C73" s="76">
        <v>2383.66</v>
      </c>
      <c r="D73" s="29">
        <f t="shared" ref="D73:D74" si="8">(C73-C74)/C74</f>
        <v>-5.3434568862132756E-2</v>
      </c>
      <c r="E73">
        <v>-0.11423666334705772</v>
      </c>
      <c r="F73">
        <f t="shared" si="2"/>
        <v>65</v>
      </c>
      <c r="G73">
        <f t="shared" ca="1" si="1"/>
        <v>0.10603416308014044</v>
      </c>
    </row>
    <row r="74" spans="2:7" x14ac:dyDescent="0.25">
      <c r="B74" s="220">
        <v>45301</v>
      </c>
      <c r="C74" s="76">
        <v>2518.2199999999998</v>
      </c>
      <c r="D74" s="29">
        <f t="shared" si="8"/>
        <v>0.24815123218144683</v>
      </c>
      <c r="E74">
        <v>-0.14537241606342302</v>
      </c>
      <c r="F74">
        <f t="shared" si="2"/>
        <v>66</v>
      </c>
      <c r="G74">
        <f t="shared" ref="G74:G75" ca="1" si="9">_xlfn.NORM.INV(RAND(),O$10,O$11)</f>
        <v>-3.1219503883311912E-2</v>
      </c>
    </row>
    <row r="75" spans="2:7" x14ac:dyDescent="0.25">
      <c r="B75" s="220">
        <v>43831</v>
      </c>
      <c r="C75" s="76">
        <v>2017.56</v>
      </c>
      <c r="D75" s="29"/>
      <c r="F75">
        <f t="shared" ref="F75" si="10">F74+1</f>
        <v>67</v>
      </c>
      <c r="G75">
        <f t="shared" ca="1" si="9"/>
        <v>-0.19964318647504078</v>
      </c>
    </row>
    <row r="76" spans="2:7" x14ac:dyDescent="0.25">
      <c r="B76" s="220"/>
      <c r="C76" s="76"/>
      <c r="D76" s="29"/>
    </row>
    <row r="77" spans="2:7" x14ac:dyDescent="0.25">
      <c r="B77" s="220"/>
      <c r="C77" s="76"/>
      <c r="D77" s="29"/>
    </row>
    <row r="78" spans="2:7" x14ac:dyDescent="0.25">
      <c r="B78" s="220"/>
      <c r="C78" s="76"/>
      <c r="D78" s="29"/>
    </row>
    <row r="79" spans="2:7" x14ac:dyDescent="0.25">
      <c r="B79" s="220"/>
      <c r="C79" s="76"/>
      <c r="D79" s="29"/>
    </row>
    <row r="80" spans="2:7" x14ac:dyDescent="0.25">
      <c r="B80" s="220"/>
      <c r="C80" s="76"/>
      <c r="D80" s="29"/>
    </row>
    <row r="81" spans="2:4" x14ac:dyDescent="0.25">
      <c r="B81" s="220"/>
      <c r="C81" s="76"/>
      <c r="D81" s="29"/>
    </row>
    <row r="82" spans="2:4" x14ac:dyDescent="0.25">
      <c r="B82" s="220"/>
      <c r="C82" s="76"/>
      <c r="D82" s="29"/>
    </row>
    <row r="83" spans="2:4" x14ac:dyDescent="0.25">
      <c r="B83" s="220"/>
      <c r="C83" s="76"/>
      <c r="D83" s="29"/>
    </row>
    <row r="84" spans="2:4" x14ac:dyDescent="0.25">
      <c r="B84" s="220"/>
      <c r="C84" s="76"/>
      <c r="D84" s="29"/>
    </row>
    <row r="85" spans="2:4" x14ac:dyDescent="0.25">
      <c r="B85" s="220"/>
      <c r="C85" s="76"/>
      <c r="D85" s="29"/>
    </row>
    <row r="86" spans="2:4" x14ac:dyDescent="0.25">
      <c r="B86" s="220"/>
      <c r="C86" s="76"/>
      <c r="D86" s="29"/>
    </row>
  </sheetData>
  <mergeCells count="2">
    <mergeCell ref="J7:O7"/>
    <mergeCell ref="B5:O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8255-3A16-4E08-A666-2C65ADBDFB41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EFAE-A590-4061-AE60-99E5F0EFA1E3}">
  <dimension ref="A1:M129"/>
  <sheetViews>
    <sheetView topLeftCell="A82" workbookViewId="0">
      <selection activeCell="K69" sqref="K69"/>
    </sheetView>
  </sheetViews>
  <sheetFormatPr defaultRowHeight="15" x14ac:dyDescent="0.25"/>
  <cols>
    <col min="1" max="1" width="27.140625" bestFit="1" customWidth="1"/>
    <col min="11" max="11" width="11" bestFit="1" customWidth="1"/>
  </cols>
  <sheetData>
    <row r="1" spans="1:11" x14ac:dyDescent="0.25">
      <c r="A1" s="8" t="s">
        <v>2</v>
      </c>
      <c r="B1" s="8" t="s">
        <v>3</v>
      </c>
      <c r="C1" s="8"/>
      <c r="D1" s="8"/>
      <c r="E1" s="235" t="s">
        <v>4</v>
      </c>
      <c r="F1" s="235"/>
      <c r="G1" s="235"/>
      <c r="H1" s="235"/>
      <c r="I1" s="235"/>
      <c r="J1" s="235"/>
      <c r="K1" s="235"/>
    </row>
    <row r="2" spans="1:11" x14ac:dyDescent="0.25">
      <c r="A2" s="8" t="s">
        <v>5</v>
      </c>
      <c r="B2" s="9">
        <v>2.1</v>
      </c>
      <c r="C2" s="7"/>
      <c r="D2" s="7"/>
      <c r="E2" s="236" t="s">
        <v>6</v>
      </c>
      <c r="F2" s="236"/>
      <c r="G2" s="236"/>
      <c r="H2" s="236"/>
      <c r="I2" s="236"/>
      <c r="J2" s="236"/>
      <c r="K2" s="236"/>
    </row>
    <row r="3" spans="1:11" x14ac:dyDescent="0.25">
      <c r="A3" s="8" t="s">
        <v>7</v>
      </c>
      <c r="B3" s="9">
        <v>2.1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8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9" t="s">
        <v>9</v>
      </c>
      <c r="B6" s="9" t="s">
        <v>4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9" t="s">
        <v>10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9" t="s">
        <v>11</v>
      </c>
      <c r="B8" s="7">
        <v>2319.3000000000002</v>
      </c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9" t="s">
        <v>12</v>
      </c>
      <c r="B9" s="7">
        <v>544940.79</v>
      </c>
      <c r="C9" s="7"/>
      <c r="D9" s="7"/>
      <c r="E9" s="7"/>
      <c r="F9" s="7"/>
      <c r="G9" s="7"/>
      <c r="H9" s="7"/>
      <c r="I9" s="7"/>
      <c r="J9" s="7"/>
      <c r="K9" s="7"/>
    </row>
    <row r="15" spans="1:11" x14ac:dyDescent="0.25">
      <c r="A15" s="8" t="s"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11" t="s">
        <v>14</v>
      </c>
      <c r="B16" s="10">
        <v>42460</v>
      </c>
      <c r="C16" s="10">
        <v>42825</v>
      </c>
      <c r="D16" s="10">
        <v>43190</v>
      </c>
      <c r="E16" s="10">
        <v>43555</v>
      </c>
      <c r="F16" s="10">
        <v>43921</v>
      </c>
      <c r="G16" s="10">
        <v>44286</v>
      </c>
      <c r="H16" s="10">
        <v>44651</v>
      </c>
      <c r="I16" s="10">
        <v>45016</v>
      </c>
      <c r="J16" s="10">
        <v>45382</v>
      </c>
      <c r="K16" s="10">
        <v>45747</v>
      </c>
    </row>
    <row r="17" spans="1:11" x14ac:dyDescent="0.25">
      <c r="A17" s="8" t="s">
        <v>15</v>
      </c>
      <c r="B17" s="7">
        <v>32186</v>
      </c>
      <c r="C17" s="7">
        <v>33162</v>
      </c>
      <c r="D17" s="7">
        <v>35545</v>
      </c>
      <c r="E17" s="7">
        <v>39310</v>
      </c>
      <c r="F17" s="7">
        <v>39783</v>
      </c>
      <c r="G17" s="7">
        <v>47028</v>
      </c>
      <c r="H17" s="7">
        <v>52446</v>
      </c>
      <c r="I17" s="7">
        <v>60580</v>
      </c>
      <c r="J17" s="7">
        <v>61896</v>
      </c>
      <c r="K17" s="7">
        <v>63121</v>
      </c>
    </row>
    <row r="18" spans="1:11" x14ac:dyDescent="0.25">
      <c r="A18" s="9" t="s">
        <v>16</v>
      </c>
      <c r="B18" s="7">
        <v>13184</v>
      </c>
      <c r="C18" s="7">
        <v>13606</v>
      </c>
      <c r="D18" s="7">
        <v>14233</v>
      </c>
      <c r="E18" s="7">
        <v>15845</v>
      </c>
      <c r="F18" s="7">
        <v>15697</v>
      </c>
      <c r="G18" s="7">
        <v>20141</v>
      </c>
      <c r="H18" s="7">
        <v>22871</v>
      </c>
      <c r="I18" s="7">
        <v>28427</v>
      </c>
      <c r="J18" s="7">
        <v>26822</v>
      </c>
      <c r="K18" s="7">
        <v>27344</v>
      </c>
    </row>
    <row r="19" spans="1:11" x14ac:dyDescent="0.25">
      <c r="A19" s="9" t="s">
        <v>17</v>
      </c>
      <c r="B19" s="7">
        <v>-83</v>
      </c>
      <c r="C19" s="7">
        <v>-144</v>
      </c>
      <c r="D19" s="7">
        <v>72</v>
      </c>
      <c r="E19" s="7">
        <v>-12</v>
      </c>
      <c r="F19" s="7">
        <v>108</v>
      </c>
      <c r="G19" s="7">
        <v>405</v>
      </c>
      <c r="H19" s="7">
        <v>22</v>
      </c>
      <c r="I19" s="7">
        <v>75</v>
      </c>
      <c r="J19" s="7">
        <v>11</v>
      </c>
      <c r="K19" s="7">
        <v>153</v>
      </c>
    </row>
    <row r="20" spans="1:11" x14ac:dyDescent="0.25">
      <c r="A20" s="9" t="s">
        <v>18</v>
      </c>
      <c r="B20" s="7">
        <v>309</v>
      </c>
      <c r="C20" s="7">
        <v>295</v>
      </c>
      <c r="D20" s="7">
        <v>295</v>
      </c>
      <c r="E20" s="7">
        <v>308</v>
      </c>
      <c r="F20" s="7">
        <v>299</v>
      </c>
      <c r="G20" s="7">
        <v>339</v>
      </c>
      <c r="H20" s="7">
        <v>318</v>
      </c>
      <c r="I20" s="7">
        <v>384</v>
      </c>
      <c r="J20" s="7">
        <v>446</v>
      </c>
      <c r="K20" s="7">
        <v>427</v>
      </c>
    </row>
    <row r="21" spans="1:11" x14ac:dyDescent="0.25">
      <c r="A21" s="9" t="s">
        <v>19</v>
      </c>
      <c r="B21" s="7">
        <v>2966</v>
      </c>
      <c r="C21" s="7">
        <v>2887</v>
      </c>
      <c r="D21" s="7">
        <v>2998</v>
      </c>
      <c r="E21" s="7">
        <v>3041</v>
      </c>
      <c r="F21" s="7">
        <v>2906</v>
      </c>
      <c r="G21" s="7">
        <v>2868</v>
      </c>
      <c r="H21" s="7">
        <v>3354</v>
      </c>
      <c r="I21" s="7">
        <v>3791</v>
      </c>
      <c r="J21" s="7">
        <v>3385</v>
      </c>
      <c r="K21" s="7">
        <v>3834</v>
      </c>
    </row>
    <row r="22" spans="1:11" x14ac:dyDescent="0.25">
      <c r="A22" s="9" t="s">
        <v>20</v>
      </c>
      <c r="B22" s="7">
        <v>1680</v>
      </c>
      <c r="C22" s="7">
        <v>1743</v>
      </c>
      <c r="D22" s="7">
        <v>1860</v>
      </c>
      <c r="E22" s="7">
        <v>1875</v>
      </c>
      <c r="F22" s="7">
        <v>1820</v>
      </c>
      <c r="G22" s="7">
        <v>2358</v>
      </c>
      <c r="H22" s="7">
        <v>2545</v>
      </c>
      <c r="I22" s="7">
        <v>2854</v>
      </c>
      <c r="J22" s="7">
        <v>3009</v>
      </c>
      <c r="K22" s="7">
        <v>3077</v>
      </c>
    </row>
    <row r="23" spans="1:11" x14ac:dyDescent="0.25">
      <c r="A23" s="8" t="s">
        <v>21</v>
      </c>
      <c r="B23" s="7">
        <v>6741</v>
      </c>
      <c r="C23" s="7">
        <v>6689</v>
      </c>
      <c r="D23" s="7">
        <v>7252</v>
      </c>
      <c r="E23" s="7">
        <v>7796</v>
      </c>
      <c r="F23" s="7">
        <v>7620</v>
      </c>
      <c r="G23" s="7">
        <v>7906</v>
      </c>
      <c r="H23" s="7">
        <v>8164</v>
      </c>
      <c r="I23" s="7">
        <v>8785</v>
      </c>
      <c r="J23" s="7">
        <v>10780</v>
      </c>
      <c r="K23" s="7">
        <v>10693</v>
      </c>
    </row>
    <row r="24" spans="1:11" x14ac:dyDescent="0.25">
      <c r="A24" s="9" t="s">
        <v>22</v>
      </c>
      <c r="B24" s="7">
        <v>1313</v>
      </c>
      <c r="C24" s="7">
        <v>1470</v>
      </c>
      <c r="D24" s="7">
        <v>1480</v>
      </c>
      <c r="E24" s="7">
        <v>1553</v>
      </c>
      <c r="F24" s="7">
        <v>1688</v>
      </c>
      <c r="G24" s="7">
        <v>2195</v>
      </c>
      <c r="H24" s="7">
        <v>2359</v>
      </c>
      <c r="I24" s="7">
        <v>2267</v>
      </c>
      <c r="J24" s="7">
        <v>2806</v>
      </c>
      <c r="K24" s="7">
        <v>3056</v>
      </c>
    </row>
    <row r="25" spans="1:11" x14ac:dyDescent="0.25">
      <c r="A25" s="9" t="s">
        <v>23</v>
      </c>
      <c r="B25" s="7">
        <v>486</v>
      </c>
      <c r="C25" s="7">
        <v>606</v>
      </c>
      <c r="D25" s="7">
        <v>353</v>
      </c>
      <c r="E25" s="7">
        <v>322</v>
      </c>
      <c r="F25" s="7">
        <v>424</v>
      </c>
      <c r="G25" s="7">
        <v>170</v>
      </c>
      <c r="H25" s="7">
        <v>219</v>
      </c>
      <c r="I25" s="7">
        <v>448</v>
      </c>
      <c r="J25" s="7">
        <v>817</v>
      </c>
      <c r="K25" s="7">
        <v>1322</v>
      </c>
    </row>
    <row r="26" spans="1:11" x14ac:dyDescent="0.25">
      <c r="A26" s="8" t="s">
        <v>24</v>
      </c>
      <c r="B26" s="7">
        <v>353</v>
      </c>
      <c r="C26" s="7">
        <v>432</v>
      </c>
      <c r="D26" s="7">
        <v>520</v>
      </c>
      <c r="E26" s="7">
        <v>565</v>
      </c>
      <c r="F26" s="7">
        <v>1002</v>
      </c>
      <c r="G26" s="7">
        <v>1074</v>
      </c>
      <c r="H26" s="7">
        <v>1091</v>
      </c>
      <c r="I26" s="7">
        <v>1137</v>
      </c>
      <c r="J26" s="7">
        <v>1216</v>
      </c>
      <c r="K26" s="7">
        <v>1355</v>
      </c>
    </row>
    <row r="27" spans="1:11" x14ac:dyDescent="0.25">
      <c r="A27" s="8" t="s">
        <v>25</v>
      </c>
      <c r="B27" s="7">
        <v>17</v>
      </c>
      <c r="C27" s="7">
        <v>35</v>
      </c>
      <c r="D27" s="7">
        <v>26</v>
      </c>
      <c r="E27" s="7">
        <v>33</v>
      </c>
      <c r="F27" s="7">
        <v>118</v>
      </c>
      <c r="G27" s="7">
        <v>117</v>
      </c>
      <c r="H27" s="7">
        <v>106</v>
      </c>
      <c r="I27" s="7">
        <v>114</v>
      </c>
      <c r="J27" s="7">
        <v>334</v>
      </c>
      <c r="K27" s="7">
        <v>395</v>
      </c>
    </row>
    <row r="28" spans="1:11" x14ac:dyDescent="0.25">
      <c r="A28" s="8" t="s">
        <v>26</v>
      </c>
      <c r="B28" s="7">
        <v>6026</v>
      </c>
      <c r="C28" s="7">
        <v>6467</v>
      </c>
      <c r="D28" s="7">
        <v>7306</v>
      </c>
      <c r="E28" s="7">
        <v>8604</v>
      </c>
      <c r="F28" s="7">
        <v>9165</v>
      </c>
      <c r="G28" s="7">
        <v>10605</v>
      </c>
      <c r="H28" s="7">
        <v>11879</v>
      </c>
      <c r="I28" s="7">
        <v>13344</v>
      </c>
      <c r="J28" s="7">
        <v>13926</v>
      </c>
      <c r="K28" s="7">
        <v>14415</v>
      </c>
    </row>
    <row r="29" spans="1:11" x14ac:dyDescent="0.25">
      <c r="A29" s="8" t="s">
        <v>27</v>
      </c>
      <c r="B29" s="7">
        <v>1875</v>
      </c>
      <c r="C29" s="7">
        <v>1977</v>
      </c>
      <c r="D29" s="7">
        <v>2079</v>
      </c>
      <c r="E29" s="7">
        <v>2544</v>
      </c>
      <c r="F29" s="7">
        <v>2409</v>
      </c>
      <c r="G29" s="7">
        <v>2606</v>
      </c>
      <c r="H29" s="7">
        <v>2987</v>
      </c>
      <c r="I29" s="7">
        <v>3201</v>
      </c>
      <c r="J29" s="7">
        <v>3644</v>
      </c>
      <c r="K29" s="7">
        <v>3744</v>
      </c>
    </row>
    <row r="30" spans="1:11" x14ac:dyDescent="0.25">
      <c r="A30" s="8" t="s">
        <v>28</v>
      </c>
      <c r="B30" s="7">
        <v>4151</v>
      </c>
      <c r="C30" s="7">
        <v>4476</v>
      </c>
      <c r="D30" s="7">
        <v>5214</v>
      </c>
      <c r="E30" s="7">
        <v>6054</v>
      </c>
      <c r="F30" s="7">
        <v>6748</v>
      </c>
      <c r="G30" s="7">
        <v>7995</v>
      </c>
      <c r="H30" s="7">
        <v>8879</v>
      </c>
      <c r="I30" s="7">
        <v>10120</v>
      </c>
      <c r="J30" s="7">
        <v>10277</v>
      </c>
      <c r="K30" s="7">
        <v>10649</v>
      </c>
    </row>
    <row r="31" spans="1:11" x14ac:dyDescent="0.25">
      <c r="A31" s="9" t="s">
        <v>29</v>
      </c>
      <c r="B31" s="7">
        <v>3456</v>
      </c>
      <c r="C31" s="7">
        <v>3672</v>
      </c>
      <c r="D31" s="7">
        <v>4320</v>
      </c>
      <c r="E31" s="7">
        <v>4752</v>
      </c>
      <c r="F31" s="7">
        <v>5400</v>
      </c>
      <c r="G31" s="7">
        <v>9517.5</v>
      </c>
      <c r="H31" s="7">
        <v>7990</v>
      </c>
      <c r="I31" s="7">
        <v>9165</v>
      </c>
      <c r="J31" s="7">
        <v>9870</v>
      </c>
      <c r="K31" s="7">
        <v>12455</v>
      </c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s="8" t="s">
        <v>30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5">
      <c r="A41" s="11" t="s">
        <v>14</v>
      </c>
      <c r="B41" s="10">
        <v>44926</v>
      </c>
      <c r="C41" s="10">
        <v>45016</v>
      </c>
      <c r="D41" s="10">
        <v>45107</v>
      </c>
      <c r="E41" s="10">
        <v>45199</v>
      </c>
      <c r="F41" s="10">
        <v>45291</v>
      </c>
      <c r="G41" s="10">
        <v>45382</v>
      </c>
      <c r="H41" s="10">
        <v>45473</v>
      </c>
      <c r="I41" s="10">
        <v>45565</v>
      </c>
      <c r="J41" s="10">
        <v>45657</v>
      </c>
      <c r="K41" s="10">
        <v>45747</v>
      </c>
    </row>
    <row r="42" spans="1:11" x14ac:dyDescent="0.25">
      <c r="A42" s="9" t="s">
        <v>15</v>
      </c>
      <c r="B42" s="7">
        <v>15597</v>
      </c>
      <c r="C42" s="7">
        <v>15215</v>
      </c>
      <c r="D42" s="7">
        <v>15496</v>
      </c>
      <c r="E42" s="7">
        <v>15623</v>
      </c>
      <c r="F42" s="7">
        <v>15567</v>
      </c>
      <c r="G42" s="7">
        <v>15210</v>
      </c>
      <c r="H42" s="7">
        <v>15707</v>
      </c>
      <c r="I42" s="7">
        <v>15926</v>
      </c>
      <c r="J42" s="7">
        <v>15818</v>
      </c>
      <c r="K42" s="7">
        <v>15670</v>
      </c>
    </row>
    <row r="43" spans="1:11" x14ac:dyDescent="0.25">
      <c r="A43" s="9" t="s">
        <v>31</v>
      </c>
      <c r="B43" s="7">
        <v>11903</v>
      </c>
      <c r="C43" s="7">
        <v>11643</v>
      </c>
      <c r="D43" s="7">
        <v>11832</v>
      </c>
      <c r="E43" s="7">
        <v>11828</v>
      </c>
      <c r="F43" s="7">
        <v>11902</v>
      </c>
      <c r="G43" s="7">
        <v>11675</v>
      </c>
      <c r="H43" s="7">
        <v>11965</v>
      </c>
      <c r="I43" s="7">
        <v>12139</v>
      </c>
      <c r="J43" s="7">
        <v>12123</v>
      </c>
      <c r="K43" s="7">
        <v>12052</v>
      </c>
    </row>
    <row r="44" spans="1:11" x14ac:dyDescent="0.25">
      <c r="A44" s="9" t="s">
        <v>23</v>
      </c>
      <c r="B44" s="7">
        <v>7</v>
      </c>
      <c r="C44" s="7">
        <v>240</v>
      </c>
      <c r="D44" s="7">
        <v>146</v>
      </c>
      <c r="E44" s="7">
        <v>178</v>
      </c>
      <c r="F44" s="7">
        <v>184</v>
      </c>
      <c r="G44" s="7">
        <v>309</v>
      </c>
      <c r="H44" s="7">
        <v>209</v>
      </c>
      <c r="I44" s="7">
        <v>203</v>
      </c>
      <c r="J44" s="7">
        <v>740</v>
      </c>
      <c r="K44" s="7">
        <v>171</v>
      </c>
    </row>
    <row r="45" spans="1:11" x14ac:dyDescent="0.25">
      <c r="A45" s="9" t="s">
        <v>24</v>
      </c>
      <c r="B45" s="7">
        <v>293</v>
      </c>
      <c r="C45" s="7">
        <v>291</v>
      </c>
      <c r="D45" s="7">
        <v>286</v>
      </c>
      <c r="E45" s="7">
        <v>297</v>
      </c>
      <c r="F45" s="7">
        <v>313</v>
      </c>
      <c r="G45" s="7">
        <v>320</v>
      </c>
      <c r="H45" s="7">
        <v>329</v>
      </c>
      <c r="I45" s="7">
        <v>338</v>
      </c>
      <c r="J45" s="7">
        <v>341</v>
      </c>
      <c r="K45" s="7">
        <v>347</v>
      </c>
    </row>
    <row r="46" spans="1:11" x14ac:dyDescent="0.25">
      <c r="A46" s="9" t="s">
        <v>25</v>
      </c>
      <c r="B46" s="7">
        <v>29</v>
      </c>
      <c r="C46" s="7">
        <v>29</v>
      </c>
      <c r="D46" s="7">
        <v>50</v>
      </c>
      <c r="E46" s="7">
        <v>88</v>
      </c>
      <c r="F46" s="7">
        <v>91</v>
      </c>
      <c r="G46" s="7">
        <v>105</v>
      </c>
      <c r="H46" s="7">
        <v>93</v>
      </c>
      <c r="I46" s="7">
        <v>110</v>
      </c>
      <c r="J46" s="7">
        <v>112</v>
      </c>
      <c r="K46" s="7">
        <v>80</v>
      </c>
    </row>
    <row r="47" spans="1:11" x14ac:dyDescent="0.25">
      <c r="A47" s="9" t="s">
        <v>26</v>
      </c>
      <c r="B47" s="7">
        <v>3379</v>
      </c>
      <c r="C47" s="7">
        <v>3492</v>
      </c>
      <c r="D47" s="7">
        <v>3474</v>
      </c>
      <c r="E47" s="7">
        <v>3588</v>
      </c>
      <c r="F47" s="7">
        <v>3445</v>
      </c>
      <c r="G47" s="7">
        <v>3419</v>
      </c>
      <c r="H47" s="7">
        <v>3529</v>
      </c>
      <c r="I47" s="7">
        <v>3542</v>
      </c>
      <c r="J47" s="7">
        <v>3982</v>
      </c>
      <c r="K47" s="7">
        <v>3362</v>
      </c>
    </row>
    <row r="48" spans="1:11" x14ac:dyDescent="0.25">
      <c r="A48" s="9" t="s">
        <v>27</v>
      </c>
      <c r="B48" s="7">
        <v>898</v>
      </c>
      <c r="C48" s="7">
        <v>891</v>
      </c>
      <c r="D48" s="7">
        <v>918</v>
      </c>
      <c r="E48" s="7">
        <v>931</v>
      </c>
      <c r="F48" s="7">
        <v>937</v>
      </c>
      <c r="G48" s="7">
        <v>858</v>
      </c>
      <c r="H48" s="7">
        <v>917</v>
      </c>
      <c r="I48" s="7">
        <v>947</v>
      </c>
      <c r="J48" s="7">
        <v>993</v>
      </c>
      <c r="K48" s="7">
        <v>887</v>
      </c>
    </row>
    <row r="49" spans="1:11" x14ac:dyDescent="0.25">
      <c r="A49" s="9" t="s">
        <v>28</v>
      </c>
      <c r="B49" s="7">
        <v>2474</v>
      </c>
      <c r="C49" s="7">
        <v>2600</v>
      </c>
      <c r="D49" s="7">
        <v>2554</v>
      </c>
      <c r="E49" s="7">
        <v>2656</v>
      </c>
      <c r="F49" s="7">
        <v>2509</v>
      </c>
      <c r="G49" s="7">
        <v>2558</v>
      </c>
      <c r="H49" s="7">
        <v>2610</v>
      </c>
      <c r="I49" s="7">
        <v>2591</v>
      </c>
      <c r="J49" s="7">
        <v>2984</v>
      </c>
      <c r="K49" s="7">
        <v>2464</v>
      </c>
    </row>
    <row r="50" spans="1:11" x14ac:dyDescent="0.25">
      <c r="A50" s="9" t="s">
        <v>32</v>
      </c>
      <c r="B50" s="7">
        <v>3694</v>
      </c>
      <c r="C50" s="7">
        <v>3572</v>
      </c>
      <c r="D50" s="7">
        <v>3664</v>
      </c>
      <c r="E50" s="7">
        <v>3795</v>
      </c>
      <c r="F50" s="7">
        <v>3665</v>
      </c>
      <c r="G50" s="7">
        <v>3535</v>
      </c>
      <c r="H50" s="7">
        <v>3742</v>
      </c>
      <c r="I50" s="7">
        <v>3787</v>
      </c>
      <c r="J50" s="7">
        <v>3695</v>
      </c>
      <c r="K50" s="7">
        <v>3618</v>
      </c>
    </row>
    <row r="51" spans="1:11" x14ac:dyDescent="0.25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8" t="s">
        <v>33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11" t="s">
        <v>14</v>
      </c>
      <c r="B56" s="10">
        <v>42460</v>
      </c>
      <c r="C56" s="10">
        <v>42825</v>
      </c>
      <c r="D56" s="10">
        <v>43190</v>
      </c>
      <c r="E56" s="10">
        <v>43555</v>
      </c>
      <c r="F56" s="10">
        <v>43921</v>
      </c>
      <c r="G56" s="10">
        <v>44286</v>
      </c>
      <c r="H56" s="10">
        <v>44651</v>
      </c>
      <c r="I56" s="10">
        <v>45016</v>
      </c>
      <c r="J56" s="10">
        <v>45382</v>
      </c>
      <c r="K56" s="10">
        <v>45747</v>
      </c>
    </row>
    <row r="57" spans="1:11" x14ac:dyDescent="0.25">
      <c r="A57" s="9" t="s">
        <v>34</v>
      </c>
      <c r="B57" s="31">
        <v>216</v>
      </c>
      <c r="C57" s="31">
        <v>216</v>
      </c>
      <c r="D57" s="31">
        <v>216</v>
      </c>
      <c r="E57" s="31">
        <v>216</v>
      </c>
      <c r="F57" s="31">
        <v>216</v>
      </c>
      <c r="G57" s="31">
        <v>235</v>
      </c>
      <c r="H57" s="31">
        <v>235</v>
      </c>
      <c r="I57" s="31">
        <v>235</v>
      </c>
      <c r="J57" s="31">
        <v>235</v>
      </c>
      <c r="K57" s="31">
        <v>235</v>
      </c>
    </row>
    <row r="58" spans="1:11" x14ac:dyDescent="0.25">
      <c r="A58" s="9" t="s">
        <v>35</v>
      </c>
      <c r="B58" s="31">
        <v>6357</v>
      </c>
      <c r="C58" s="31">
        <v>6528</v>
      </c>
      <c r="D58" s="31">
        <v>7065</v>
      </c>
      <c r="E58" s="31">
        <v>7651</v>
      </c>
      <c r="F58" s="31">
        <v>8013</v>
      </c>
      <c r="G58" s="31">
        <v>47439</v>
      </c>
      <c r="H58" s="31">
        <v>48826</v>
      </c>
      <c r="I58" s="31">
        <v>50069</v>
      </c>
      <c r="J58" s="31">
        <v>50983</v>
      </c>
      <c r="K58" s="31">
        <v>49167</v>
      </c>
    </row>
    <row r="59" spans="1:11" x14ac:dyDescent="0.25">
      <c r="A59" s="9" t="s">
        <v>36</v>
      </c>
      <c r="B59" s="31">
        <v>177</v>
      </c>
      <c r="C59" s="31">
        <v>277</v>
      </c>
      <c r="D59" s="31"/>
      <c r="E59" s="31">
        <v>99</v>
      </c>
      <c r="F59" s="31"/>
      <c r="G59" s="31"/>
      <c r="H59" s="31">
        <v>1043</v>
      </c>
      <c r="I59" s="31">
        <v>1219</v>
      </c>
      <c r="J59" s="31">
        <v>1484</v>
      </c>
      <c r="K59" s="31">
        <v>1648</v>
      </c>
    </row>
    <row r="60" spans="1:11" x14ac:dyDescent="0.25">
      <c r="A60" s="9" t="s">
        <v>37</v>
      </c>
      <c r="B60" s="31">
        <v>8043</v>
      </c>
      <c r="C60" s="31">
        <v>8685</v>
      </c>
      <c r="D60" s="31">
        <v>10581</v>
      </c>
      <c r="E60" s="31">
        <v>10663</v>
      </c>
      <c r="F60" s="31">
        <v>11924</v>
      </c>
      <c r="G60" s="31">
        <v>21066</v>
      </c>
      <c r="H60" s="31">
        <v>20402</v>
      </c>
      <c r="I60" s="31">
        <v>21554</v>
      </c>
      <c r="J60" s="31">
        <v>25787</v>
      </c>
      <c r="K60" s="31">
        <v>28813</v>
      </c>
    </row>
    <row r="61" spans="1:11" x14ac:dyDescent="0.25">
      <c r="A61" s="8" t="s">
        <v>38</v>
      </c>
      <c r="B61" s="7">
        <v>14793</v>
      </c>
      <c r="C61" s="7">
        <v>15706</v>
      </c>
      <c r="D61" s="7">
        <v>17862</v>
      </c>
      <c r="E61" s="7">
        <v>18629</v>
      </c>
      <c r="F61" s="7">
        <v>20153</v>
      </c>
      <c r="G61" s="7">
        <v>68740</v>
      </c>
      <c r="H61" s="7">
        <v>70506</v>
      </c>
      <c r="I61" s="7">
        <v>73077</v>
      </c>
      <c r="J61" s="7">
        <v>78489</v>
      </c>
      <c r="K61" s="7">
        <v>79863</v>
      </c>
    </row>
    <row r="62" spans="1:11" x14ac:dyDescent="0.25">
      <c r="A62" s="9" t="s">
        <v>39</v>
      </c>
      <c r="B62" s="7">
        <v>3258</v>
      </c>
      <c r="C62" s="7">
        <v>4419</v>
      </c>
      <c r="D62" s="7">
        <v>4528</v>
      </c>
      <c r="E62" s="7">
        <v>4715</v>
      </c>
      <c r="F62" s="7">
        <v>5479</v>
      </c>
      <c r="G62" s="7">
        <v>51443</v>
      </c>
      <c r="H62" s="7">
        <v>51473</v>
      </c>
      <c r="I62" s="7">
        <v>52678</v>
      </c>
      <c r="J62" s="7">
        <v>53744</v>
      </c>
      <c r="K62" s="7">
        <v>54335</v>
      </c>
    </row>
    <row r="63" spans="1:11" x14ac:dyDescent="0.25">
      <c r="A63" s="9" t="s">
        <v>40</v>
      </c>
      <c r="B63" s="7">
        <v>408</v>
      </c>
      <c r="C63" s="7">
        <v>229</v>
      </c>
      <c r="D63" s="7">
        <v>461</v>
      </c>
      <c r="E63" s="7">
        <v>406</v>
      </c>
      <c r="F63" s="7">
        <v>597</v>
      </c>
      <c r="G63" s="7">
        <v>745</v>
      </c>
      <c r="H63" s="7">
        <v>1313</v>
      </c>
      <c r="I63" s="7">
        <v>1132</v>
      </c>
      <c r="J63" s="7">
        <v>1025</v>
      </c>
      <c r="K63" s="7">
        <v>1009</v>
      </c>
    </row>
    <row r="64" spans="1:11" x14ac:dyDescent="0.25">
      <c r="A64" s="9" t="s">
        <v>41</v>
      </c>
      <c r="B64" s="7">
        <v>2592</v>
      </c>
      <c r="C64" s="7">
        <v>3794</v>
      </c>
      <c r="D64" s="7">
        <v>2873</v>
      </c>
      <c r="E64" s="7">
        <v>2716</v>
      </c>
      <c r="F64" s="7">
        <v>1255</v>
      </c>
      <c r="G64" s="7">
        <v>2709</v>
      </c>
      <c r="H64" s="7">
        <v>3521</v>
      </c>
      <c r="I64" s="7">
        <v>2882</v>
      </c>
      <c r="J64" s="7">
        <v>4625</v>
      </c>
      <c r="K64" s="7">
        <v>3810</v>
      </c>
    </row>
    <row r="65" spans="1:11" x14ac:dyDescent="0.25">
      <c r="A65" s="9" t="s">
        <v>42</v>
      </c>
      <c r="B65" s="7">
        <v>8535</v>
      </c>
      <c r="C65" s="7">
        <v>7264</v>
      </c>
      <c r="D65" s="7">
        <v>10000</v>
      </c>
      <c r="E65" s="7">
        <v>10792</v>
      </c>
      <c r="F65" s="7">
        <v>12822</v>
      </c>
      <c r="G65" s="7">
        <v>13843</v>
      </c>
      <c r="H65" s="7">
        <v>14199</v>
      </c>
      <c r="I65" s="7">
        <v>16385</v>
      </c>
      <c r="J65" s="7">
        <v>19095</v>
      </c>
      <c r="K65" s="7">
        <v>20709</v>
      </c>
    </row>
    <row r="66" spans="1:11" x14ac:dyDescent="0.25">
      <c r="A66" s="8" t="s">
        <v>38</v>
      </c>
      <c r="B66" s="7">
        <v>14793</v>
      </c>
      <c r="C66" s="7">
        <v>15706</v>
      </c>
      <c r="D66" s="7">
        <v>17862</v>
      </c>
      <c r="E66" s="7">
        <v>18629</v>
      </c>
      <c r="F66" s="7">
        <v>20153</v>
      </c>
      <c r="G66" s="7">
        <v>68740</v>
      </c>
      <c r="H66" s="7">
        <v>70506</v>
      </c>
      <c r="I66" s="7">
        <v>73077</v>
      </c>
      <c r="J66" s="7">
        <v>78489</v>
      </c>
      <c r="K66" s="7">
        <v>79863</v>
      </c>
    </row>
    <row r="67" spans="1:11" x14ac:dyDescent="0.25">
      <c r="A67" s="9" t="s">
        <v>43</v>
      </c>
      <c r="B67" s="7">
        <v>1264</v>
      </c>
      <c r="C67" s="7">
        <v>1085</v>
      </c>
      <c r="D67" s="7">
        <v>1310</v>
      </c>
      <c r="E67" s="7">
        <v>1816</v>
      </c>
      <c r="F67" s="7">
        <v>1149</v>
      </c>
      <c r="G67" s="7">
        <v>1758</v>
      </c>
      <c r="H67" s="7">
        <v>2236</v>
      </c>
      <c r="I67" s="7">
        <v>3079</v>
      </c>
      <c r="J67" s="7">
        <v>2997</v>
      </c>
      <c r="K67" s="7">
        <v>3819</v>
      </c>
    </row>
    <row r="68" spans="1:11" x14ac:dyDescent="0.25">
      <c r="A68" s="9" t="s">
        <v>44</v>
      </c>
      <c r="B68" s="7">
        <v>2726</v>
      </c>
      <c r="C68" s="7">
        <v>2541</v>
      </c>
      <c r="D68" s="7">
        <v>2513</v>
      </c>
      <c r="E68" s="7">
        <v>2574</v>
      </c>
      <c r="F68" s="7">
        <v>2767</v>
      </c>
      <c r="G68" s="7">
        <v>3579</v>
      </c>
      <c r="H68" s="7">
        <v>4096</v>
      </c>
      <c r="I68" s="7">
        <v>4251</v>
      </c>
      <c r="J68" s="7">
        <v>4022</v>
      </c>
      <c r="K68" s="7">
        <v>4415</v>
      </c>
    </row>
    <row r="69" spans="1:11" x14ac:dyDescent="0.25">
      <c r="A69" s="9" t="s">
        <v>45</v>
      </c>
      <c r="B69" s="7">
        <v>3009</v>
      </c>
      <c r="C69" s="7">
        <v>1828</v>
      </c>
      <c r="D69" s="7">
        <v>3485</v>
      </c>
      <c r="E69" s="7">
        <v>3757</v>
      </c>
      <c r="F69" s="7">
        <v>5113</v>
      </c>
      <c r="G69" s="7">
        <v>4471</v>
      </c>
      <c r="H69" s="7">
        <v>3846</v>
      </c>
      <c r="I69" s="7">
        <v>4678</v>
      </c>
      <c r="J69" s="7">
        <v>7559</v>
      </c>
      <c r="K69" s="7">
        <v>7554</v>
      </c>
    </row>
    <row r="70" spans="1:11" x14ac:dyDescent="0.25">
      <c r="A70" s="9" t="s">
        <v>46</v>
      </c>
      <c r="B70" s="7">
        <v>2163936971</v>
      </c>
      <c r="C70" s="7">
        <v>2164349639</v>
      </c>
      <c r="D70" s="7">
        <v>2164528777</v>
      </c>
      <c r="E70" s="7">
        <v>2164704405</v>
      </c>
      <c r="F70" s="7">
        <v>2164704405</v>
      </c>
      <c r="G70" s="7">
        <v>2349567819</v>
      </c>
      <c r="H70" s="7">
        <v>2349591262</v>
      </c>
      <c r="I70" s="7">
        <v>2349591262</v>
      </c>
      <c r="J70" s="7">
        <v>2349591262</v>
      </c>
      <c r="K70" s="7">
        <v>2349591262</v>
      </c>
    </row>
    <row r="71" spans="1:11" x14ac:dyDescent="0.25">
      <c r="A71" s="9" t="s">
        <v>47</v>
      </c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9" t="s">
        <v>48</v>
      </c>
      <c r="B72" s="7">
        <v>1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1</v>
      </c>
      <c r="K72" s="7">
        <v>1</v>
      </c>
    </row>
    <row r="74" spans="1:11" x14ac:dyDescent="0.25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1:11" x14ac:dyDescent="0.2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1:11" x14ac:dyDescent="0.25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25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25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1:11" x14ac:dyDescent="0.25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1:11" x14ac:dyDescent="0.25">
      <c r="A80" s="8" t="s">
        <v>49</v>
      </c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1:11" x14ac:dyDescent="0.25">
      <c r="A81" s="11" t="s">
        <v>14</v>
      </c>
      <c r="B81" s="10">
        <v>42460</v>
      </c>
      <c r="C81" s="10">
        <v>42825</v>
      </c>
      <c r="D81" s="10">
        <v>43190</v>
      </c>
      <c r="E81" s="10">
        <v>43555</v>
      </c>
      <c r="F81" s="10">
        <v>43921</v>
      </c>
      <c r="G81" s="10">
        <v>44286</v>
      </c>
      <c r="H81" s="10">
        <v>44651</v>
      </c>
      <c r="I81" s="10">
        <v>45016</v>
      </c>
      <c r="J81" s="10">
        <v>45382</v>
      </c>
      <c r="K81" s="10">
        <v>45747</v>
      </c>
    </row>
    <row r="82" spans="1:11" x14ac:dyDescent="0.25">
      <c r="A82" s="9" t="s">
        <v>50</v>
      </c>
      <c r="B82" s="7">
        <v>4171</v>
      </c>
      <c r="C82" s="7">
        <v>5185</v>
      </c>
      <c r="D82" s="7">
        <v>6059</v>
      </c>
      <c r="E82" s="7">
        <v>5800</v>
      </c>
      <c r="F82" s="7">
        <v>7623</v>
      </c>
      <c r="G82" s="7">
        <v>9163</v>
      </c>
      <c r="H82" s="7">
        <v>9048</v>
      </c>
      <c r="I82" s="7">
        <v>9991</v>
      </c>
      <c r="J82" s="7">
        <v>15469</v>
      </c>
      <c r="K82" s="7">
        <v>11886</v>
      </c>
    </row>
    <row r="83" spans="1:11" x14ac:dyDescent="0.25">
      <c r="A83" s="9" t="s">
        <v>51</v>
      </c>
      <c r="B83" s="7">
        <v>-282</v>
      </c>
      <c r="C83" s="7">
        <v>-1173</v>
      </c>
      <c r="D83" s="7">
        <v>-1063</v>
      </c>
      <c r="E83" s="7">
        <v>-438</v>
      </c>
      <c r="F83" s="7">
        <v>1791</v>
      </c>
      <c r="G83" s="7">
        <v>-1228</v>
      </c>
      <c r="H83" s="7">
        <v>-1728</v>
      </c>
      <c r="I83" s="7">
        <v>-1484</v>
      </c>
      <c r="J83" s="7">
        <v>-5324</v>
      </c>
      <c r="K83" s="7">
        <v>6473</v>
      </c>
    </row>
    <row r="84" spans="1:11" x14ac:dyDescent="0.25">
      <c r="A84" s="9" t="s">
        <v>52</v>
      </c>
      <c r="B84" s="7">
        <v>-3864</v>
      </c>
      <c r="C84" s="7">
        <v>-4214</v>
      </c>
      <c r="D84" s="7">
        <v>-4975</v>
      </c>
      <c r="E84" s="7">
        <v>-5390</v>
      </c>
      <c r="F84" s="7">
        <v>-6819</v>
      </c>
      <c r="G84" s="7">
        <v>-9309</v>
      </c>
      <c r="H84" s="7">
        <v>-8015</v>
      </c>
      <c r="I84" s="7">
        <v>-8953</v>
      </c>
      <c r="J84" s="7">
        <v>-10034</v>
      </c>
      <c r="K84" s="7">
        <v>-13101</v>
      </c>
    </row>
    <row r="85" spans="1:11" x14ac:dyDescent="0.25">
      <c r="A85" s="9" t="s">
        <v>53</v>
      </c>
      <c r="B85" s="7">
        <v>25</v>
      </c>
      <c r="C85" s="7">
        <v>-202</v>
      </c>
      <c r="D85" s="7">
        <v>21</v>
      </c>
      <c r="E85" s="7">
        <v>-28</v>
      </c>
      <c r="F85" s="7">
        <v>2595</v>
      </c>
      <c r="G85" s="7">
        <v>-1374</v>
      </c>
      <c r="H85" s="7">
        <v>-695</v>
      </c>
      <c r="I85" s="7">
        <v>-446</v>
      </c>
      <c r="J85" s="7">
        <v>111</v>
      </c>
      <c r="K85" s="7">
        <v>5258</v>
      </c>
    </row>
    <row r="86" spans="1:11" x14ac:dyDescent="0.25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1:11" x14ac:dyDescent="0.25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1:11" x14ac:dyDescent="0.2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1:11" x14ac:dyDescent="0.2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1:11" x14ac:dyDescent="0.25">
      <c r="A90" s="8" t="s">
        <v>54</v>
      </c>
      <c r="B90" s="7">
        <v>869.5</v>
      </c>
      <c r="C90" s="7">
        <v>911.75</v>
      </c>
      <c r="D90" s="7">
        <v>1333.35</v>
      </c>
      <c r="E90" s="7">
        <v>1706.8</v>
      </c>
      <c r="F90" s="7">
        <v>2298.5</v>
      </c>
      <c r="G90" s="7">
        <v>2431.5</v>
      </c>
      <c r="H90" s="7">
        <v>2048.65</v>
      </c>
      <c r="I90" s="7">
        <v>2560.35</v>
      </c>
      <c r="J90" s="7">
        <v>2264.35</v>
      </c>
      <c r="K90" s="7">
        <v>2258.85</v>
      </c>
    </row>
    <row r="92" spans="1:11" x14ac:dyDescent="0.25">
      <c r="A92" s="8" t="s">
        <v>55</v>
      </c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x14ac:dyDescent="0.25">
      <c r="A93" s="9" t="s">
        <v>56</v>
      </c>
      <c r="B93" s="12">
        <v>216.39</v>
      </c>
      <c r="C93" s="12">
        <v>216.43</v>
      </c>
      <c r="D93" s="12">
        <v>216.45</v>
      </c>
      <c r="E93" s="12">
        <v>216.47</v>
      </c>
      <c r="F93" s="12">
        <v>216.48</v>
      </c>
      <c r="G93" s="12">
        <v>234.96</v>
      </c>
      <c r="H93" s="12">
        <v>234.96</v>
      </c>
      <c r="I93" s="12">
        <v>234.96</v>
      </c>
      <c r="J93" s="12">
        <v>234.96</v>
      </c>
      <c r="K93" s="12">
        <v>234.96</v>
      </c>
    </row>
    <row r="95" spans="1:11" x14ac:dyDescent="0.25">
      <c r="A95" s="35" t="s">
        <v>87</v>
      </c>
    </row>
    <row r="96" spans="1:11" x14ac:dyDescent="0.25">
      <c r="B96" s="36"/>
    </row>
    <row r="97" spans="1:13" x14ac:dyDescent="0.25">
      <c r="B97" s="37">
        <v>41699</v>
      </c>
      <c r="C97" s="37">
        <v>42064</v>
      </c>
      <c r="D97" s="37">
        <v>42430</v>
      </c>
      <c r="E97" s="37">
        <v>42795</v>
      </c>
      <c r="F97" s="37">
        <v>43160</v>
      </c>
      <c r="G97" s="37">
        <v>43525</v>
      </c>
      <c r="H97" s="37">
        <v>43891</v>
      </c>
      <c r="I97" s="37">
        <v>44256</v>
      </c>
      <c r="J97" s="37">
        <v>44621</v>
      </c>
      <c r="K97" s="37">
        <v>44986</v>
      </c>
      <c r="L97" s="37">
        <v>45352</v>
      </c>
      <c r="M97" s="37">
        <v>45717</v>
      </c>
    </row>
    <row r="98" spans="1:13" x14ac:dyDescent="0.25">
      <c r="A98" s="35" t="s">
        <v>88</v>
      </c>
      <c r="B98" s="36">
        <v>3818</v>
      </c>
      <c r="C98" s="36">
        <v>3292</v>
      </c>
      <c r="D98" s="36">
        <v>4171</v>
      </c>
      <c r="E98" s="36">
        <v>5185</v>
      </c>
      <c r="F98" s="36">
        <v>6059</v>
      </c>
      <c r="G98" s="36">
        <v>5800</v>
      </c>
      <c r="H98" s="36">
        <v>7623</v>
      </c>
      <c r="I98" s="36">
        <v>9163</v>
      </c>
      <c r="J98" s="36">
        <v>9048</v>
      </c>
      <c r="K98" s="36">
        <v>9991</v>
      </c>
      <c r="L98" s="36">
        <v>15469</v>
      </c>
      <c r="M98" s="36">
        <v>11886</v>
      </c>
    </row>
    <row r="99" spans="1:13" x14ac:dyDescent="0.25">
      <c r="A99" t="s">
        <v>89</v>
      </c>
      <c r="B99" s="36">
        <v>4802</v>
      </c>
      <c r="C99" s="36">
        <v>5510</v>
      </c>
      <c r="D99" s="36">
        <v>6025</v>
      </c>
      <c r="E99" s="36">
        <v>6512</v>
      </c>
      <c r="F99" s="36">
        <v>7485</v>
      </c>
      <c r="G99" s="36">
        <v>8909</v>
      </c>
      <c r="H99" s="36">
        <v>9723</v>
      </c>
      <c r="I99" s="36">
        <v>11672</v>
      </c>
      <c r="J99" s="36">
        <v>12829</v>
      </c>
      <c r="K99" s="36">
        <v>14089</v>
      </c>
      <c r="L99" s="36">
        <v>14537</v>
      </c>
      <c r="M99" s="36">
        <v>14942</v>
      </c>
    </row>
    <row r="100" spans="1:13" x14ac:dyDescent="0.25">
      <c r="A100" t="s">
        <v>43</v>
      </c>
      <c r="B100" s="36">
        <v>-17</v>
      </c>
      <c r="C100" s="36">
        <v>3</v>
      </c>
      <c r="D100" s="36">
        <v>-257</v>
      </c>
      <c r="E100" s="36">
        <v>173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</row>
    <row r="101" spans="1:13" x14ac:dyDescent="0.25">
      <c r="A101" t="s">
        <v>44</v>
      </c>
      <c r="B101" s="36">
        <v>-201</v>
      </c>
      <c r="C101" s="36">
        <v>91</v>
      </c>
      <c r="D101" s="36">
        <v>89</v>
      </c>
      <c r="E101" s="36">
        <v>37</v>
      </c>
      <c r="F101" s="36">
        <v>-146</v>
      </c>
      <c r="G101" s="36">
        <v>-195</v>
      </c>
      <c r="H101" s="36">
        <v>-331</v>
      </c>
      <c r="I101" s="36">
        <v>-543</v>
      </c>
      <c r="J101" s="36">
        <v>-758</v>
      </c>
      <c r="K101" s="36">
        <v>-339</v>
      </c>
      <c r="L101" s="36">
        <v>74</v>
      </c>
      <c r="M101" s="36">
        <v>-584</v>
      </c>
    </row>
    <row r="102" spans="1:13" x14ac:dyDescent="0.25">
      <c r="A102" t="s">
        <v>90</v>
      </c>
      <c r="B102" s="36">
        <v>546</v>
      </c>
      <c r="C102" s="36">
        <v>-327</v>
      </c>
      <c r="D102" s="36">
        <v>164</v>
      </c>
      <c r="E102" s="36">
        <v>501</v>
      </c>
      <c r="F102" s="36">
        <v>0</v>
      </c>
      <c r="G102" s="36">
        <v>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</row>
    <row r="103" spans="1:13" x14ac:dyDescent="0.25">
      <c r="A103" t="s">
        <v>91</v>
      </c>
      <c r="B103" s="36">
        <v>-4</v>
      </c>
      <c r="C103" s="36">
        <v>-148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</row>
    <row r="104" spans="1:13" x14ac:dyDescent="0.25">
      <c r="A104" t="s">
        <v>92</v>
      </c>
      <c r="B104" s="36">
        <v>81</v>
      </c>
      <c r="C104" s="36">
        <v>38</v>
      </c>
      <c r="D104" s="36">
        <v>-77</v>
      </c>
      <c r="E104" s="36">
        <v>-99</v>
      </c>
      <c r="F104" s="36">
        <v>982</v>
      </c>
      <c r="G104" s="36">
        <v>-147</v>
      </c>
      <c r="H104" s="36">
        <v>742</v>
      </c>
      <c r="I104" s="36">
        <v>442</v>
      </c>
      <c r="J104" s="36">
        <v>-242</v>
      </c>
      <c r="K104" s="36">
        <v>-621</v>
      </c>
      <c r="L104" s="36">
        <v>1239</v>
      </c>
      <c r="M104" s="36">
        <v>-204</v>
      </c>
    </row>
    <row r="105" spans="1:13" x14ac:dyDescent="0.25">
      <c r="A105" t="s">
        <v>93</v>
      </c>
      <c r="B105" s="36">
        <v>405</v>
      </c>
      <c r="C105" s="36">
        <v>-342</v>
      </c>
      <c r="D105" s="36">
        <v>-81</v>
      </c>
      <c r="E105" s="36">
        <v>566</v>
      </c>
      <c r="F105" s="36">
        <v>836</v>
      </c>
      <c r="G105" s="36">
        <v>-342</v>
      </c>
      <c r="H105" s="36">
        <v>411</v>
      </c>
      <c r="I105" s="36">
        <v>-101</v>
      </c>
      <c r="J105" s="36">
        <v>-1000</v>
      </c>
      <c r="K105" s="36">
        <v>-960</v>
      </c>
      <c r="L105" s="36">
        <v>1313</v>
      </c>
      <c r="M105" s="36">
        <v>-788</v>
      </c>
    </row>
    <row r="106" spans="1:13" x14ac:dyDescent="0.25">
      <c r="A106" t="s">
        <v>94</v>
      </c>
      <c r="B106" s="36">
        <v>-1384</v>
      </c>
      <c r="C106" s="36">
        <v>-1862</v>
      </c>
      <c r="D106" s="36">
        <v>-1765</v>
      </c>
      <c r="E106" s="36">
        <v>-1859</v>
      </c>
      <c r="F106" s="36">
        <v>-2264</v>
      </c>
      <c r="G106" s="36">
        <v>-2767</v>
      </c>
      <c r="H106" s="36">
        <v>-2505</v>
      </c>
      <c r="I106" s="36">
        <v>-2407</v>
      </c>
      <c r="J106" s="36">
        <v>-2784</v>
      </c>
      <c r="K106" s="36">
        <v>-3138</v>
      </c>
      <c r="L106" s="36">
        <v>-381</v>
      </c>
      <c r="M106" s="36">
        <v>-2268</v>
      </c>
    </row>
    <row r="107" spans="1:13" x14ac:dyDescent="0.25">
      <c r="A107" t="s">
        <v>95</v>
      </c>
      <c r="B107" s="36">
        <v>-5</v>
      </c>
      <c r="C107" s="36">
        <v>-14</v>
      </c>
      <c r="D107" s="36">
        <v>-8</v>
      </c>
      <c r="E107" s="36">
        <v>-21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</row>
    <row r="108" spans="1:13" x14ac:dyDescent="0.25">
      <c r="A108" t="s">
        <v>96</v>
      </c>
      <c r="B108" s="36">
        <v>0</v>
      </c>
      <c r="C108" s="36">
        <v>0</v>
      </c>
      <c r="D108" s="36">
        <v>0</v>
      </c>
      <c r="E108" s="36">
        <v>-13</v>
      </c>
      <c r="F108" s="36">
        <v>2</v>
      </c>
      <c r="G108" s="36">
        <v>0</v>
      </c>
      <c r="H108" s="36">
        <v>-6</v>
      </c>
      <c r="I108" s="36">
        <v>-1</v>
      </c>
      <c r="J108" s="36">
        <v>3</v>
      </c>
      <c r="K108" s="36">
        <v>0</v>
      </c>
      <c r="L108" s="36">
        <v>0</v>
      </c>
      <c r="M108" s="36">
        <v>0</v>
      </c>
    </row>
    <row r="109" spans="1:13" x14ac:dyDescent="0.25">
      <c r="A109" s="35" t="s">
        <v>97</v>
      </c>
      <c r="B109" s="36">
        <v>-475</v>
      </c>
      <c r="C109" s="36">
        <v>138</v>
      </c>
      <c r="D109" s="36">
        <v>-282</v>
      </c>
      <c r="E109" s="36">
        <v>-1173</v>
      </c>
      <c r="F109" s="36">
        <v>-1063</v>
      </c>
      <c r="G109" s="36">
        <v>-438</v>
      </c>
      <c r="H109" s="36">
        <v>1791</v>
      </c>
      <c r="I109" s="36">
        <v>-1228</v>
      </c>
      <c r="J109" s="36">
        <v>-1728</v>
      </c>
      <c r="K109" s="36">
        <v>-1484</v>
      </c>
      <c r="L109" s="36">
        <v>-5324</v>
      </c>
      <c r="M109" s="36">
        <v>6473</v>
      </c>
    </row>
    <row r="110" spans="1:13" x14ac:dyDescent="0.25">
      <c r="A110" t="s">
        <v>98</v>
      </c>
      <c r="B110" s="36">
        <v>-606</v>
      </c>
      <c r="C110" s="36">
        <v>-606</v>
      </c>
      <c r="D110" s="36">
        <v>-810</v>
      </c>
      <c r="E110" s="36">
        <v>-1113</v>
      </c>
      <c r="F110" s="36">
        <v>-895</v>
      </c>
      <c r="G110" s="36">
        <v>-767</v>
      </c>
      <c r="H110" s="36">
        <v>-862</v>
      </c>
      <c r="I110" s="36">
        <v>-4163</v>
      </c>
      <c r="J110" s="36">
        <v>-1228</v>
      </c>
      <c r="K110" s="36">
        <v>-1192</v>
      </c>
      <c r="L110" s="36">
        <v>-1477</v>
      </c>
      <c r="M110" s="36">
        <v>-1275</v>
      </c>
    </row>
    <row r="111" spans="1:13" x14ac:dyDescent="0.25">
      <c r="A111" t="s">
        <v>99</v>
      </c>
      <c r="B111" s="36">
        <v>229</v>
      </c>
      <c r="C111" s="36">
        <v>560</v>
      </c>
      <c r="D111" s="36">
        <v>99</v>
      </c>
      <c r="E111" s="36">
        <v>176</v>
      </c>
      <c r="F111" s="36">
        <v>32</v>
      </c>
      <c r="G111" s="36">
        <v>13</v>
      </c>
      <c r="H111" s="36">
        <v>52</v>
      </c>
      <c r="I111" s="36">
        <v>97</v>
      </c>
      <c r="J111" s="36">
        <v>175</v>
      </c>
      <c r="K111" s="36">
        <v>181</v>
      </c>
      <c r="L111" s="36">
        <v>20</v>
      </c>
      <c r="M111" s="36">
        <v>13</v>
      </c>
    </row>
    <row r="112" spans="1:13" x14ac:dyDescent="0.25">
      <c r="A112" t="s">
        <v>100</v>
      </c>
      <c r="B112" s="36">
        <v>-9538</v>
      </c>
      <c r="C112" s="36">
        <v>-19353</v>
      </c>
      <c r="D112" s="36">
        <v>-20666</v>
      </c>
      <c r="E112" s="36">
        <v>-31214</v>
      </c>
      <c r="F112" s="36">
        <v>-51855</v>
      </c>
      <c r="G112" s="36">
        <v>-74365</v>
      </c>
      <c r="H112" s="36">
        <v>-36090</v>
      </c>
      <c r="I112" s="36">
        <v>-39920</v>
      </c>
      <c r="J112" s="36">
        <v>-48522</v>
      </c>
      <c r="K112" s="36">
        <v>-22649</v>
      </c>
      <c r="L112" s="36">
        <v>-21337</v>
      </c>
      <c r="M112" s="36">
        <v>-22957</v>
      </c>
    </row>
    <row r="113" spans="1:13" x14ac:dyDescent="0.25">
      <c r="A113" t="s">
        <v>101</v>
      </c>
      <c r="B113" s="36">
        <v>9213</v>
      </c>
      <c r="C113" s="36">
        <v>19461</v>
      </c>
      <c r="D113" s="36">
        <v>20937</v>
      </c>
      <c r="E113" s="36">
        <v>30083</v>
      </c>
      <c r="F113" s="36">
        <v>52897</v>
      </c>
      <c r="G113" s="36">
        <v>74691</v>
      </c>
      <c r="H113" s="36">
        <v>37690</v>
      </c>
      <c r="I113" s="36">
        <v>38486</v>
      </c>
      <c r="J113" s="36">
        <v>47786</v>
      </c>
      <c r="K113" s="36">
        <v>23462</v>
      </c>
      <c r="L113" s="36">
        <v>19846</v>
      </c>
      <c r="M113" s="36">
        <v>23987</v>
      </c>
    </row>
    <row r="114" spans="1:13" x14ac:dyDescent="0.25">
      <c r="A114" t="s">
        <v>102</v>
      </c>
      <c r="B114" s="36">
        <v>232</v>
      </c>
      <c r="C114" s="36">
        <v>218</v>
      </c>
      <c r="D114" s="36">
        <v>315</v>
      </c>
      <c r="E114" s="36">
        <v>264</v>
      </c>
      <c r="F114" s="36">
        <v>297</v>
      </c>
      <c r="G114" s="36">
        <v>289</v>
      </c>
      <c r="H114" s="36">
        <v>351</v>
      </c>
      <c r="I114" s="36">
        <v>277</v>
      </c>
      <c r="J114" s="36">
        <v>161</v>
      </c>
      <c r="K114" s="36">
        <v>259</v>
      </c>
      <c r="L114" s="36">
        <v>425</v>
      </c>
      <c r="M114" s="36">
        <v>835</v>
      </c>
    </row>
    <row r="115" spans="1:13" x14ac:dyDescent="0.25">
      <c r="A115" t="s">
        <v>103</v>
      </c>
      <c r="B115" s="36">
        <v>16</v>
      </c>
      <c r="C115" s="36">
        <v>24</v>
      </c>
      <c r="D115" s="36">
        <v>33</v>
      </c>
      <c r="E115" s="36">
        <v>14</v>
      </c>
      <c r="F115" s="36">
        <v>0</v>
      </c>
      <c r="G115" s="36">
        <v>1</v>
      </c>
      <c r="H115" s="36">
        <v>1</v>
      </c>
      <c r="I115" s="36">
        <v>1</v>
      </c>
      <c r="J115" s="36">
        <v>1</v>
      </c>
      <c r="K115" s="36">
        <v>2</v>
      </c>
      <c r="L115" s="36">
        <v>3</v>
      </c>
      <c r="M115" s="36">
        <v>0</v>
      </c>
    </row>
    <row r="116" spans="1:13" x14ac:dyDescent="0.25">
      <c r="A116" t="s">
        <v>104</v>
      </c>
      <c r="B116" s="36">
        <v>-101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</row>
    <row r="117" spans="1:13" x14ac:dyDescent="0.25">
      <c r="A117" t="s">
        <v>105</v>
      </c>
      <c r="B117" s="36">
        <v>-104</v>
      </c>
      <c r="C117" s="36">
        <v>0</v>
      </c>
      <c r="D117" s="36">
        <v>0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</row>
    <row r="118" spans="1:13" x14ac:dyDescent="0.25">
      <c r="A118" t="s">
        <v>106</v>
      </c>
      <c r="B118" s="36">
        <v>0</v>
      </c>
      <c r="C118" s="36">
        <v>200</v>
      </c>
      <c r="D118" s="36">
        <v>161</v>
      </c>
      <c r="E118" s="36">
        <v>20</v>
      </c>
      <c r="F118" s="36">
        <v>73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</row>
    <row r="119" spans="1:13" x14ac:dyDescent="0.25">
      <c r="A119" t="s">
        <v>107</v>
      </c>
      <c r="B119" s="36">
        <v>0</v>
      </c>
      <c r="C119" s="36">
        <v>0</v>
      </c>
      <c r="D119" s="36">
        <v>0</v>
      </c>
      <c r="E119" s="36">
        <v>0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-334</v>
      </c>
      <c r="L119" s="36">
        <v>0</v>
      </c>
      <c r="M119" s="36">
        <v>0</v>
      </c>
    </row>
    <row r="120" spans="1:13" x14ac:dyDescent="0.25">
      <c r="A120" t="s">
        <v>108</v>
      </c>
      <c r="B120" s="36">
        <v>183</v>
      </c>
      <c r="C120" s="36">
        <v>-367</v>
      </c>
      <c r="D120" s="36">
        <v>-351</v>
      </c>
      <c r="E120" s="36">
        <v>597</v>
      </c>
      <c r="F120" s="36">
        <v>-1612</v>
      </c>
      <c r="G120" s="36">
        <v>-300</v>
      </c>
      <c r="H120" s="36">
        <v>649</v>
      </c>
      <c r="I120" s="36">
        <v>3994</v>
      </c>
      <c r="J120" s="36">
        <v>-101</v>
      </c>
      <c r="K120" s="36">
        <v>-1213</v>
      </c>
      <c r="L120" s="36">
        <v>-2804</v>
      </c>
      <c r="M120" s="36">
        <v>5870</v>
      </c>
    </row>
    <row r="121" spans="1:13" x14ac:dyDescent="0.25">
      <c r="A121" s="35" t="s">
        <v>109</v>
      </c>
      <c r="B121" s="36">
        <v>-2960</v>
      </c>
      <c r="C121" s="36">
        <v>-3462</v>
      </c>
      <c r="D121" s="36">
        <v>-3864</v>
      </c>
      <c r="E121" s="36">
        <v>-4214</v>
      </c>
      <c r="F121" s="36">
        <v>-4975</v>
      </c>
      <c r="G121" s="36">
        <v>-5390</v>
      </c>
      <c r="H121" s="36">
        <v>-6819</v>
      </c>
      <c r="I121" s="36">
        <v>-9309</v>
      </c>
      <c r="J121" s="36">
        <v>-8015</v>
      </c>
      <c r="K121" s="36">
        <v>-8953</v>
      </c>
      <c r="L121" s="36">
        <v>-10034</v>
      </c>
      <c r="M121" s="36">
        <v>-13101</v>
      </c>
    </row>
    <row r="122" spans="1:13" x14ac:dyDescent="0.25">
      <c r="A122" t="s">
        <v>110</v>
      </c>
      <c r="B122" s="36">
        <v>2</v>
      </c>
      <c r="C122" s="36">
        <v>2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</row>
    <row r="123" spans="1:13" x14ac:dyDescent="0.25">
      <c r="A123" t="s">
        <v>111</v>
      </c>
      <c r="B123" s="36">
        <v>0</v>
      </c>
      <c r="C123" s="36">
        <v>0</v>
      </c>
      <c r="D123" s="36">
        <v>177</v>
      </c>
      <c r="E123" s="36">
        <v>460</v>
      </c>
      <c r="F123" s="36">
        <v>0</v>
      </c>
      <c r="G123" s="36">
        <v>99</v>
      </c>
      <c r="H123" s="36">
        <v>0</v>
      </c>
      <c r="I123" s="36">
        <v>188</v>
      </c>
      <c r="J123" s="36">
        <v>55</v>
      </c>
      <c r="K123" s="36">
        <v>286</v>
      </c>
      <c r="L123" s="36">
        <v>0</v>
      </c>
      <c r="M123" s="36">
        <v>0</v>
      </c>
    </row>
    <row r="124" spans="1:13" x14ac:dyDescent="0.25">
      <c r="A124" t="s">
        <v>112</v>
      </c>
      <c r="B124" s="36">
        <v>-15</v>
      </c>
      <c r="C124" s="36">
        <v>-3</v>
      </c>
      <c r="D124" s="36">
        <v>0</v>
      </c>
      <c r="E124" s="36">
        <v>-360</v>
      </c>
      <c r="F124" s="36">
        <v>-277</v>
      </c>
      <c r="G124" s="36">
        <v>0</v>
      </c>
      <c r="H124" s="36">
        <v>-99</v>
      </c>
      <c r="I124" s="36">
        <v>-188</v>
      </c>
      <c r="J124" s="36">
        <v>-55</v>
      </c>
      <c r="K124" s="36">
        <v>-208</v>
      </c>
      <c r="L124" s="36">
        <v>-85</v>
      </c>
      <c r="M124" s="36">
        <v>0</v>
      </c>
    </row>
    <row r="125" spans="1:13" x14ac:dyDescent="0.25">
      <c r="A125" t="s">
        <v>113</v>
      </c>
      <c r="B125" s="36">
        <v>-29</v>
      </c>
      <c r="C125" s="36">
        <v>-18</v>
      </c>
      <c r="D125" s="36">
        <v>-2</v>
      </c>
      <c r="E125" s="36">
        <v>-14</v>
      </c>
      <c r="F125" s="36">
        <v>-6</v>
      </c>
      <c r="G125" s="36">
        <v>-7</v>
      </c>
      <c r="H125" s="36">
        <v>-90</v>
      </c>
      <c r="I125" s="36">
        <v>-92</v>
      </c>
      <c r="J125" s="36">
        <v>-82</v>
      </c>
      <c r="K125" s="36">
        <v>-88</v>
      </c>
      <c r="L125" s="36">
        <v>-110</v>
      </c>
      <c r="M125" s="36">
        <v>-130</v>
      </c>
    </row>
    <row r="126" spans="1:13" x14ac:dyDescent="0.25">
      <c r="A126" t="s">
        <v>114</v>
      </c>
      <c r="B126" s="36">
        <v>-2481</v>
      </c>
      <c r="C126" s="36">
        <v>-2912</v>
      </c>
      <c r="D126" s="36">
        <v>-3354</v>
      </c>
      <c r="E126" s="36">
        <v>-3572</v>
      </c>
      <c r="F126" s="36">
        <v>-3911</v>
      </c>
      <c r="G126" s="36">
        <v>-4554</v>
      </c>
      <c r="H126" s="36">
        <v>-5196</v>
      </c>
      <c r="I126" s="36">
        <v>-8811</v>
      </c>
      <c r="J126" s="36">
        <v>-7526</v>
      </c>
      <c r="K126" s="36">
        <v>-8474</v>
      </c>
      <c r="L126" s="36">
        <v>-9416</v>
      </c>
      <c r="M126" s="36">
        <v>-12473</v>
      </c>
    </row>
    <row r="127" spans="1:13" x14ac:dyDescent="0.25">
      <c r="A127" t="s">
        <v>115</v>
      </c>
      <c r="B127" s="36">
        <v>0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-373</v>
      </c>
      <c r="I127" s="36">
        <v>-406</v>
      </c>
      <c r="J127" s="36">
        <v>-407</v>
      </c>
      <c r="K127" s="36">
        <v>-467</v>
      </c>
      <c r="L127" s="36">
        <v>-423</v>
      </c>
      <c r="M127" s="36">
        <v>-498</v>
      </c>
    </row>
    <row r="128" spans="1:13" x14ac:dyDescent="0.25">
      <c r="A128" t="s">
        <v>116</v>
      </c>
      <c r="B128" s="36">
        <v>-437</v>
      </c>
      <c r="C128" s="36">
        <v>-533</v>
      </c>
      <c r="D128" s="36">
        <v>-685</v>
      </c>
      <c r="E128" s="36">
        <v>-728</v>
      </c>
      <c r="F128" s="36">
        <v>-781</v>
      </c>
      <c r="G128" s="36">
        <v>-928</v>
      </c>
      <c r="H128" s="36">
        <v>-1061</v>
      </c>
      <c r="I128" s="36">
        <v>0</v>
      </c>
      <c r="J128" s="36">
        <v>0</v>
      </c>
      <c r="K128" s="36">
        <v>-2</v>
      </c>
      <c r="L128" s="36">
        <v>0</v>
      </c>
      <c r="M128" s="36">
        <v>0</v>
      </c>
    </row>
    <row r="129" spans="1:13" x14ac:dyDescent="0.25">
      <c r="A129" s="35" t="s">
        <v>53</v>
      </c>
      <c r="B129" s="36">
        <v>383</v>
      </c>
      <c r="C129" s="36">
        <v>-33</v>
      </c>
      <c r="D129" s="36">
        <v>25</v>
      </c>
      <c r="E129" s="36">
        <v>-202</v>
      </c>
      <c r="F129" s="36">
        <v>21</v>
      </c>
      <c r="G129" s="36">
        <v>-28</v>
      </c>
      <c r="H129" s="36">
        <v>2595</v>
      </c>
      <c r="I129" s="36">
        <v>-1374</v>
      </c>
      <c r="J129" s="36">
        <v>-695</v>
      </c>
      <c r="K129" s="36">
        <v>-446</v>
      </c>
      <c r="L129" s="36">
        <v>111</v>
      </c>
      <c r="M129" s="36">
        <v>5258</v>
      </c>
    </row>
  </sheetData>
  <mergeCells count="2">
    <mergeCell ref="E1:K1"/>
    <mergeCell ref="E2:K2"/>
  </mergeCells>
  <hyperlinks>
    <hyperlink ref="E1:K1" r:id="rId1" display="https://www.screener.in/excel/" xr:uid="{00000000-0004-0000-0500-000000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4797-7471-4EF7-87B1-C24B119027CD}">
  <dimension ref="B2:O31"/>
  <sheetViews>
    <sheetView topLeftCell="A18" workbookViewId="0">
      <selection activeCell="K26" sqref="K26"/>
    </sheetView>
  </sheetViews>
  <sheetFormatPr defaultRowHeight="15" x14ac:dyDescent="0.25"/>
  <cols>
    <col min="3" max="3" width="15.85546875" bestFit="1" customWidth="1"/>
    <col min="4" max="4" width="11.140625" bestFit="1" customWidth="1"/>
  </cols>
  <sheetData>
    <row r="2" spans="2:15" x14ac:dyDescent="0.25">
      <c r="B2" t="s">
        <v>196</v>
      </c>
      <c r="C2" t="s">
        <v>197</v>
      </c>
      <c r="D2" t="s">
        <v>202</v>
      </c>
      <c r="E2" t="s">
        <v>203</v>
      </c>
      <c r="F2" t="s">
        <v>204</v>
      </c>
      <c r="G2" t="s">
        <v>205</v>
      </c>
    </row>
    <row r="3" spans="2:15" x14ac:dyDescent="0.25">
      <c r="B3">
        <v>1</v>
      </c>
      <c r="C3" t="s">
        <v>198</v>
      </c>
      <c r="D3">
        <v>2319</v>
      </c>
      <c r="E3">
        <v>1648</v>
      </c>
      <c r="F3">
        <v>235</v>
      </c>
      <c r="G3">
        <v>544870.21</v>
      </c>
    </row>
    <row r="4" spans="2:15" x14ac:dyDescent="0.25">
      <c r="B4">
        <v>2</v>
      </c>
      <c r="C4" t="s">
        <v>199</v>
      </c>
      <c r="D4">
        <v>413.9</v>
      </c>
      <c r="E4">
        <v>284.54000000000002</v>
      </c>
      <c r="F4">
        <v>1251.4100000000001</v>
      </c>
      <c r="G4">
        <v>517959.42</v>
      </c>
    </row>
    <row r="5" spans="2:15" x14ac:dyDescent="0.25">
      <c r="B5">
        <v>3</v>
      </c>
      <c r="C5" t="s">
        <v>200</v>
      </c>
      <c r="D5">
        <v>536.9</v>
      </c>
      <c r="E5">
        <v>895.95</v>
      </c>
      <c r="F5">
        <v>23.5</v>
      </c>
      <c r="G5">
        <v>6308.7</v>
      </c>
    </row>
    <row r="6" spans="2:15" x14ac:dyDescent="0.25">
      <c r="B6">
        <v>4</v>
      </c>
      <c r="C6" t="s">
        <v>201</v>
      </c>
      <c r="D6">
        <v>267.05</v>
      </c>
      <c r="E6">
        <v>489.77</v>
      </c>
      <c r="F6">
        <v>51.18</v>
      </c>
      <c r="G6">
        <v>1366.65</v>
      </c>
    </row>
    <row r="9" spans="2:15" x14ac:dyDescent="0.25">
      <c r="C9" s="148" t="s">
        <v>249</v>
      </c>
      <c r="D9" s="146">
        <v>133</v>
      </c>
      <c r="E9" s="146">
        <v>102</v>
      </c>
      <c r="F9" s="146">
        <v>88</v>
      </c>
      <c r="G9" s="146">
        <v>89</v>
      </c>
      <c r="H9" s="146">
        <v>87</v>
      </c>
      <c r="I9" s="146">
        <v>86</v>
      </c>
      <c r="J9" s="146">
        <v>59</v>
      </c>
      <c r="K9" s="146">
        <v>477</v>
      </c>
      <c r="L9" s="146">
        <v>477</v>
      </c>
      <c r="M9" s="146">
        <v>609</v>
      </c>
      <c r="N9" s="146">
        <v>633</v>
      </c>
      <c r="O9" s="146">
        <v>628</v>
      </c>
    </row>
    <row r="10" spans="2:15" x14ac:dyDescent="0.25">
      <c r="C10" s="148" t="s">
        <v>250</v>
      </c>
      <c r="D10" s="145">
        <v>1133</v>
      </c>
      <c r="E10" s="145">
        <v>1173</v>
      </c>
      <c r="F10" s="146">
        <v>931</v>
      </c>
      <c r="G10" s="145">
        <v>1210</v>
      </c>
      <c r="H10" s="145">
        <v>1343</v>
      </c>
      <c r="I10" s="145">
        <v>1527</v>
      </c>
      <c r="J10" s="145">
        <v>2044</v>
      </c>
      <c r="K10" s="145">
        <v>2602</v>
      </c>
      <c r="L10" s="145">
        <v>2788</v>
      </c>
      <c r="M10" s="145">
        <v>3101</v>
      </c>
      <c r="N10" s="145">
        <v>3590</v>
      </c>
      <c r="O10" s="145">
        <v>3833</v>
      </c>
    </row>
    <row r="11" spans="2:15" x14ac:dyDescent="0.25">
      <c r="C11" s="148" t="s">
        <v>251</v>
      </c>
      <c r="D11" s="145">
        <v>3176</v>
      </c>
      <c r="E11" s="145">
        <v>3481</v>
      </c>
      <c r="F11" s="145">
        <v>2370</v>
      </c>
      <c r="G11" s="145">
        <v>3270</v>
      </c>
      <c r="H11" s="145">
        <v>3691</v>
      </c>
      <c r="I11" s="145">
        <v>4092</v>
      </c>
      <c r="J11" s="145">
        <v>5001</v>
      </c>
      <c r="K11" s="145">
        <v>6097</v>
      </c>
      <c r="L11" s="145">
        <v>6566</v>
      </c>
      <c r="M11" s="145">
        <v>7612</v>
      </c>
      <c r="N11" s="145">
        <v>8946</v>
      </c>
      <c r="O11" s="145">
        <v>9900</v>
      </c>
    </row>
    <row r="12" spans="2:15" x14ac:dyDescent="0.25">
      <c r="C12" s="148" t="s">
        <v>252</v>
      </c>
      <c r="D12" s="146">
        <v>104</v>
      </c>
      <c r="E12" s="146">
        <v>106</v>
      </c>
      <c r="F12" s="146">
        <v>41</v>
      </c>
      <c r="G12" s="146">
        <v>62</v>
      </c>
      <c r="H12" s="146">
        <v>74</v>
      </c>
      <c r="I12" s="146">
        <v>95</v>
      </c>
      <c r="J12" s="146">
        <v>139</v>
      </c>
      <c r="K12" s="146">
        <v>175</v>
      </c>
      <c r="L12" s="146">
        <v>181</v>
      </c>
      <c r="M12" s="146">
        <v>185</v>
      </c>
      <c r="N12" s="146">
        <v>206</v>
      </c>
      <c r="O12" s="146">
        <v>245</v>
      </c>
    </row>
    <row r="13" spans="2:15" x14ac:dyDescent="0.25">
      <c r="C13" s="148" t="s">
        <v>253</v>
      </c>
      <c r="D13" s="146">
        <v>102</v>
      </c>
      <c r="E13" s="146">
        <v>108</v>
      </c>
      <c r="F13" s="146">
        <v>61</v>
      </c>
      <c r="G13" s="146">
        <v>66</v>
      </c>
      <c r="H13" s="146">
        <v>76</v>
      </c>
      <c r="I13" s="146">
        <v>88</v>
      </c>
      <c r="J13" s="146">
        <v>154</v>
      </c>
      <c r="K13" s="146">
        <v>156</v>
      </c>
      <c r="L13" s="146">
        <v>152</v>
      </c>
      <c r="M13" s="146">
        <v>161</v>
      </c>
      <c r="N13" s="146">
        <v>165</v>
      </c>
      <c r="O13" s="146">
        <v>174</v>
      </c>
    </row>
    <row r="14" spans="2:15" x14ac:dyDescent="0.25">
      <c r="C14" s="148" t="s">
        <v>254</v>
      </c>
      <c r="D14" s="146">
        <v>0</v>
      </c>
      <c r="E14" s="146">
        <v>0</v>
      </c>
      <c r="F14" s="146">
        <v>0</v>
      </c>
      <c r="G14" s="146">
        <v>0</v>
      </c>
      <c r="H14" s="146">
        <v>0</v>
      </c>
      <c r="I14" s="146">
        <v>0</v>
      </c>
      <c r="J14" s="146">
        <v>0</v>
      </c>
      <c r="K14" s="146">
        <v>0</v>
      </c>
      <c r="L14" s="146">
        <v>0</v>
      </c>
      <c r="M14" s="146">
        <v>0</v>
      </c>
      <c r="N14" s="146">
        <v>0</v>
      </c>
      <c r="O14" s="146">
        <v>0</v>
      </c>
    </row>
    <row r="15" spans="2:15" x14ac:dyDescent="0.25">
      <c r="C15" s="148" t="s">
        <v>255</v>
      </c>
      <c r="D15" s="146">
        <v>2</v>
      </c>
      <c r="E15" s="146">
        <v>1</v>
      </c>
      <c r="F15" s="146">
        <v>0</v>
      </c>
      <c r="G15" s="146">
        <v>0</v>
      </c>
      <c r="H15" s="146">
        <v>0</v>
      </c>
      <c r="I15" s="146">
        <v>0</v>
      </c>
      <c r="J15" s="146">
        <v>0</v>
      </c>
      <c r="K15" s="146">
        <v>0</v>
      </c>
      <c r="L15" s="146">
        <v>0</v>
      </c>
      <c r="M15" s="146">
        <v>33</v>
      </c>
      <c r="N15" s="146">
        <v>39</v>
      </c>
      <c r="O15" s="146">
        <v>102</v>
      </c>
    </row>
    <row r="16" spans="2:15" x14ac:dyDescent="0.25">
      <c r="C16" s="148" t="s">
        <v>256</v>
      </c>
      <c r="D16" s="146">
        <v>247</v>
      </c>
      <c r="E16" s="146">
        <v>247</v>
      </c>
      <c r="F16" s="146">
        <v>85</v>
      </c>
      <c r="G16" s="146">
        <v>455</v>
      </c>
      <c r="H16" s="146">
        <v>455</v>
      </c>
      <c r="I16" s="146">
        <v>511</v>
      </c>
      <c r="J16" s="146">
        <v>511</v>
      </c>
      <c r="K16" s="145">
        <v>45262</v>
      </c>
      <c r="L16" s="145">
        <v>45262</v>
      </c>
      <c r="M16" s="145">
        <v>45692</v>
      </c>
      <c r="N16" s="145">
        <v>45692</v>
      </c>
      <c r="O16" s="145">
        <v>45692</v>
      </c>
    </row>
    <row r="17" spans="3:15" ht="15.75" thickBot="1" x14ac:dyDescent="0.3">
      <c r="C17" s="148" t="s">
        <v>257</v>
      </c>
      <c r="D17" s="146">
        <v>183</v>
      </c>
      <c r="E17" s="146">
        <v>193</v>
      </c>
      <c r="F17" s="146">
        <v>19</v>
      </c>
      <c r="G17" s="146">
        <v>19</v>
      </c>
      <c r="H17" s="146">
        <v>26</v>
      </c>
      <c r="I17" s="146">
        <v>60</v>
      </c>
      <c r="J17" s="146">
        <v>71</v>
      </c>
      <c r="K17" s="146">
        <v>155</v>
      </c>
      <c r="L17" s="146">
        <v>152</v>
      </c>
      <c r="M17" s="146">
        <v>171</v>
      </c>
      <c r="N17" s="146">
        <v>180</v>
      </c>
      <c r="O17" s="146">
        <v>190</v>
      </c>
    </row>
    <row r="18" spans="3:15" ht="15.75" thickTop="1" x14ac:dyDescent="0.25">
      <c r="C18" s="149" t="s">
        <v>258</v>
      </c>
      <c r="D18" s="150">
        <v>5079</v>
      </c>
      <c r="E18" s="150">
        <v>5412</v>
      </c>
      <c r="F18" s="150">
        <v>3595</v>
      </c>
      <c r="G18" s="150">
        <v>5171</v>
      </c>
      <c r="H18" s="150">
        <v>5752</v>
      </c>
      <c r="I18" s="150">
        <v>6459</v>
      </c>
      <c r="J18" s="150">
        <v>7979</v>
      </c>
      <c r="K18" s="150">
        <v>54924</v>
      </c>
      <c r="L18" s="150">
        <v>55578</v>
      </c>
      <c r="M18" s="150">
        <v>57564</v>
      </c>
      <c r="N18" s="150">
        <v>59451</v>
      </c>
      <c r="O18" s="150">
        <v>60764</v>
      </c>
    </row>
    <row r="19" spans="3:15" x14ac:dyDescent="0.25">
      <c r="C19" s="148" t="s">
        <v>259</v>
      </c>
      <c r="D19" s="145">
        <v>2333</v>
      </c>
      <c r="E19" s="145">
        <v>2591</v>
      </c>
      <c r="F19" s="146">
        <v>337</v>
      </c>
      <c r="G19" s="146">
        <v>752</v>
      </c>
      <c r="H19" s="145">
        <v>1224</v>
      </c>
      <c r="I19" s="145">
        <v>1744</v>
      </c>
      <c r="J19" s="145">
        <v>2500</v>
      </c>
      <c r="K19" s="145">
        <v>3481</v>
      </c>
      <c r="L19" s="145">
        <v>4105</v>
      </c>
      <c r="M19" s="145">
        <v>4886</v>
      </c>
      <c r="N19" s="145">
        <v>5707</v>
      </c>
      <c r="O19" s="145">
        <v>6429</v>
      </c>
    </row>
    <row r="22" spans="3:15" x14ac:dyDescent="0.25">
      <c r="C22" t="s">
        <v>26</v>
      </c>
      <c r="D22" s="36">
        <v>5215</v>
      </c>
      <c r="E22" s="36">
        <v>6320</v>
      </c>
      <c r="F22" s="36">
        <v>6026</v>
      </c>
      <c r="G22" s="36">
        <v>6467</v>
      </c>
      <c r="H22" s="36">
        <v>7306</v>
      </c>
      <c r="I22" s="36">
        <v>8604</v>
      </c>
      <c r="J22" s="36">
        <v>9165</v>
      </c>
      <c r="K22" s="36">
        <v>10605</v>
      </c>
      <c r="L22" s="36">
        <v>11879</v>
      </c>
      <c r="M22" s="36">
        <v>13344</v>
      </c>
      <c r="N22" s="36">
        <v>13926</v>
      </c>
      <c r="O22" s="36">
        <v>14415</v>
      </c>
    </row>
    <row r="23" spans="3:15" x14ac:dyDescent="0.25">
      <c r="C23" t="s">
        <v>25</v>
      </c>
      <c r="D23">
        <v>41</v>
      </c>
      <c r="E23">
        <v>18</v>
      </c>
      <c r="F23">
        <v>17</v>
      </c>
      <c r="G23">
        <v>35</v>
      </c>
      <c r="H23">
        <v>26</v>
      </c>
      <c r="I23">
        <v>33</v>
      </c>
      <c r="J23">
        <v>118</v>
      </c>
      <c r="K23">
        <v>117</v>
      </c>
      <c r="L23">
        <v>106</v>
      </c>
      <c r="M23">
        <v>114</v>
      </c>
      <c r="N23">
        <v>334</v>
      </c>
      <c r="O23">
        <v>395</v>
      </c>
    </row>
    <row r="24" spans="3:15" x14ac:dyDescent="0.25">
      <c r="C24" t="s">
        <v>163</v>
      </c>
      <c r="D24" s="36">
        <f>D22+D23</f>
        <v>5256</v>
      </c>
      <c r="E24" s="36">
        <f t="shared" ref="E24:O24" si="0">E22+E23</f>
        <v>6338</v>
      </c>
      <c r="F24" s="36">
        <f t="shared" si="0"/>
        <v>6043</v>
      </c>
      <c r="G24" s="36">
        <f t="shared" si="0"/>
        <v>6502</v>
      </c>
      <c r="H24" s="36">
        <f t="shared" si="0"/>
        <v>7332</v>
      </c>
      <c r="I24" s="36">
        <f t="shared" si="0"/>
        <v>8637</v>
      </c>
      <c r="J24" s="36">
        <f t="shared" si="0"/>
        <v>9283</v>
      </c>
      <c r="K24" s="36">
        <f t="shared" si="0"/>
        <v>10722</v>
      </c>
      <c r="L24" s="36">
        <f t="shared" si="0"/>
        <v>11985</v>
      </c>
      <c r="M24" s="36">
        <f t="shared" si="0"/>
        <v>13458</v>
      </c>
      <c r="N24" s="36">
        <f t="shared" si="0"/>
        <v>14260</v>
      </c>
      <c r="O24" s="36">
        <f t="shared" si="0"/>
        <v>14810</v>
      </c>
    </row>
    <row r="25" spans="3:15" x14ac:dyDescent="0.25">
      <c r="C25" t="s">
        <v>265</v>
      </c>
      <c r="D25" s="105">
        <v>0.24</v>
      </c>
      <c r="E25" s="105">
        <v>0.31</v>
      </c>
      <c r="F25" s="105">
        <v>0.31</v>
      </c>
      <c r="G25" s="105">
        <v>0.31</v>
      </c>
      <c r="H25" s="105">
        <v>0.28000000000000003</v>
      </c>
      <c r="I25" s="105">
        <v>0.3</v>
      </c>
      <c r="J25" s="105">
        <v>0.26</v>
      </c>
      <c r="K25" s="105">
        <v>0.25</v>
      </c>
      <c r="L25" s="105">
        <v>0.25</v>
      </c>
      <c r="M25" s="105">
        <v>0.24</v>
      </c>
      <c r="N25" s="105">
        <v>0.26</v>
      </c>
      <c r="O25" s="105">
        <v>0.26</v>
      </c>
    </row>
    <row r="26" spans="3:15" x14ac:dyDescent="0.25">
      <c r="C26" s="126" t="s">
        <v>264</v>
      </c>
      <c r="D26" s="156">
        <f>(D22+D23)*(1-D25)</f>
        <v>3994.56</v>
      </c>
      <c r="E26" s="156">
        <f t="shared" ref="E26:O26" si="1">(E22+E23)*(1-E25)</f>
        <v>4373.2199999999993</v>
      </c>
      <c r="F26" s="156">
        <f t="shared" si="1"/>
        <v>4169.67</v>
      </c>
      <c r="G26" s="156">
        <f t="shared" si="1"/>
        <v>4486.3799999999992</v>
      </c>
      <c r="H26" s="156">
        <f t="shared" si="1"/>
        <v>5279.04</v>
      </c>
      <c r="I26" s="156">
        <f t="shared" si="1"/>
        <v>6045.9</v>
      </c>
      <c r="J26" s="156">
        <f t="shared" si="1"/>
        <v>6869.42</v>
      </c>
      <c r="K26" s="156">
        <f t="shared" si="1"/>
        <v>8041.5</v>
      </c>
      <c r="L26" s="156">
        <f t="shared" si="1"/>
        <v>8988.75</v>
      </c>
      <c r="M26" s="156">
        <f t="shared" si="1"/>
        <v>10228.08</v>
      </c>
      <c r="N26" s="156">
        <f t="shared" si="1"/>
        <v>10552.4</v>
      </c>
      <c r="O26" s="156">
        <f t="shared" si="1"/>
        <v>10959.4</v>
      </c>
    </row>
    <row r="29" spans="3:15" x14ac:dyDescent="0.25">
      <c r="C29" t="s">
        <v>98</v>
      </c>
      <c r="D29" s="53">
        <v>606</v>
      </c>
      <c r="E29" s="53">
        <v>606</v>
      </c>
      <c r="F29" s="53">
        <v>-810</v>
      </c>
      <c r="G29" s="53">
        <v>-1113</v>
      </c>
      <c r="H29" s="53">
        <v>-895</v>
      </c>
      <c r="I29" s="53">
        <v>-767</v>
      </c>
      <c r="J29" s="53">
        <v>-862</v>
      </c>
      <c r="K29" s="53">
        <v>-4163</v>
      </c>
      <c r="L29" s="53">
        <v>-1228</v>
      </c>
      <c r="M29" s="53">
        <v>-1192</v>
      </c>
      <c r="N29" s="53">
        <v>-1477</v>
      </c>
      <c r="O29" s="53">
        <v>-1275</v>
      </c>
    </row>
    <row r="30" spans="3:15" x14ac:dyDescent="0.25">
      <c r="C30" t="s">
        <v>99</v>
      </c>
      <c r="D30">
        <v>229</v>
      </c>
      <c r="E30">
        <v>560</v>
      </c>
      <c r="F30">
        <v>99</v>
      </c>
      <c r="G30">
        <v>176</v>
      </c>
      <c r="H30">
        <v>32</v>
      </c>
      <c r="I30">
        <v>13</v>
      </c>
      <c r="J30">
        <v>52</v>
      </c>
      <c r="K30">
        <v>97</v>
      </c>
      <c r="L30">
        <v>175</v>
      </c>
      <c r="M30">
        <v>181</v>
      </c>
      <c r="N30">
        <v>20</v>
      </c>
      <c r="O30">
        <v>13</v>
      </c>
    </row>
    <row r="31" spans="3:15" x14ac:dyDescent="0.25">
      <c r="D31" s="53">
        <f>D29-D30</f>
        <v>377</v>
      </c>
      <c r="E31" s="53">
        <f>E29-E30</f>
        <v>46</v>
      </c>
      <c r="F31" s="53">
        <f>-F29+F32</f>
        <v>810</v>
      </c>
      <c r="G31" s="53">
        <f t="shared" ref="G31:O31" si="2">-G29+G32</f>
        <v>1113</v>
      </c>
      <c r="H31" s="53">
        <f t="shared" si="2"/>
        <v>895</v>
      </c>
      <c r="I31" s="53">
        <f t="shared" si="2"/>
        <v>767</v>
      </c>
      <c r="J31" s="53">
        <f t="shared" si="2"/>
        <v>862</v>
      </c>
      <c r="K31" s="53">
        <f t="shared" si="2"/>
        <v>4163</v>
      </c>
      <c r="L31" s="53">
        <f t="shared" si="2"/>
        <v>1228</v>
      </c>
      <c r="M31" s="53">
        <f t="shared" si="2"/>
        <v>1192</v>
      </c>
      <c r="N31" s="53">
        <f t="shared" si="2"/>
        <v>1477</v>
      </c>
      <c r="O31" s="53">
        <f t="shared" si="2"/>
        <v>1275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21C9-DBC6-470E-A939-DD9A340366AD}">
  <dimension ref="B2:L73"/>
  <sheetViews>
    <sheetView showGridLines="0" topLeftCell="A19" zoomScaleNormal="100" workbookViewId="0">
      <selection activeCell="N40" sqref="N40"/>
    </sheetView>
  </sheetViews>
  <sheetFormatPr defaultRowHeight="15" x14ac:dyDescent="0.25"/>
  <cols>
    <col min="1" max="1" width="1.85546875" customWidth="1"/>
    <col min="2" max="2" width="25.5703125" bestFit="1" customWidth="1"/>
    <col min="3" max="3" width="11.140625" bestFit="1" customWidth="1"/>
    <col min="4" max="12" width="10.7109375" bestFit="1" customWidth="1"/>
  </cols>
  <sheetData>
    <row r="2" spans="2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7" spans="2:12" x14ac:dyDescent="0.25">
      <c r="B7" s="228" t="str">
        <f>"Historical Financial Statement - " &amp; 'Data Sheet'!B1</f>
        <v>Historical Financial Statement - HINDUSTAN UNILEVER LTD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</row>
    <row r="8" spans="2:12" x14ac:dyDescent="0.25">
      <c r="B8" s="5" t="s">
        <v>0</v>
      </c>
      <c r="C8" s="6">
        <v>42445</v>
      </c>
      <c r="D8" s="6">
        <f>C8+365</f>
        <v>42810</v>
      </c>
      <c r="E8" s="6">
        <f t="shared" ref="E8:L8" si="0">D8+365</f>
        <v>43175</v>
      </c>
      <c r="F8" s="6">
        <f t="shared" si="0"/>
        <v>43540</v>
      </c>
      <c r="G8" s="6">
        <f t="shared" si="0"/>
        <v>43905</v>
      </c>
      <c r="H8" s="6">
        <f t="shared" si="0"/>
        <v>44270</v>
      </c>
      <c r="I8" s="6">
        <f t="shared" si="0"/>
        <v>44635</v>
      </c>
      <c r="J8" s="6">
        <f t="shared" si="0"/>
        <v>45000</v>
      </c>
      <c r="K8" s="6">
        <f t="shared" si="0"/>
        <v>45365</v>
      </c>
      <c r="L8" s="6">
        <f t="shared" si="0"/>
        <v>45730</v>
      </c>
    </row>
    <row r="10" spans="2:12" x14ac:dyDescent="0.25">
      <c r="B10" s="18" t="s">
        <v>1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 s="14" customFormat="1" x14ac:dyDescent="0.25">
      <c r="B11" s="19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2:12" x14ac:dyDescent="0.25">
      <c r="B12" s="30" t="s">
        <v>15</v>
      </c>
      <c r="C12" s="27">
        <f>'Data Sheet'!B17</f>
        <v>32186</v>
      </c>
      <c r="D12" s="27">
        <f>'Data Sheet'!C17</f>
        <v>33162</v>
      </c>
      <c r="E12" s="27">
        <f>'Data Sheet'!D17</f>
        <v>35545</v>
      </c>
      <c r="F12" s="27">
        <f>'Data Sheet'!E17</f>
        <v>39310</v>
      </c>
      <c r="G12" s="27">
        <f>'Data Sheet'!F17</f>
        <v>39783</v>
      </c>
      <c r="H12" s="27">
        <f>'Data Sheet'!G17</f>
        <v>47028</v>
      </c>
      <c r="I12" s="27">
        <f>'Data Sheet'!H17</f>
        <v>52446</v>
      </c>
      <c r="J12" s="27">
        <f>'Data Sheet'!I17</f>
        <v>60580</v>
      </c>
      <c r="K12" s="27">
        <f>'Data Sheet'!J17</f>
        <v>61896</v>
      </c>
      <c r="L12" s="27">
        <f>'Data Sheet'!K17</f>
        <v>63121</v>
      </c>
    </row>
    <row r="13" spans="2:12" x14ac:dyDescent="0.25">
      <c r="B13" s="22" t="s">
        <v>57</v>
      </c>
      <c r="D13" s="29">
        <f>(D12-C12)/C12</f>
        <v>3.0323743242403528E-2</v>
      </c>
      <c r="E13" s="29">
        <f t="shared" ref="E13:L13" si="1">(E12-D12)/D12</f>
        <v>7.1859357095470713E-2</v>
      </c>
      <c r="F13" s="29">
        <f t="shared" si="1"/>
        <v>0.10592207061471375</v>
      </c>
      <c r="G13" s="29">
        <f t="shared" si="1"/>
        <v>1.2032561689137624E-2</v>
      </c>
      <c r="H13" s="29">
        <f t="shared" si="1"/>
        <v>0.18211296282331649</v>
      </c>
      <c r="I13" s="29">
        <f t="shared" si="1"/>
        <v>0.11520796121459556</v>
      </c>
      <c r="J13" s="29">
        <f t="shared" si="1"/>
        <v>0.15509285741524617</v>
      </c>
      <c r="K13" s="29">
        <f t="shared" si="1"/>
        <v>2.1723341036645756E-2</v>
      </c>
      <c r="L13" s="29">
        <f t="shared" si="1"/>
        <v>1.9791262763344964E-2</v>
      </c>
    </row>
    <row r="14" spans="2:12" x14ac:dyDescent="0.25">
      <c r="B14" s="20"/>
    </row>
    <row r="15" spans="2:12" x14ac:dyDescent="0.25">
      <c r="B15" s="30" t="s">
        <v>58</v>
      </c>
      <c r="C15" s="27">
        <f>SUM('Data Sheet'!B18:B22)</f>
        <v>18056</v>
      </c>
      <c r="D15" s="27">
        <f>SUM('Data Sheet'!C18:C22)</f>
        <v>18387</v>
      </c>
      <c r="E15" s="27">
        <f>SUM('Data Sheet'!D18:D22)</f>
        <v>19458</v>
      </c>
      <c r="F15" s="27">
        <f>SUM('Data Sheet'!E18:E22)</f>
        <v>21057</v>
      </c>
      <c r="G15" s="27">
        <f>SUM('Data Sheet'!F18:F22)</f>
        <v>20830</v>
      </c>
      <c r="H15" s="27">
        <f>SUM('Data Sheet'!G18:G22)</f>
        <v>26111</v>
      </c>
      <c r="I15" s="27">
        <f>SUM('Data Sheet'!H18:H22)</f>
        <v>29110</v>
      </c>
      <c r="J15" s="27">
        <f>SUM('Data Sheet'!I18:I22)</f>
        <v>35531</v>
      </c>
      <c r="K15" s="27">
        <f>SUM('Data Sheet'!J18:J22)</f>
        <v>33673</v>
      </c>
      <c r="L15" s="27">
        <f>SUM('Data Sheet'!K18:K22)</f>
        <v>34835</v>
      </c>
    </row>
    <row r="16" spans="2:12" x14ac:dyDescent="0.25">
      <c r="B16" s="22" t="s">
        <v>59</v>
      </c>
      <c r="C16" s="29">
        <f>C15/C12</f>
        <v>0.56098924998446531</v>
      </c>
      <c r="D16" s="29">
        <f t="shared" ref="D16:L16" si="2">D15/D12</f>
        <v>0.55445992400940836</v>
      </c>
      <c r="E16" s="29">
        <f t="shared" si="2"/>
        <v>0.54741876494584329</v>
      </c>
      <c r="F16" s="29">
        <f t="shared" si="2"/>
        <v>0.53566522513355386</v>
      </c>
      <c r="G16" s="29">
        <f t="shared" si="2"/>
        <v>0.5235904783450217</v>
      </c>
      <c r="H16" s="29">
        <f t="shared" si="2"/>
        <v>0.55522242068554906</v>
      </c>
      <c r="I16" s="29">
        <f t="shared" si="2"/>
        <v>0.55504709606071001</v>
      </c>
      <c r="J16" s="29">
        <f t="shared" si="2"/>
        <v>0.58651370089138333</v>
      </c>
      <c r="K16" s="29">
        <f t="shared" si="2"/>
        <v>0.54402546206540003</v>
      </c>
      <c r="L16" s="29">
        <f t="shared" si="2"/>
        <v>0.5518765545539519</v>
      </c>
    </row>
    <row r="17" spans="2:12" x14ac:dyDescent="0.25">
      <c r="B17" s="20"/>
    </row>
    <row r="18" spans="2:12" x14ac:dyDescent="0.25">
      <c r="B18" s="25" t="s">
        <v>60</v>
      </c>
      <c r="C18" s="28">
        <f>C12-C15</f>
        <v>14130</v>
      </c>
      <c r="D18" s="28">
        <f t="shared" ref="D18:L18" si="3">D12-D15</f>
        <v>14775</v>
      </c>
      <c r="E18" s="28">
        <f t="shared" si="3"/>
        <v>16087</v>
      </c>
      <c r="F18" s="28">
        <f t="shared" si="3"/>
        <v>18253</v>
      </c>
      <c r="G18" s="28">
        <f t="shared" si="3"/>
        <v>18953</v>
      </c>
      <c r="H18" s="28">
        <f t="shared" si="3"/>
        <v>20917</v>
      </c>
      <c r="I18" s="28">
        <f t="shared" si="3"/>
        <v>23336</v>
      </c>
      <c r="J18" s="28">
        <f t="shared" si="3"/>
        <v>25049</v>
      </c>
      <c r="K18" s="28">
        <f t="shared" si="3"/>
        <v>28223</v>
      </c>
      <c r="L18" s="28">
        <f t="shared" si="3"/>
        <v>28286</v>
      </c>
    </row>
    <row r="19" spans="2:12" x14ac:dyDescent="0.25">
      <c r="B19" s="22" t="s">
        <v>61</v>
      </c>
      <c r="C19" s="29">
        <f>C18/C12</f>
        <v>0.43901075001553469</v>
      </c>
      <c r="D19" s="29">
        <f t="shared" ref="D19:L19" si="4">D18/D12</f>
        <v>0.44554007599059164</v>
      </c>
      <c r="E19" s="29">
        <f t="shared" si="4"/>
        <v>0.45258123505415671</v>
      </c>
      <c r="F19" s="29">
        <f t="shared" si="4"/>
        <v>0.4643347748664462</v>
      </c>
      <c r="G19" s="29">
        <f t="shared" si="4"/>
        <v>0.47640952165497824</v>
      </c>
      <c r="H19" s="29">
        <f t="shared" si="4"/>
        <v>0.44477757931445094</v>
      </c>
      <c r="I19" s="29">
        <f t="shared" si="4"/>
        <v>0.44495290393928993</v>
      </c>
      <c r="J19" s="29">
        <f t="shared" si="4"/>
        <v>0.41348629910861673</v>
      </c>
      <c r="K19" s="29">
        <f t="shared" si="4"/>
        <v>0.45597453793459997</v>
      </c>
      <c r="L19" s="29">
        <f t="shared" si="4"/>
        <v>0.44812344544604804</v>
      </c>
    </row>
    <row r="20" spans="2:12" x14ac:dyDescent="0.25">
      <c r="B20" s="20"/>
    </row>
    <row r="21" spans="2:12" x14ac:dyDescent="0.25">
      <c r="B21" s="30" t="s">
        <v>62</v>
      </c>
      <c r="C21" s="27">
        <f>SUM('Data Sheet'!B23:B24)</f>
        <v>8054</v>
      </c>
      <c r="D21" s="27">
        <f>SUM('Data Sheet'!C23:C24)</f>
        <v>8159</v>
      </c>
      <c r="E21" s="27">
        <f>SUM('Data Sheet'!D23:D24)</f>
        <v>8732</v>
      </c>
      <c r="F21" s="27">
        <f>SUM('Data Sheet'!E23:E24)</f>
        <v>9349</v>
      </c>
      <c r="G21" s="27">
        <f>SUM('Data Sheet'!F23:F24)</f>
        <v>9308</v>
      </c>
      <c r="H21" s="27">
        <f>SUM('Data Sheet'!G23:G24)</f>
        <v>10101</v>
      </c>
      <c r="I21" s="27">
        <f>SUM('Data Sheet'!H23:H24)</f>
        <v>10523</v>
      </c>
      <c r="J21" s="27">
        <f>SUM('Data Sheet'!I23:I24)</f>
        <v>11052</v>
      </c>
      <c r="K21" s="27">
        <f>SUM('Data Sheet'!J23:J24)</f>
        <v>13586</v>
      </c>
      <c r="L21" s="27">
        <f>SUM('Data Sheet'!K23:K24)</f>
        <v>13749</v>
      </c>
    </row>
    <row r="22" spans="2:12" x14ac:dyDescent="0.25">
      <c r="B22" s="22" t="s">
        <v>63</v>
      </c>
      <c r="C22" s="29">
        <f>C21/C12</f>
        <v>0.25023302056794877</v>
      </c>
      <c r="D22" s="29">
        <f t="shared" ref="D22:L22" si="5">D21/D12</f>
        <v>0.24603461793619202</v>
      </c>
      <c r="E22" s="29">
        <f t="shared" si="5"/>
        <v>0.24566043044028696</v>
      </c>
      <c r="F22" s="29">
        <f t="shared" si="5"/>
        <v>0.23782752480284916</v>
      </c>
      <c r="G22" s="29">
        <f t="shared" si="5"/>
        <v>0.23396928336224015</v>
      </c>
      <c r="H22" s="29">
        <f t="shared" si="5"/>
        <v>0.21478693544271499</v>
      </c>
      <c r="I22" s="29">
        <f t="shared" si="5"/>
        <v>0.20064447240971667</v>
      </c>
      <c r="J22" s="29">
        <f t="shared" si="5"/>
        <v>0.18243644767249917</v>
      </c>
      <c r="K22" s="29">
        <f t="shared" si="5"/>
        <v>0.21949722114514669</v>
      </c>
      <c r="L22" s="29">
        <f t="shared" si="5"/>
        <v>0.21781974303322191</v>
      </c>
    </row>
    <row r="23" spans="2:12" x14ac:dyDescent="0.25">
      <c r="B23" s="21"/>
    </row>
    <row r="24" spans="2:12" x14ac:dyDescent="0.25">
      <c r="B24" s="25" t="s">
        <v>64</v>
      </c>
      <c r="C24" s="28">
        <f>C18-C21</f>
        <v>6076</v>
      </c>
      <c r="D24" s="28">
        <f t="shared" ref="D24:L24" si="6">D18-D21</f>
        <v>6616</v>
      </c>
      <c r="E24" s="28">
        <f t="shared" si="6"/>
        <v>7355</v>
      </c>
      <c r="F24" s="28">
        <f t="shared" si="6"/>
        <v>8904</v>
      </c>
      <c r="G24" s="28">
        <f t="shared" si="6"/>
        <v>9645</v>
      </c>
      <c r="H24" s="28">
        <f t="shared" si="6"/>
        <v>10816</v>
      </c>
      <c r="I24" s="28">
        <f t="shared" si="6"/>
        <v>12813</v>
      </c>
      <c r="J24" s="28">
        <f t="shared" si="6"/>
        <v>13997</v>
      </c>
      <c r="K24" s="28">
        <f t="shared" si="6"/>
        <v>14637</v>
      </c>
      <c r="L24" s="28">
        <f t="shared" si="6"/>
        <v>14537</v>
      </c>
    </row>
    <row r="25" spans="2:12" x14ac:dyDescent="0.25">
      <c r="B25" s="22" t="s">
        <v>65</v>
      </c>
      <c r="C25" s="29">
        <f>C24/C12</f>
        <v>0.18877772944758592</v>
      </c>
      <c r="D25" s="29">
        <f t="shared" ref="D25:L25" si="7">D24/D12</f>
        <v>0.19950545805439962</v>
      </c>
      <c r="E25" s="29">
        <f t="shared" si="7"/>
        <v>0.20692080461386975</v>
      </c>
      <c r="F25" s="29">
        <f t="shared" si="7"/>
        <v>0.22650725006359704</v>
      </c>
      <c r="G25" s="29">
        <f t="shared" si="7"/>
        <v>0.24244023829273811</v>
      </c>
      <c r="H25" s="29">
        <f t="shared" si="7"/>
        <v>0.22999064387173598</v>
      </c>
      <c r="I25" s="29">
        <f t="shared" si="7"/>
        <v>0.24430843152957327</v>
      </c>
      <c r="J25" s="29">
        <f t="shared" si="7"/>
        <v>0.23104985143611753</v>
      </c>
      <c r="K25" s="29">
        <f t="shared" si="7"/>
        <v>0.23647731678945327</v>
      </c>
      <c r="L25" s="29">
        <f t="shared" si="7"/>
        <v>0.23030370241282616</v>
      </c>
    </row>
    <row r="26" spans="2:12" x14ac:dyDescent="0.25">
      <c r="B26" s="21"/>
    </row>
    <row r="27" spans="2:12" x14ac:dyDescent="0.25">
      <c r="B27" s="30" t="s">
        <v>25</v>
      </c>
      <c r="C27" s="27">
        <f>'Data Sheet'!B27</f>
        <v>17</v>
      </c>
      <c r="D27" s="27">
        <f>'Data Sheet'!C27</f>
        <v>35</v>
      </c>
      <c r="E27" s="27">
        <f>'Data Sheet'!D27</f>
        <v>26</v>
      </c>
      <c r="F27" s="27">
        <f>'Data Sheet'!E27</f>
        <v>33</v>
      </c>
      <c r="G27" s="27">
        <f>'Data Sheet'!F27</f>
        <v>118</v>
      </c>
      <c r="H27" s="27">
        <f>'Data Sheet'!G27</f>
        <v>117</v>
      </c>
      <c r="I27" s="27">
        <f>'Data Sheet'!H27</f>
        <v>106</v>
      </c>
      <c r="J27" s="27">
        <f>'Data Sheet'!I27</f>
        <v>114</v>
      </c>
      <c r="K27" s="27">
        <f>'Data Sheet'!J27</f>
        <v>334</v>
      </c>
      <c r="L27" s="27">
        <f>'Data Sheet'!K27</f>
        <v>395</v>
      </c>
    </row>
    <row r="28" spans="2:12" x14ac:dyDescent="0.25">
      <c r="B28" s="22" t="s">
        <v>66</v>
      </c>
      <c r="C28" s="29">
        <f>C27/C12</f>
        <v>5.2817995401727462E-4</v>
      </c>
      <c r="D28" s="29">
        <f t="shared" ref="D28:L28" si="8">D27/D12</f>
        <v>1.0554248839032628E-3</v>
      </c>
      <c r="E28" s="29">
        <f t="shared" si="8"/>
        <v>7.3146715431143621E-4</v>
      </c>
      <c r="F28" s="29">
        <f t="shared" si="8"/>
        <v>8.3948104807936915E-4</v>
      </c>
      <c r="G28" s="29">
        <f t="shared" si="8"/>
        <v>2.9660910439132291E-3</v>
      </c>
      <c r="H28" s="29">
        <f t="shared" si="8"/>
        <v>2.4878795611125285E-3</v>
      </c>
      <c r="I28" s="29">
        <f t="shared" si="8"/>
        <v>2.0211264920108303E-3</v>
      </c>
      <c r="J28" s="29">
        <f t="shared" si="8"/>
        <v>1.881809177946517E-3</v>
      </c>
      <c r="K28" s="29">
        <f t="shared" si="8"/>
        <v>5.3961483779242604E-3</v>
      </c>
      <c r="L28" s="29">
        <f t="shared" si="8"/>
        <v>6.2578222778473091E-3</v>
      </c>
    </row>
    <row r="29" spans="2:12" x14ac:dyDescent="0.25">
      <c r="B29" s="21"/>
    </row>
    <row r="30" spans="2:12" x14ac:dyDescent="0.25">
      <c r="B30" s="30" t="s">
        <v>24</v>
      </c>
      <c r="C30" s="27">
        <f>'Data Sheet'!B26</f>
        <v>353</v>
      </c>
      <c r="D30" s="27">
        <f>'Data Sheet'!C26</f>
        <v>432</v>
      </c>
      <c r="E30" s="27">
        <f>'Data Sheet'!D26</f>
        <v>520</v>
      </c>
      <c r="F30" s="27">
        <f>'Data Sheet'!E26</f>
        <v>565</v>
      </c>
      <c r="G30" s="27">
        <f>'Data Sheet'!F26</f>
        <v>1002</v>
      </c>
      <c r="H30" s="27">
        <f>'Data Sheet'!G26</f>
        <v>1074</v>
      </c>
      <c r="I30" s="27">
        <f>'Data Sheet'!H26</f>
        <v>1091</v>
      </c>
      <c r="J30" s="27">
        <f>'Data Sheet'!I26</f>
        <v>1137</v>
      </c>
      <c r="K30" s="27">
        <f>'Data Sheet'!J26</f>
        <v>1216</v>
      </c>
      <c r="L30" s="27">
        <f>'Data Sheet'!K26</f>
        <v>1355</v>
      </c>
    </row>
    <row r="31" spans="2:12" x14ac:dyDescent="0.25">
      <c r="B31" s="22" t="s">
        <v>67</v>
      </c>
      <c r="C31" s="29">
        <f>C30/C12</f>
        <v>1.0967501398123409E-2</v>
      </c>
      <c r="D31" s="29">
        <f t="shared" ref="D31:L31" si="9">D30/D12</f>
        <v>1.3026958567034558E-2</v>
      </c>
      <c r="E31" s="29">
        <f t="shared" si="9"/>
        <v>1.4629343086228723E-2</v>
      </c>
      <c r="F31" s="29">
        <f t="shared" si="9"/>
        <v>1.437293309590435E-2</v>
      </c>
      <c r="G31" s="29">
        <f t="shared" si="9"/>
        <v>2.5186637508483524E-2</v>
      </c>
      <c r="H31" s="29">
        <f t="shared" si="9"/>
        <v>2.2837458535340648E-2</v>
      </c>
      <c r="I31" s="29">
        <f t="shared" si="9"/>
        <v>2.0802349082866187E-2</v>
      </c>
      <c r="J31" s="29">
        <f t="shared" si="9"/>
        <v>1.8768570485308684E-2</v>
      </c>
      <c r="K31" s="29">
        <f t="shared" si="9"/>
        <v>1.9645857567532635E-2</v>
      </c>
      <c r="L31" s="29">
        <f t="shared" si="9"/>
        <v>2.1466706801223048E-2</v>
      </c>
    </row>
    <row r="32" spans="2:12" x14ac:dyDescent="0.25">
      <c r="B32" s="21"/>
    </row>
    <row r="33" spans="2:12" x14ac:dyDescent="0.25">
      <c r="B33" s="25" t="s">
        <v>68</v>
      </c>
      <c r="C33" s="28">
        <f>C24-(SUM(C30+C27))</f>
        <v>5706</v>
      </c>
      <c r="D33" s="28">
        <f t="shared" ref="D33:L33" si="10">D24-(SUM(D30+D27))</f>
        <v>6149</v>
      </c>
      <c r="E33" s="28">
        <f t="shared" si="10"/>
        <v>6809</v>
      </c>
      <c r="F33" s="28">
        <f t="shared" si="10"/>
        <v>8306</v>
      </c>
      <c r="G33" s="28">
        <f t="shared" si="10"/>
        <v>8525</v>
      </c>
      <c r="H33" s="28">
        <f t="shared" si="10"/>
        <v>9625</v>
      </c>
      <c r="I33" s="28">
        <f t="shared" si="10"/>
        <v>11616</v>
      </c>
      <c r="J33" s="28">
        <f t="shared" si="10"/>
        <v>12746</v>
      </c>
      <c r="K33" s="28">
        <f t="shared" si="10"/>
        <v>13087</v>
      </c>
      <c r="L33" s="28">
        <f t="shared" si="10"/>
        <v>12787</v>
      </c>
    </row>
    <row r="34" spans="2:12" x14ac:dyDescent="0.25">
      <c r="B34" s="22" t="s">
        <v>69</v>
      </c>
      <c r="C34" s="29">
        <f>C33/C12</f>
        <v>0.17728204809544523</v>
      </c>
      <c r="D34" s="29">
        <f t="shared" ref="D34:L34" si="11">D33/D12</f>
        <v>0.1854230746034618</v>
      </c>
      <c r="E34" s="29">
        <f t="shared" si="11"/>
        <v>0.19155999437332957</v>
      </c>
      <c r="F34" s="29">
        <f t="shared" si="11"/>
        <v>0.21129483591961332</v>
      </c>
      <c r="G34" s="29">
        <f t="shared" si="11"/>
        <v>0.21428750974034136</v>
      </c>
      <c r="H34" s="29">
        <f t="shared" si="11"/>
        <v>0.2046653057752828</v>
      </c>
      <c r="I34" s="29">
        <f t="shared" si="11"/>
        <v>0.22148495595469625</v>
      </c>
      <c r="J34" s="29">
        <f t="shared" si="11"/>
        <v>0.21039947177286233</v>
      </c>
      <c r="K34" s="29">
        <f t="shared" si="11"/>
        <v>0.21143531084399639</v>
      </c>
      <c r="L34" s="29">
        <f t="shared" si="11"/>
        <v>0.2025791733337558</v>
      </c>
    </row>
    <row r="35" spans="2:12" x14ac:dyDescent="0.25">
      <c r="B35" s="21"/>
    </row>
    <row r="36" spans="2:12" x14ac:dyDescent="0.25">
      <c r="B36" s="30" t="s">
        <v>27</v>
      </c>
      <c r="C36" s="27">
        <f>'Data Sheet'!B29</f>
        <v>1875</v>
      </c>
      <c r="D36" s="27">
        <f>'Data Sheet'!C29</f>
        <v>1977</v>
      </c>
      <c r="E36" s="27">
        <f>'Data Sheet'!D29</f>
        <v>2079</v>
      </c>
      <c r="F36" s="27">
        <f>'Data Sheet'!E29</f>
        <v>2544</v>
      </c>
      <c r="G36" s="27">
        <f>'Data Sheet'!F29</f>
        <v>2409</v>
      </c>
      <c r="H36" s="27">
        <f>'Data Sheet'!G29</f>
        <v>2606</v>
      </c>
      <c r="I36" s="27">
        <f>'Data Sheet'!H29</f>
        <v>2987</v>
      </c>
      <c r="J36" s="27">
        <f>'Data Sheet'!I29</f>
        <v>3201</v>
      </c>
      <c r="K36" s="27">
        <f>'Data Sheet'!J29</f>
        <v>3644</v>
      </c>
      <c r="L36" s="27">
        <f>'Data Sheet'!K29</f>
        <v>3744</v>
      </c>
    </row>
    <row r="37" spans="2:12" x14ac:dyDescent="0.25">
      <c r="B37" s="22" t="s">
        <v>70</v>
      </c>
      <c r="C37" s="29">
        <f>C36/C33</f>
        <v>0.32860147213459517</v>
      </c>
      <c r="D37" s="29">
        <f t="shared" ref="D37:L37" si="12">D36/D33</f>
        <v>0.32151569360871685</v>
      </c>
      <c r="E37" s="29">
        <f t="shared" si="12"/>
        <v>0.30533117932148629</v>
      </c>
      <c r="F37" s="29">
        <f t="shared" si="12"/>
        <v>0.30628461353238623</v>
      </c>
      <c r="G37" s="29">
        <f t="shared" si="12"/>
        <v>0.28258064516129033</v>
      </c>
      <c r="H37" s="29">
        <f t="shared" si="12"/>
        <v>0.27075324675324675</v>
      </c>
      <c r="I37" s="29">
        <f t="shared" si="12"/>
        <v>0.25714531680440772</v>
      </c>
      <c r="J37" s="29">
        <f t="shared" si="12"/>
        <v>0.25113761179978034</v>
      </c>
      <c r="K37" s="29">
        <f t="shared" si="12"/>
        <v>0.27844425766027353</v>
      </c>
      <c r="L37" s="29">
        <f t="shared" si="12"/>
        <v>0.29279737233127395</v>
      </c>
    </row>
    <row r="38" spans="2:12" x14ac:dyDescent="0.25">
      <c r="B38" s="21"/>
    </row>
    <row r="39" spans="2:12" x14ac:dyDescent="0.25">
      <c r="B39" s="25" t="s">
        <v>71</v>
      </c>
      <c r="C39" s="28">
        <f>C33-C36</f>
        <v>3831</v>
      </c>
      <c r="D39" s="28">
        <f t="shared" ref="D39:L39" si="13">D33-D36</f>
        <v>4172</v>
      </c>
      <c r="E39" s="28">
        <f t="shared" si="13"/>
        <v>4730</v>
      </c>
      <c r="F39" s="28">
        <f t="shared" si="13"/>
        <v>5762</v>
      </c>
      <c r="G39" s="28">
        <f t="shared" si="13"/>
        <v>6116</v>
      </c>
      <c r="H39" s="28">
        <f t="shared" si="13"/>
        <v>7019</v>
      </c>
      <c r="I39" s="28">
        <f t="shared" si="13"/>
        <v>8629</v>
      </c>
      <c r="J39" s="28">
        <f t="shared" si="13"/>
        <v>9545</v>
      </c>
      <c r="K39" s="28">
        <f t="shared" si="13"/>
        <v>9443</v>
      </c>
      <c r="L39" s="28">
        <f t="shared" si="13"/>
        <v>9043</v>
      </c>
    </row>
    <row r="40" spans="2:12" x14ac:dyDescent="0.25">
      <c r="B40" s="22" t="s">
        <v>72</v>
      </c>
      <c r="C40" s="29">
        <f>C39/C12</f>
        <v>0.11902690610824582</v>
      </c>
      <c r="D40" s="29">
        <f t="shared" ref="D40:L40" si="14">D39/D12</f>
        <v>0.12580664616126891</v>
      </c>
      <c r="E40" s="29">
        <f t="shared" si="14"/>
        <v>0.13307075538050359</v>
      </c>
      <c r="F40" s="29">
        <f t="shared" si="14"/>
        <v>0.1465784787585856</v>
      </c>
      <c r="G40" s="29">
        <f t="shared" si="14"/>
        <v>0.1537340069879094</v>
      </c>
      <c r="H40" s="29">
        <f t="shared" si="14"/>
        <v>0.14925150973887896</v>
      </c>
      <c r="I40" s="29">
        <f t="shared" si="14"/>
        <v>0.1645311367883156</v>
      </c>
      <c r="J40" s="29">
        <f t="shared" si="14"/>
        <v>0.15756025090789039</v>
      </c>
      <c r="K40" s="29">
        <f t="shared" si="14"/>
        <v>0.15256236267287063</v>
      </c>
      <c r="L40" s="29">
        <f t="shared" si="14"/>
        <v>0.14326452369259043</v>
      </c>
    </row>
    <row r="41" spans="2:12" x14ac:dyDescent="0.25">
      <c r="B41" s="21"/>
    </row>
    <row r="42" spans="2:12" x14ac:dyDescent="0.25">
      <c r="B42" s="30" t="s">
        <v>73</v>
      </c>
      <c r="C42" s="15">
        <f>'Data Sheet'!B93</f>
        <v>216.39</v>
      </c>
      <c r="D42" s="15">
        <f>'Data Sheet'!C93</f>
        <v>216.43</v>
      </c>
      <c r="E42" s="15">
        <f>'Data Sheet'!D93</f>
        <v>216.45</v>
      </c>
      <c r="F42" s="15">
        <f>'Data Sheet'!E93</f>
        <v>216.47</v>
      </c>
      <c r="G42" s="15">
        <f>'Data Sheet'!F93</f>
        <v>216.48</v>
      </c>
      <c r="H42" s="15">
        <f>'Data Sheet'!G93</f>
        <v>234.96</v>
      </c>
      <c r="I42" s="15">
        <f>'Data Sheet'!H93</f>
        <v>234.96</v>
      </c>
      <c r="J42" s="15">
        <f>'Data Sheet'!I93</f>
        <v>234.96</v>
      </c>
      <c r="K42" s="15">
        <f>'Data Sheet'!J93</f>
        <v>234.96</v>
      </c>
      <c r="L42" s="15">
        <f>'Data Sheet'!K93</f>
        <v>234.96</v>
      </c>
    </row>
    <row r="43" spans="2:12" x14ac:dyDescent="0.25">
      <c r="B43" s="21"/>
    </row>
    <row r="44" spans="2:12" x14ac:dyDescent="0.25">
      <c r="B44" s="30" t="s">
        <v>74</v>
      </c>
      <c r="C44" s="26">
        <f>C39/C42</f>
        <v>17.704145293220574</v>
      </c>
      <c r="D44" s="26">
        <f t="shared" ref="D44:L44" si="15">D39/D42</f>
        <v>19.276440419535184</v>
      </c>
      <c r="E44" s="26">
        <f t="shared" si="15"/>
        <v>21.852621852621855</v>
      </c>
      <c r="F44" s="26">
        <f t="shared" si="15"/>
        <v>26.618007114149766</v>
      </c>
      <c r="G44" s="26">
        <f t="shared" si="15"/>
        <v>28.252032520325205</v>
      </c>
      <c r="H44" s="26">
        <f t="shared" si="15"/>
        <v>29.873169901259789</v>
      </c>
      <c r="I44" s="26">
        <f t="shared" si="15"/>
        <v>36.725400068096697</v>
      </c>
      <c r="J44" s="26">
        <f t="shared" si="15"/>
        <v>40.623935989104524</v>
      </c>
      <c r="K44" s="26">
        <f t="shared" si="15"/>
        <v>40.18981954375213</v>
      </c>
      <c r="L44" s="26">
        <f t="shared" si="15"/>
        <v>38.487402110997614</v>
      </c>
    </row>
    <row r="45" spans="2:12" x14ac:dyDescent="0.25">
      <c r="B45" s="22" t="s">
        <v>75</v>
      </c>
      <c r="D45" s="29">
        <f>(D44-C44)/C44</f>
        <v>8.8809434190346814E-2</v>
      </c>
      <c r="E45" s="29">
        <f t="shared" ref="E45:L45" si="16">(E44-D44)/D44</f>
        <v>0.13364404304001634</v>
      </c>
      <c r="F45" s="29">
        <f t="shared" si="16"/>
        <v>0.21806926846886177</v>
      </c>
      <c r="G45" s="29">
        <f t="shared" si="16"/>
        <v>6.1387969398611138E-2</v>
      </c>
      <c r="H45" s="29">
        <f t="shared" si="16"/>
        <v>5.7381265569770898E-2</v>
      </c>
      <c r="I45" s="29">
        <f t="shared" si="16"/>
        <v>0.22937740418863081</v>
      </c>
      <c r="J45" s="29">
        <f t="shared" si="16"/>
        <v>0.10615366786417883</v>
      </c>
      <c r="K45" s="29">
        <f t="shared" si="16"/>
        <v>-1.0686223153483354E-2</v>
      </c>
      <c r="L45" s="29">
        <f t="shared" si="16"/>
        <v>-4.2359419675950534E-2</v>
      </c>
    </row>
    <row r="46" spans="2:12" x14ac:dyDescent="0.25">
      <c r="B46" s="20"/>
    </row>
    <row r="47" spans="2:12" x14ac:dyDescent="0.25">
      <c r="B47" s="30" t="s">
        <v>76</v>
      </c>
      <c r="C47" s="26">
        <f>'Data Sheet'!B31/'Historical FS'!C42</f>
        <v>15.971163177596008</v>
      </c>
      <c r="D47" s="26">
        <f>'Data Sheet'!C31/'Historical FS'!D42</f>
        <v>16.966224645381878</v>
      </c>
      <c r="E47" s="26">
        <f>'Data Sheet'!D31/'Historical FS'!E42</f>
        <v>19.95841995841996</v>
      </c>
      <c r="F47" s="26">
        <f>'Data Sheet'!E31/'Historical FS'!F42</f>
        <v>21.95223356585208</v>
      </c>
      <c r="G47" s="26">
        <f>'Data Sheet'!F31/'Historical FS'!G42</f>
        <v>24.944567627494457</v>
      </c>
      <c r="H47" s="26">
        <f>'Data Sheet'!G31/'Historical FS'!H42</f>
        <v>40.506894790602651</v>
      </c>
      <c r="I47" s="26">
        <f>'Data Sheet'!H31/'Historical FS'!I42</f>
        <v>34.005788219271366</v>
      </c>
      <c r="J47" s="26">
        <f>'Data Sheet'!I31/'Historical FS'!J42</f>
        <v>39.006639427987743</v>
      </c>
      <c r="K47" s="26">
        <f>'Data Sheet'!J31/'Historical FS'!K42</f>
        <v>42.007150153217566</v>
      </c>
      <c r="L47" s="26">
        <f>'Data Sheet'!K31/'Historical FS'!L42</f>
        <v>53.009022812393596</v>
      </c>
    </row>
    <row r="48" spans="2:12" x14ac:dyDescent="0.25">
      <c r="B48" s="22" t="s">
        <v>77</v>
      </c>
      <c r="C48" s="29">
        <f>C47/C44</f>
        <v>0.90211433046202039</v>
      </c>
      <c r="D48" s="29">
        <f t="shared" ref="D48:L48" si="17">D47/D44</f>
        <v>0.8801534036433365</v>
      </c>
      <c r="E48" s="29">
        <f t="shared" si="17"/>
        <v>0.91331923890063416</v>
      </c>
      <c r="F48" s="29">
        <f t="shared" si="17"/>
        <v>0.82471364109684131</v>
      </c>
      <c r="G48" s="29">
        <f t="shared" si="17"/>
        <v>0.88293001962066708</v>
      </c>
      <c r="H48" s="29">
        <f t="shared" si="17"/>
        <v>1.3559623878045304</v>
      </c>
      <c r="I48" s="29">
        <f t="shared" si="17"/>
        <v>0.92594738671920274</v>
      </c>
      <c r="J48" s="29">
        <f t="shared" si="17"/>
        <v>0.96018858040859101</v>
      </c>
      <c r="K48" s="29">
        <f t="shared" si="17"/>
        <v>1.0452186805040771</v>
      </c>
      <c r="L48" s="29">
        <f t="shared" si="17"/>
        <v>1.3773084153488886</v>
      </c>
    </row>
    <row r="49" spans="2:12" x14ac:dyDescent="0.25">
      <c r="B49" s="20"/>
    </row>
    <row r="50" spans="2:12" x14ac:dyDescent="0.25">
      <c r="B50" s="20" t="s">
        <v>78</v>
      </c>
      <c r="C50" s="29">
        <f>IF(C44&gt;C47,1-C48,0)</f>
        <v>9.7885669537979614E-2</v>
      </c>
      <c r="D50" s="29">
        <f t="shared" ref="D50:L50" si="18">IF(D44&gt;D47,1-D48,0)</f>
        <v>0.1198465963566635</v>
      </c>
      <c r="E50" s="29">
        <f t="shared" si="18"/>
        <v>8.6680761099365844E-2</v>
      </c>
      <c r="F50" s="29">
        <f t="shared" si="18"/>
        <v>0.17528635890315869</v>
      </c>
      <c r="G50" s="29">
        <f t="shared" si="18"/>
        <v>0.11706998037933292</v>
      </c>
      <c r="H50" s="29">
        <f t="shared" si="18"/>
        <v>0</v>
      </c>
      <c r="I50" s="29">
        <f t="shared" si="18"/>
        <v>7.4052613280797264E-2</v>
      </c>
      <c r="J50" s="29">
        <f t="shared" si="18"/>
        <v>3.9811419591408992E-2</v>
      </c>
      <c r="K50" s="29">
        <f t="shared" si="18"/>
        <v>0</v>
      </c>
      <c r="L50" s="29">
        <f t="shared" si="18"/>
        <v>0</v>
      </c>
    </row>
    <row r="51" spans="2:12" x14ac:dyDescent="0.25">
      <c r="B51" s="20"/>
    </row>
    <row r="52" spans="2:12" x14ac:dyDescent="0.25">
      <c r="B52" s="18" t="s">
        <v>79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 x14ac:dyDescent="0.25">
      <c r="B53" s="20"/>
    </row>
    <row r="54" spans="2:12" x14ac:dyDescent="0.25">
      <c r="B54" s="20" t="str">
        <f>'Data Sheet'!A57</f>
        <v>Equity Share Capital</v>
      </c>
      <c r="C54" s="27">
        <f>'Data Sheet'!B57</f>
        <v>216</v>
      </c>
      <c r="D54" s="27">
        <f>'Data Sheet'!C57</f>
        <v>216</v>
      </c>
      <c r="E54" s="27">
        <f>'Data Sheet'!D57</f>
        <v>216</v>
      </c>
      <c r="F54" s="27">
        <f>'Data Sheet'!E57</f>
        <v>216</v>
      </c>
      <c r="G54" s="27">
        <f>'Data Sheet'!F57</f>
        <v>216</v>
      </c>
      <c r="H54" s="27">
        <f>'Data Sheet'!G57</f>
        <v>235</v>
      </c>
      <c r="I54" s="27">
        <f>'Data Sheet'!H57</f>
        <v>235</v>
      </c>
      <c r="J54" s="27">
        <f>'Data Sheet'!I57</f>
        <v>235</v>
      </c>
      <c r="K54" s="27">
        <f>'Data Sheet'!J57</f>
        <v>235</v>
      </c>
      <c r="L54" s="27">
        <f>'Data Sheet'!K57</f>
        <v>235</v>
      </c>
    </row>
    <row r="55" spans="2:12" x14ac:dyDescent="0.25">
      <c r="B55" s="20" t="str">
        <f>'Data Sheet'!A58</f>
        <v>Reserves</v>
      </c>
      <c r="C55" s="27">
        <f>'Data Sheet'!B58</f>
        <v>6357</v>
      </c>
      <c r="D55" s="27">
        <f>'Data Sheet'!C58</f>
        <v>6528</v>
      </c>
      <c r="E55" s="27">
        <f>'Data Sheet'!D58</f>
        <v>7065</v>
      </c>
      <c r="F55" s="27">
        <f>'Data Sheet'!E58</f>
        <v>7651</v>
      </c>
      <c r="G55" s="27">
        <f>'Data Sheet'!F58</f>
        <v>8013</v>
      </c>
      <c r="H55" s="27">
        <f>'Data Sheet'!G58</f>
        <v>47439</v>
      </c>
      <c r="I55" s="27">
        <f>'Data Sheet'!H58</f>
        <v>48826</v>
      </c>
      <c r="J55" s="27">
        <f>'Data Sheet'!I58</f>
        <v>50069</v>
      </c>
      <c r="K55" s="27">
        <f>'Data Sheet'!J58</f>
        <v>50983</v>
      </c>
      <c r="L55" s="27">
        <f>'Data Sheet'!K58</f>
        <v>49167</v>
      </c>
    </row>
    <row r="56" spans="2:12" x14ac:dyDescent="0.25">
      <c r="B56" s="20" t="str">
        <f>'Data Sheet'!A59</f>
        <v>Borrowings</v>
      </c>
      <c r="C56" s="27">
        <f>'Data Sheet'!B59</f>
        <v>177</v>
      </c>
      <c r="D56" s="27">
        <f>'Data Sheet'!C59</f>
        <v>277</v>
      </c>
      <c r="E56" s="27">
        <f>'Data Sheet'!D59</f>
        <v>0</v>
      </c>
      <c r="F56" s="27">
        <f>'Data Sheet'!E59</f>
        <v>99</v>
      </c>
      <c r="G56" s="27">
        <f>'Data Sheet'!F59</f>
        <v>0</v>
      </c>
      <c r="H56" s="27">
        <f>'Data Sheet'!G59</f>
        <v>0</v>
      </c>
      <c r="I56" s="27">
        <f>'Data Sheet'!H59</f>
        <v>1043</v>
      </c>
      <c r="J56" s="27">
        <f>'Data Sheet'!I59</f>
        <v>1219</v>
      </c>
      <c r="K56" s="27">
        <f>'Data Sheet'!J59</f>
        <v>1484</v>
      </c>
      <c r="L56" s="27">
        <f>'Data Sheet'!K59</f>
        <v>1648</v>
      </c>
    </row>
    <row r="57" spans="2:12" x14ac:dyDescent="0.25">
      <c r="B57" s="20" t="str">
        <f>'Data Sheet'!A60</f>
        <v>Other Liabilities</v>
      </c>
      <c r="C57" s="27">
        <f>'Data Sheet'!B60</f>
        <v>8043</v>
      </c>
      <c r="D57" s="27">
        <f>'Data Sheet'!C60</f>
        <v>8685</v>
      </c>
      <c r="E57" s="27">
        <f>'Data Sheet'!D60</f>
        <v>10581</v>
      </c>
      <c r="F57" s="27">
        <f>'Data Sheet'!E60</f>
        <v>10663</v>
      </c>
      <c r="G57" s="27">
        <f>'Data Sheet'!F60</f>
        <v>11924</v>
      </c>
      <c r="H57" s="27">
        <f>'Data Sheet'!G60</f>
        <v>21066</v>
      </c>
      <c r="I57" s="27">
        <f>'Data Sheet'!H60</f>
        <v>20402</v>
      </c>
      <c r="J57" s="27">
        <f>'Data Sheet'!I60</f>
        <v>21554</v>
      </c>
      <c r="K57" s="27">
        <f>'Data Sheet'!J60</f>
        <v>25787</v>
      </c>
      <c r="L57" s="27">
        <f>'Data Sheet'!K60</f>
        <v>28813</v>
      </c>
    </row>
    <row r="58" spans="2:12" x14ac:dyDescent="0.25">
      <c r="B58" s="23" t="s">
        <v>80</v>
      </c>
      <c r="C58" s="28">
        <f>SUM(C54:C57)</f>
        <v>14793</v>
      </c>
      <c r="D58" s="28">
        <f t="shared" ref="D58:L58" si="19">SUM(D54:D57)</f>
        <v>15706</v>
      </c>
      <c r="E58" s="28">
        <f t="shared" si="19"/>
        <v>17862</v>
      </c>
      <c r="F58" s="28">
        <f t="shared" si="19"/>
        <v>18629</v>
      </c>
      <c r="G58" s="28">
        <f t="shared" si="19"/>
        <v>20153</v>
      </c>
      <c r="H58" s="28">
        <f t="shared" si="19"/>
        <v>68740</v>
      </c>
      <c r="I58" s="28">
        <f t="shared" si="19"/>
        <v>70506</v>
      </c>
      <c r="J58" s="28">
        <f t="shared" si="19"/>
        <v>73077</v>
      </c>
      <c r="K58" s="28">
        <f t="shared" si="19"/>
        <v>78489</v>
      </c>
      <c r="L58" s="28">
        <f t="shared" si="19"/>
        <v>79863</v>
      </c>
    </row>
    <row r="59" spans="2:12" x14ac:dyDescent="0.25">
      <c r="B59" s="20"/>
    </row>
    <row r="60" spans="2:12" x14ac:dyDescent="0.25">
      <c r="B60" s="20" t="str">
        <f>'Data Sheet'!A62</f>
        <v>Net Block</v>
      </c>
      <c r="C60" s="27">
        <f>'Data Sheet'!B62</f>
        <v>3258</v>
      </c>
      <c r="D60" s="27">
        <f>'Data Sheet'!C62</f>
        <v>4419</v>
      </c>
      <c r="E60" s="27">
        <f>'Data Sheet'!D62</f>
        <v>4528</v>
      </c>
      <c r="F60" s="27">
        <f>'Data Sheet'!E62</f>
        <v>4715</v>
      </c>
      <c r="G60" s="27">
        <f>'Data Sheet'!F62</f>
        <v>5479</v>
      </c>
      <c r="H60" s="27">
        <f>'Data Sheet'!G62</f>
        <v>51443</v>
      </c>
      <c r="I60" s="27">
        <f>'Data Sheet'!H62</f>
        <v>51473</v>
      </c>
      <c r="J60" s="27">
        <f>'Data Sheet'!I62</f>
        <v>52678</v>
      </c>
      <c r="K60" s="27">
        <f>'Data Sheet'!J62</f>
        <v>53744</v>
      </c>
      <c r="L60" s="27">
        <f>'Data Sheet'!K62</f>
        <v>54335</v>
      </c>
    </row>
    <row r="61" spans="2:12" x14ac:dyDescent="0.25">
      <c r="B61" s="20" t="str">
        <f>'Data Sheet'!A63</f>
        <v>Capital Work in Progress</v>
      </c>
      <c r="C61" s="27">
        <f>'Data Sheet'!B63</f>
        <v>408</v>
      </c>
      <c r="D61" s="27">
        <f>'Data Sheet'!C63</f>
        <v>229</v>
      </c>
      <c r="E61" s="27">
        <f>'Data Sheet'!D63</f>
        <v>461</v>
      </c>
      <c r="F61" s="27">
        <f>'Data Sheet'!E63</f>
        <v>406</v>
      </c>
      <c r="G61" s="27">
        <f>'Data Sheet'!F63</f>
        <v>597</v>
      </c>
      <c r="H61" s="27">
        <f>'Data Sheet'!G63</f>
        <v>745</v>
      </c>
      <c r="I61" s="27">
        <f>'Data Sheet'!H63</f>
        <v>1313</v>
      </c>
      <c r="J61" s="27">
        <f>'Data Sheet'!I63</f>
        <v>1132</v>
      </c>
      <c r="K61" s="27">
        <f>'Data Sheet'!J63</f>
        <v>1025</v>
      </c>
      <c r="L61" s="27">
        <f>'Data Sheet'!K63</f>
        <v>1009</v>
      </c>
    </row>
    <row r="62" spans="2:12" x14ac:dyDescent="0.25">
      <c r="B62" s="20" t="str">
        <f>'Data Sheet'!A64</f>
        <v>Investments</v>
      </c>
      <c r="C62" s="27">
        <f>'Data Sheet'!B64</f>
        <v>2592</v>
      </c>
      <c r="D62" s="27">
        <f>'Data Sheet'!C64</f>
        <v>3794</v>
      </c>
      <c r="E62" s="27">
        <f>'Data Sheet'!D64</f>
        <v>2873</v>
      </c>
      <c r="F62" s="27">
        <f>'Data Sheet'!E64</f>
        <v>2716</v>
      </c>
      <c r="G62" s="27">
        <f>'Data Sheet'!F64</f>
        <v>1255</v>
      </c>
      <c r="H62" s="27">
        <f>'Data Sheet'!G64</f>
        <v>2709</v>
      </c>
      <c r="I62" s="27">
        <f>'Data Sheet'!H64</f>
        <v>3521</v>
      </c>
      <c r="J62" s="27">
        <f>'Data Sheet'!I64</f>
        <v>2882</v>
      </c>
      <c r="K62" s="27">
        <f>'Data Sheet'!J64</f>
        <v>4625</v>
      </c>
      <c r="L62" s="27">
        <f>'Data Sheet'!K64</f>
        <v>3810</v>
      </c>
    </row>
    <row r="63" spans="2:12" x14ac:dyDescent="0.25">
      <c r="B63" s="20" t="str">
        <f>'Data Sheet'!A65</f>
        <v>Other Assets</v>
      </c>
      <c r="C63" s="27">
        <f>'Data Sheet'!B65-'Historical FS'!C69</f>
        <v>1536</v>
      </c>
      <c r="D63" s="27">
        <f>'Data Sheet'!C65-'Historical FS'!D69</f>
        <v>1810</v>
      </c>
      <c r="E63" s="27">
        <f>'Data Sheet'!D65-'Historical FS'!E69</f>
        <v>2692</v>
      </c>
      <c r="F63" s="27">
        <f>'Data Sheet'!E65-'Historical FS'!F69</f>
        <v>2645</v>
      </c>
      <c r="G63" s="27">
        <f>'Data Sheet'!F65-'Historical FS'!G69</f>
        <v>3793</v>
      </c>
      <c r="H63" s="27">
        <f>'Data Sheet'!G65-'Historical FS'!H69</f>
        <v>4035</v>
      </c>
      <c r="I63" s="27">
        <f>'Data Sheet'!H65-'Historical FS'!I69</f>
        <v>4021</v>
      </c>
      <c r="J63" s="27">
        <f>'Data Sheet'!I65-'Historical FS'!J69</f>
        <v>4377</v>
      </c>
      <c r="K63" s="27">
        <f>'Data Sheet'!J65-'Historical FS'!K69</f>
        <v>4517</v>
      </c>
      <c r="L63" s="27">
        <f>'Data Sheet'!K65-'Historical FS'!L69</f>
        <v>4921</v>
      </c>
    </row>
    <row r="64" spans="2:12" x14ac:dyDescent="0.25">
      <c r="B64" s="24" t="s">
        <v>81</v>
      </c>
      <c r="C64" s="32">
        <f>SUM(C60:C63)</f>
        <v>7794</v>
      </c>
      <c r="D64" s="32">
        <f t="shared" ref="D64:L64" si="20">SUM(D60:D63)</f>
        <v>10252</v>
      </c>
      <c r="E64" s="32">
        <f t="shared" si="20"/>
        <v>10554</v>
      </c>
      <c r="F64" s="32">
        <f t="shared" si="20"/>
        <v>10482</v>
      </c>
      <c r="G64" s="32">
        <f t="shared" si="20"/>
        <v>11124</v>
      </c>
      <c r="H64" s="32">
        <f t="shared" si="20"/>
        <v>58932</v>
      </c>
      <c r="I64" s="32">
        <f t="shared" si="20"/>
        <v>60328</v>
      </c>
      <c r="J64" s="32">
        <f t="shared" si="20"/>
        <v>61069</v>
      </c>
      <c r="K64" s="32">
        <f t="shared" si="20"/>
        <v>63911</v>
      </c>
      <c r="L64" s="32">
        <f t="shared" si="20"/>
        <v>64075</v>
      </c>
    </row>
    <row r="65" spans="2:12" x14ac:dyDescent="0.25">
      <c r="B65" s="20"/>
    </row>
    <row r="66" spans="2:12" x14ac:dyDescent="0.25">
      <c r="B66" s="20" t="str">
        <f>'Data Sheet'!A67</f>
        <v>Receivables</v>
      </c>
      <c r="C66" s="27">
        <f>'Data Sheet'!B67</f>
        <v>1264</v>
      </c>
      <c r="D66" s="27">
        <f>'Data Sheet'!C67</f>
        <v>1085</v>
      </c>
      <c r="E66" s="27">
        <f>'Data Sheet'!D67</f>
        <v>1310</v>
      </c>
      <c r="F66" s="27">
        <f>'Data Sheet'!E67</f>
        <v>1816</v>
      </c>
      <c r="G66" s="27">
        <f>'Data Sheet'!F67</f>
        <v>1149</v>
      </c>
      <c r="H66" s="27">
        <f>'Data Sheet'!G67</f>
        <v>1758</v>
      </c>
      <c r="I66" s="27">
        <f>'Data Sheet'!H67</f>
        <v>2236</v>
      </c>
      <c r="J66" s="27">
        <f>'Data Sheet'!I67</f>
        <v>3079</v>
      </c>
      <c r="K66" s="27">
        <f>'Data Sheet'!J67</f>
        <v>2997</v>
      </c>
      <c r="L66" s="27">
        <f>'Data Sheet'!K67</f>
        <v>3819</v>
      </c>
    </row>
    <row r="67" spans="2:12" x14ac:dyDescent="0.25">
      <c r="B67" s="20" t="str">
        <f>'Data Sheet'!A68</f>
        <v>Inventory</v>
      </c>
      <c r="C67" s="27">
        <f>'Data Sheet'!B68</f>
        <v>2726</v>
      </c>
      <c r="D67" s="27">
        <f>'Data Sheet'!C68</f>
        <v>2541</v>
      </c>
      <c r="E67" s="27">
        <f>'Data Sheet'!D68</f>
        <v>2513</v>
      </c>
      <c r="F67" s="27">
        <f>'Data Sheet'!E68</f>
        <v>2574</v>
      </c>
      <c r="G67" s="27">
        <f>'Data Sheet'!F68</f>
        <v>2767</v>
      </c>
      <c r="H67" s="27">
        <f>'Data Sheet'!G68</f>
        <v>3579</v>
      </c>
      <c r="I67" s="27">
        <f>'Data Sheet'!H68</f>
        <v>4096</v>
      </c>
      <c r="J67" s="27">
        <f>'Data Sheet'!I68</f>
        <v>4251</v>
      </c>
      <c r="K67" s="27">
        <f>'Data Sheet'!J68</f>
        <v>4022</v>
      </c>
      <c r="L67" s="27">
        <f>'Data Sheet'!K68</f>
        <v>4415</v>
      </c>
    </row>
    <row r="68" spans="2:12" x14ac:dyDescent="0.25">
      <c r="B68" s="20" t="str">
        <f>'Data Sheet'!A69</f>
        <v>Cash &amp; Bank</v>
      </c>
      <c r="C68" s="27">
        <f>'Data Sheet'!B69</f>
        <v>3009</v>
      </c>
      <c r="D68" s="27">
        <f>'Data Sheet'!C69</f>
        <v>1828</v>
      </c>
      <c r="E68" s="27">
        <f>'Data Sheet'!D69</f>
        <v>3485</v>
      </c>
      <c r="F68" s="27">
        <f>'Data Sheet'!E69</f>
        <v>3757</v>
      </c>
      <c r="G68" s="27">
        <f>'Data Sheet'!F69</f>
        <v>5113</v>
      </c>
      <c r="H68" s="27">
        <f>'Data Sheet'!G69</f>
        <v>4471</v>
      </c>
      <c r="I68" s="27">
        <f>'Data Sheet'!H69</f>
        <v>3846</v>
      </c>
      <c r="J68" s="27">
        <f>'Data Sheet'!I69</f>
        <v>4678</v>
      </c>
      <c r="K68" s="27">
        <f>'Data Sheet'!J69</f>
        <v>7559</v>
      </c>
      <c r="L68" s="27">
        <f>'Data Sheet'!K69</f>
        <v>7554</v>
      </c>
    </row>
    <row r="69" spans="2:12" x14ac:dyDescent="0.25">
      <c r="B69" s="24" t="s">
        <v>82</v>
      </c>
      <c r="C69" s="32">
        <f>SUM(C66:C68)</f>
        <v>6999</v>
      </c>
      <c r="D69" s="32">
        <f t="shared" ref="D69:L69" si="21">SUM(D66:D68)</f>
        <v>5454</v>
      </c>
      <c r="E69" s="32">
        <f t="shared" si="21"/>
        <v>7308</v>
      </c>
      <c r="F69" s="32">
        <f t="shared" si="21"/>
        <v>8147</v>
      </c>
      <c r="G69" s="32">
        <f t="shared" si="21"/>
        <v>9029</v>
      </c>
      <c r="H69" s="32">
        <f t="shared" si="21"/>
        <v>9808</v>
      </c>
      <c r="I69" s="32">
        <f t="shared" si="21"/>
        <v>10178</v>
      </c>
      <c r="J69" s="32">
        <f t="shared" si="21"/>
        <v>12008</v>
      </c>
      <c r="K69" s="32">
        <f t="shared" si="21"/>
        <v>14578</v>
      </c>
      <c r="L69" s="32">
        <f t="shared" si="21"/>
        <v>15788</v>
      </c>
    </row>
    <row r="70" spans="2:12" x14ac:dyDescent="0.25">
      <c r="B70" s="20"/>
    </row>
    <row r="71" spans="2:12" x14ac:dyDescent="0.25">
      <c r="B71" s="23" t="s">
        <v>83</v>
      </c>
      <c r="C71" s="16">
        <f>SUM(C69+C64)</f>
        <v>14793</v>
      </c>
      <c r="D71" s="16">
        <f t="shared" ref="D71:L71" si="22">SUM(D69+D64)</f>
        <v>15706</v>
      </c>
      <c r="E71" s="16">
        <f t="shared" si="22"/>
        <v>17862</v>
      </c>
      <c r="F71" s="16">
        <f t="shared" si="22"/>
        <v>18629</v>
      </c>
      <c r="G71" s="16">
        <f t="shared" si="22"/>
        <v>20153</v>
      </c>
      <c r="H71" s="16">
        <f t="shared" si="22"/>
        <v>68740</v>
      </c>
      <c r="I71" s="16">
        <f t="shared" si="22"/>
        <v>70506</v>
      </c>
      <c r="J71" s="16">
        <f t="shared" si="22"/>
        <v>73077</v>
      </c>
      <c r="K71" s="16">
        <f t="shared" si="22"/>
        <v>78489</v>
      </c>
      <c r="L71" s="16">
        <f t="shared" si="22"/>
        <v>79863</v>
      </c>
    </row>
    <row r="72" spans="2:12" x14ac:dyDescent="0.25">
      <c r="B72" s="20"/>
    </row>
    <row r="73" spans="2:12" x14ac:dyDescent="0.25">
      <c r="B73" s="23" t="s">
        <v>84</v>
      </c>
      <c r="C73" s="17" t="b">
        <f>C71=C58</f>
        <v>1</v>
      </c>
      <c r="D73" s="17" t="b">
        <f t="shared" ref="D73:L73" si="23">D71=D58</f>
        <v>1</v>
      </c>
      <c r="E73" s="17" t="b">
        <f t="shared" si="23"/>
        <v>1</v>
      </c>
      <c r="F73" s="17" t="b">
        <f t="shared" si="23"/>
        <v>1</v>
      </c>
      <c r="G73" s="17" t="b">
        <f t="shared" si="23"/>
        <v>1</v>
      </c>
      <c r="H73" s="17" t="b">
        <f t="shared" si="23"/>
        <v>1</v>
      </c>
      <c r="I73" s="17" t="b">
        <f t="shared" si="23"/>
        <v>1</v>
      </c>
      <c r="J73" s="17" t="b">
        <f t="shared" si="23"/>
        <v>1</v>
      </c>
      <c r="K73" s="17" t="b">
        <f t="shared" si="23"/>
        <v>1</v>
      </c>
      <c r="L73" s="17" t="b">
        <f t="shared" si="23"/>
        <v>1</v>
      </c>
    </row>
  </sheetData>
  <mergeCells count="1">
    <mergeCell ref="B7:L7"/>
  </mergeCells>
  <pageMargins left="0.7" right="0.7" top="0.75" bottom="0.75" header="0.3" footer="0.3"/>
  <pageSetup orientation="landscape" r:id="rId1"/>
  <ignoredErrors>
    <ignoredError sqref="C15:E15 F15:L15 C21:L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A994-132C-4903-8677-6C47C192EE2D}">
  <dimension ref="B2:L50"/>
  <sheetViews>
    <sheetView showGridLines="0" topLeftCell="A28" workbookViewId="0">
      <selection activeCell="B38" sqref="B38"/>
    </sheetView>
  </sheetViews>
  <sheetFormatPr defaultRowHeight="15" x14ac:dyDescent="0.25"/>
  <cols>
    <col min="1" max="1" width="1.85546875" customWidth="1"/>
    <col min="2" max="2" width="28.42578125" bestFit="1" customWidth="1"/>
    <col min="3" max="3" width="10.28515625" bestFit="1" customWidth="1"/>
    <col min="4" max="12" width="10.5703125" bestFit="1" customWidth="1"/>
  </cols>
  <sheetData>
    <row r="2" spans="2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x14ac:dyDescent="0.25">
      <c r="B7" s="228" t="s">
        <v>85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</row>
    <row r="9" spans="2:12" x14ac:dyDescent="0.25">
      <c r="B9" s="228" t="str">
        <f>"Cash Flow Statement - " &amp; 'Data Sheet'!B1</f>
        <v>Cash Flow Statement - HINDUSTAN UNILEVER LTD</v>
      </c>
      <c r="C9" s="228"/>
      <c r="D9" s="228"/>
      <c r="E9" s="228"/>
      <c r="F9" s="228"/>
      <c r="G9" s="228"/>
      <c r="H9" s="228"/>
      <c r="I9" s="228"/>
      <c r="J9" s="228"/>
      <c r="K9" s="228"/>
      <c r="L9" s="228"/>
    </row>
    <row r="10" spans="2:12" x14ac:dyDescent="0.25">
      <c r="B10" s="5" t="s">
        <v>0</v>
      </c>
      <c r="C10" s="6">
        <v>42445</v>
      </c>
      <c r="D10" s="6">
        <f>C10+365</f>
        <v>42810</v>
      </c>
      <c r="E10" s="6">
        <f t="shared" ref="E10:L10" si="0">D10+365</f>
        <v>43175</v>
      </c>
      <c r="F10" s="6">
        <f t="shared" si="0"/>
        <v>43540</v>
      </c>
      <c r="G10" s="6">
        <f t="shared" si="0"/>
        <v>43905</v>
      </c>
      <c r="H10" s="6">
        <f t="shared" si="0"/>
        <v>44270</v>
      </c>
      <c r="I10" s="6">
        <f t="shared" si="0"/>
        <v>44635</v>
      </c>
      <c r="J10" s="6">
        <f t="shared" si="0"/>
        <v>45000</v>
      </c>
      <c r="K10" s="6">
        <f t="shared" si="0"/>
        <v>45365</v>
      </c>
      <c r="L10" s="6">
        <f t="shared" si="0"/>
        <v>45730</v>
      </c>
    </row>
    <row r="12" spans="2:12" x14ac:dyDescent="0.25">
      <c r="B12" s="33" t="s">
        <v>86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2:12" x14ac:dyDescent="0.25">
      <c r="B13" t="s">
        <v>89</v>
      </c>
      <c r="C13" s="38">
        <f>'Data Sheet'!B99</f>
        <v>4802</v>
      </c>
      <c r="D13" s="38">
        <f>'Data Sheet'!C99</f>
        <v>5510</v>
      </c>
      <c r="E13" s="38">
        <f>'Data Sheet'!D99</f>
        <v>6025</v>
      </c>
      <c r="F13" s="38">
        <f>'Data Sheet'!E99</f>
        <v>6512</v>
      </c>
      <c r="G13" s="38">
        <f>'Data Sheet'!F99</f>
        <v>7485</v>
      </c>
      <c r="H13" s="38">
        <f>'Data Sheet'!G99</f>
        <v>8909</v>
      </c>
      <c r="I13" s="38">
        <f>'Data Sheet'!H99</f>
        <v>9723</v>
      </c>
      <c r="J13" s="38">
        <f>'Data Sheet'!I99</f>
        <v>11672</v>
      </c>
      <c r="K13" s="38">
        <f>'Data Sheet'!J99</f>
        <v>12829</v>
      </c>
      <c r="L13" s="38">
        <f>'Data Sheet'!K99</f>
        <v>14089</v>
      </c>
    </row>
    <row r="14" spans="2:12" x14ac:dyDescent="0.25">
      <c r="B14" t="s">
        <v>43</v>
      </c>
      <c r="C14" s="38">
        <f>'Data Sheet'!B100</f>
        <v>-17</v>
      </c>
      <c r="D14" s="38">
        <f>'Data Sheet'!C100</f>
        <v>3</v>
      </c>
      <c r="E14" s="38">
        <f>'Data Sheet'!D100</f>
        <v>-257</v>
      </c>
      <c r="F14" s="38">
        <f>'Data Sheet'!E100</f>
        <v>173</v>
      </c>
      <c r="G14" s="38">
        <f>'Data Sheet'!F100</f>
        <v>0</v>
      </c>
      <c r="H14" s="38">
        <f>'Data Sheet'!G100</f>
        <v>0</v>
      </c>
      <c r="I14" s="38">
        <f>'Data Sheet'!H100</f>
        <v>0</v>
      </c>
      <c r="J14" s="38">
        <f>'Data Sheet'!I100</f>
        <v>0</v>
      </c>
      <c r="K14" s="38">
        <f>'Data Sheet'!J100</f>
        <v>0</v>
      </c>
      <c r="L14" s="38">
        <f>'Data Sheet'!K100</f>
        <v>0</v>
      </c>
    </row>
    <row r="15" spans="2:12" x14ac:dyDescent="0.25">
      <c r="B15" t="s">
        <v>44</v>
      </c>
      <c r="C15" s="38">
        <f>'Data Sheet'!B101</f>
        <v>-201</v>
      </c>
      <c r="D15" s="38">
        <f>'Data Sheet'!C101</f>
        <v>91</v>
      </c>
      <c r="E15" s="38">
        <f>'Data Sheet'!D101</f>
        <v>89</v>
      </c>
      <c r="F15" s="38">
        <f>'Data Sheet'!E101</f>
        <v>37</v>
      </c>
      <c r="G15" s="38">
        <f>'Data Sheet'!F101</f>
        <v>-146</v>
      </c>
      <c r="H15" s="38">
        <f>'Data Sheet'!G101</f>
        <v>-195</v>
      </c>
      <c r="I15" s="38">
        <f>'Data Sheet'!H101</f>
        <v>-331</v>
      </c>
      <c r="J15" s="38">
        <f>'Data Sheet'!I101</f>
        <v>-543</v>
      </c>
      <c r="K15" s="38">
        <f>'Data Sheet'!J101</f>
        <v>-758</v>
      </c>
      <c r="L15" s="38">
        <f>'Data Sheet'!K101</f>
        <v>-339</v>
      </c>
    </row>
    <row r="16" spans="2:12" x14ac:dyDescent="0.25">
      <c r="B16" t="s">
        <v>90</v>
      </c>
      <c r="C16" s="38">
        <f>'Data Sheet'!B102</f>
        <v>546</v>
      </c>
      <c r="D16" s="38">
        <f>'Data Sheet'!C102</f>
        <v>-327</v>
      </c>
      <c r="E16" s="38">
        <f>'Data Sheet'!D102</f>
        <v>164</v>
      </c>
      <c r="F16" s="38">
        <f>'Data Sheet'!E102</f>
        <v>501</v>
      </c>
      <c r="G16" s="38">
        <f>'Data Sheet'!F102</f>
        <v>0</v>
      </c>
      <c r="H16" s="38">
        <f>'Data Sheet'!G102</f>
        <v>0</v>
      </c>
      <c r="I16" s="38">
        <f>'Data Sheet'!H102</f>
        <v>0</v>
      </c>
      <c r="J16" s="38">
        <f>'Data Sheet'!I102</f>
        <v>0</v>
      </c>
      <c r="K16" s="38">
        <f>'Data Sheet'!J102</f>
        <v>0</v>
      </c>
      <c r="L16" s="38">
        <f>'Data Sheet'!K102</f>
        <v>0</v>
      </c>
    </row>
    <row r="17" spans="2:12" x14ac:dyDescent="0.25">
      <c r="B17" t="s">
        <v>91</v>
      </c>
      <c r="C17" s="38">
        <f>'Data Sheet'!B103</f>
        <v>-4</v>
      </c>
      <c r="D17" s="38">
        <f>'Data Sheet'!C103</f>
        <v>-148</v>
      </c>
      <c r="E17" s="38">
        <f>'Data Sheet'!D103</f>
        <v>0</v>
      </c>
      <c r="F17" s="38">
        <f>'Data Sheet'!E103</f>
        <v>0</v>
      </c>
      <c r="G17" s="38">
        <f>'Data Sheet'!F103</f>
        <v>0</v>
      </c>
      <c r="H17" s="38">
        <f>'Data Sheet'!G103</f>
        <v>0</v>
      </c>
      <c r="I17" s="38">
        <f>'Data Sheet'!H103</f>
        <v>0</v>
      </c>
      <c r="J17" s="38">
        <f>'Data Sheet'!I103</f>
        <v>0</v>
      </c>
      <c r="K17" s="38">
        <f>'Data Sheet'!J103</f>
        <v>0</v>
      </c>
      <c r="L17" s="38">
        <f>'Data Sheet'!K103</f>
        <v>0</v>
      </c>
    </row>
    <row r="18" spans="2:12" x14ac:dyDescent="0.25">
      <c r="B18" t="s">
        <v>92</v>
      </c>
      <c r="C18" s="38">
        <f>'Data Sheet'!B104</f>
        <v>81</v>
      </c>
      <c r="D18" s="38">
        <f>'Data Sheet'!C104</f>
        <v>38</v>
      </c>
      <c r="E18" s="38">
        <f>'Data Sheet'!D104</f>
        <v>-77</v>
      </c>
      <c r="F18" s="38">
        <f>'Data Sheet'!E104</f>
        <v>-99</v>
      </c>
      <c r="G18" s="38">
        <f>'Data Sheet'!F104</f>
        <v>982</v>
      </c>
      <c r="H18" s="38">
        <f>'Data Sheet'!G104</f>
        <v>-147</v>
      </c>
      <c r="I18" s="38">
        <f>'Data Sheet'!H104</f>
        <v>742</v>
      </c>
      <c r="J18" s="38">
        <f>'Data Sheet'!I104</f>
        <v>442</v>
      </c>
      <c r="K18" s="38">
        <f>'Data Sheet'!J104</f>
        <v>-242</v>
      </c>
      <c r="L18" s="38">
        <f>'Data Sheet'!K104</f>
        <v>-621</v>
      </c>
    </row>
    <row r="19" spans="2:12" x14ac:dyDescent="0.25">
      <c r="B19" t="s">
        <v>93</v>
      </c>
      <c r="C19" s="38">
        <f>'Data Sheet'!B105</f>
        <v>405</v>
      </c>
      <c r="D19" s="38">
        <f>'Data Sheet'!C105</f>
        <v>-342</v>
      </c>
      <c r="E19" s="38">
        <f>'Data Sheet'!D105</f>
        <v>-81</v>
      </c>
      <c r="F19" s="38">
        <f>'Data Sheet'!E105</f>
        <v>566</v>
      </c>
      <c r="G19" s="38">
        <f>'Data Sheet'!F105</f>
        <v>836</v>
      </c>
      <c r="H19" s="38">
        <f>'Data Sheet'!G105</f>
        <v>-342</v>
      </c>
      <c r="I19" s="38">
        <f>'Data Sheet'!H105</f>
        <v>411</v>
      </c>
      <c r="J19" s="38">
        <f>'Data Sheet'!I105</f>
        <v>-101</v>
      </c>
      <c r="K19" s="38">
        <f>'Data Sheet'!J105</f>
        <v>-1000</v>
      </c>
      <c r="L19" s="38">
        <f>'Data Sheet'!K105</f>
        <v>-960</v>
      </c>
    </row>
    <row r="20" spans="2:12" x14ac:dyDescent="0.25">
      <c r="B20" t="s">
        <v>94</v>
      </c>
      <c r="C20" s="38">
        <f>'Data Sheet'!B106</f>
        <v>-1384</v>
      </c>
      <c r="D20" s="38">
        <f>'Data Sheet'!C106</f>
        <v>-1862</v>
      </c>
      <c r="E20" s="38">
        <f>'Data Sheet'!D106</f>
        <v>-1765</v>
      </c>
      <c r="F20" s="38">
        <f>'Data Sheet'!E106</f>
        <v>-1859</v>
      </c>
      <c r="G20" s="38">
        <f>'Data Sheet'!F106</f>
        <v>-2264</v>
      </c>
      <c r="H20" s="38">
        <f>'Data Sheet'!G106</f>
        <v>-2767</v>
      </c>
      <c r="I20" s="38">
        <f>'Data Sheet'!H106</f>
        <v>-2505</v>
      </c>
      <c r="J20" s="38">
        <f>'Data Sheet'!I106</f>
        <v>-2407</v>
      </c>
      <c r="K20" s="38">
        <f>'Data Sheet'!J106</f>
        <v>-2784</v>
      </c>
      <c r="L20" s="38">
        <f>'Data Sheet'!K106</f>
        <v>-3138</v>
      </c>
    </row>
    <row r="21" spans="2:12" x14ac:dyDescent="0.25">
      <c r="B21" t="s">
        <v>95</v>
      </c>
      <c r="C21" s="38">
        <f>'Data Sheet'!B107</f>
        <v>-5</v>
      </c>
      <c r="D21" s="38">
        <f>'Data Sheet'!C107</f>
        <v>-14</v>
      </c>
      <c r="E21" s="38">
        <f>'Data Sheet'!D107</f>
        <v>-8</v>
      </c>
      <c r="F21" s="38">
        <f>'Data Sheet'!E107</f>
        <v>-21</v>
      </c>
      <c r="G21" s="38">
        <f>'Data Sheet'!F107</f>
        <v>0</v>
      </c>
      <c r="H21" s="38">
        <f>'Data Sheet'!G107</f>
        <v>0</v>
      </c>
      <c r="I21" s="38">
        <f>'Data Sheet'!H107</f>
        <v>0</v>
      </c>
      <c r="J21" s="38">
        <f>'Data Sheet'!I107</f>
        <v>0</v>
      </c>
      <c r="K21" s="38">
        <f>'Data Sheet'!J107</f>
        <v>0</v>
      </c>
      <c r="L21" s="38">
        <f>'Data Sheet'!K107</f>
        <v>0</v>
      </c>
    </row>
    <row r="22" spans="2:12" x14ac:dyDescent="0.25">
      <c r="B22" t="s">
        <v>96</v>
      </c>
      <c r="C22" s="38">
        <f>'Data Sheet'!B108</f>
        <v>0</v>
      </c>
      <c r="D22" s="38">
        <f>'Data Sheet'!C108</f>
        <v>0</v>
      </c>
      <c r="E22" s="38">
        <f>'Data Sheet'!D108</f>
        <v>0</v>
      </c>
      <c r="F22" s="38">
        <f>'Data Sheet'!E108</f>
        <v>-13</v>
      </c>
      <c r="G22" s="38">
        <f>'Data Sheet'!F108</f>
        <v>2</v>
      </c>
      <c r="H22" s="38">
        <f>'Data Sheet'!G108</f>
        <v>0</v>
      </c>
      <c r="I22" s="38">
        <f>'Data Sheet'!H108</f>
        <v>-6</v>
      </c>
      <c r="J22" s="38">
        <f>'Data Sheet'!I108</f>
        <v>-1</v>
      </c>
      <c r="K22" s="38">
        <f>'Data Sheet'!J108</f>
        <v>3</v>
      </c>
      <c r="L22" s="38">
        <f>'Data Sheet'!K108</f>
        <v>0</v>
      </c>
    </row>
    <row r="23" spans="2:12" x14ac:dyDescent="0.25">
      <c r="C23" s="36"/>
      <c r="D23" s="36"/>
      <c r="E23" s="36"/>
      <c r="F23" s="36"/>
      <c r="G23" s="36"/>
      <c r="H23" s="36"/>
      <c r="I23" s="36"/>
      <c r="J23" s="36"/>
      <c r="K23" s="36"/>
      <c r="L23" s="36"/>
    </row>
    <row r="24" spans="2:12" x14ac:dyDescent="0.25">
      <c r="B24" s="16" t="s">
        <v>117</v>
      </c>
      <c r="C24" s="39">
        <f>SUM(C13:C22)</f>
        <v>4223</v>
      </c>
      <c r="D24" s="39">
        <f t="shared" ref="D24:L24" si="1">SUM(D13:D22)</f>
        <v>2949</v>
      </c>
      <c r="E24" s="39">
        <f t="shared" si="1"/>
        <v>4090</v>
      </c>
      <c r="F24" s="39">
        <f t="shared" si="1"/>
        <v>5797</v>
      </c>
      <c r="G24" s="39">
        <f t="shared" si="1"/>
        <v>6895</v>
      </c>
      <c r="H24" s="39">
        <f t="shared" si="1"/>
        <v>5458</v>
      </c>
      <c r="I24" s="39">
        <f t="shared" si="1"/>
        <v>8034</v>
      </c>
      <c r="J24" s="39">
        <f t="shared" si="1"/>
        <v>9062</v>
      </c>
      <c r="K24" s="39">
        <f t="shared" si="1"/>
        <v>8048</v>
      </c>
      <c r="L24" s="39">
        <f t="shared" si="1"/>
        <v>9031</v>
      </c>
    </row>
    <row r="26" spans="2:12" x14ac:dyDescent="0.25">
      <c r="B26" s="35" t="s">
        <v>118</v>
      </c>
    </row>
    <row r="27" spans="2:12" x14ac:dyDescent="0.25">
      <c r="B27" t="s">
        <v>98</v>
      </c>
      <c r="C27" s="38">
        <f>'Data Sheet'!B110</f>
        <v>-606</v>
      </c>
      <c r="D27" s="38">
        <f>'Data Sheet'!C110</f>
        <v>-606</v>
      </c>
      <c r="E27" s="38">
        <f>'Data Sheet'!D110</f>
        <v>-810</v>
      </c>
      <c r="F27" s="38">
        <f>'Data Sheet'!E110</f>
        <v>-1113</v>
      </c>
      <c r="G27" s="38">
        <f>'Data Sheet'!F110</f>
        <v>-895</v>
      </c>
      <c r="H27" s="38">
        <f>'Data Sheet'!G110</f>
        <v>-767</v>
      </c>
      <c r="I27" s="38">
        <f>'Data Sheet'!H110</f>
        <v>-862</v>
      </c>
      <c r="J27" s="38">
        <f>'Data Sheet'!I110</f>
        <v>-4163</v>
      </c>
      <c r="K27" s="38">
        <f>'Data Sheet'!J110</f>
        <v>-1228</v>
      </c>
      <c r="L27" s="38">
        <f>'Data Sheet'!K110</f>
        <v>-1192</v>
      </c>
    </row>
    <row r="28" spans="2:12" x14ac:dyDescent="0.25">
      <c r="B28" t="s">
        <v>99</v>
      </c>
      <c r="C28" s="38">
        <f>'Data Sheet'!B111</f>
        <v>229</v>
      </c>
      <c r="D28" s="38">
        <f>'Data Sheet'!C111</f>
        <v>560</v>
      </c>
      <c r="E28" s="38">
        <f>'Data Sheet'!D111</f>
        <v>99</v>
      </c>
      <c r="F28" s="38">
        <f>'Data Sheet'!E111</f>
        <v>176</v>
      </c>
      <c r="G28" s="38">
        <f>'Data Sheet'!F111</f>
        <v>32</v>
      </c>
      <c r="H28" s="38">
        <f>'Data Sheet'!G111</f>
        <v>13</v>
      </c>
      <c r="I28" s="38">
        <f>'Data Sheet'!H111</f>
        <v>52</v>
      </c>
      <c r="J28" s="38">
        <f>'Data Sheet'!I111</f>
        <v>97</v>
      </c>
      <c r="K28" s="38">
        <f>'Data Sheet'!J111</f>
        <v>175</v>
      </c>
      <c r="L28" s="38">
        <f>'Data Sheet'!K111</f>
        <v>181</v>
      </c>
    </row>
    <row r="29" spans="2:12" x14ac:dyDescent="0.25">
      <c r="B29" t="s">
        <v>100</v>
      </c>
      <c r="C29" s="38">
        <f>'Data Sheet'!B112</f>
        <v>-9538</v>
      </c>
      <c r="D29" s="38">
        <f>'Data Sheet'!C112</f>
        <v>-19353</v>
      </c>
      <c r="E29" s="38">
        <f>'Data Sheet'!D112</f>
        <v>-20666</v>
      </c>
      <c r="F29" s="38">
        <f>'Data Sheet'!E112</f>
        <v>-31214</v>
      </c>
      <c r="G29" s="38">
        <f>'Data Sheet'!F112</f>
        <v>-51855</v>
      </c>
      <c r="H29" s="38">
        <f>'Data Sheet'!G112</f>
        <v>-74365</v>
      </c>
      <c r="I29" s="38">
        <f>'Data Sheet'!H112</f>
        <v>-36090</v>
      </c>
      <c r="J29" s="38">
        <f>'Data Sheet'!I112</f>
        <v>-39920</v>
      </c>
      <c r="K29" s="38">
        <f>'Data Sheet'!J112</f>
        <v>-48522</v>
      </c>
      <c r="L29" s="38">
        <f>'Data Sheet'!K112</f>
        <v>-22649</v>
      </c>
    </row>
    <row r="30" spans="2:12" x14ac:dyDescent="0.25">
      <c r="B30" t="s">
        <v>101</v>
      </c>
      <c r="C30" s="38">
        <f>'Data Sheet'!B113</f>
        <v>9213</v>
      </c>
      <c r="D30" s="38">
        <f>'Data Sheet'!C113</f>
        <v>19461</v>
      </c>
      <c r="E30" s="38">
        <f>'Data Sheet'!D113</f>
        <v>20937</v>
      </c>
      <c r="F30" s="38">
        <f>'Data Sheet'!E113</f>
        <v>30083</v>
      </c>
      <c r="G30" s="38">
        <f>'Data Sheet'!F113</f>
        <v>52897</v>
      </c>
      <c r="H30" s="38">
        <f>'Data Sheet'!G113</f>
        <v>74691</v>
      </c>
      <c r="I30" s="38">
        <f>'Data Sheet'!H113</f>
        <v>37690</v>
      </c>
      <c r="J30" s="38">
        <f>'Data Sheet'!I113</f>
        <v>38486</v>
      </c>
      <c r="K30" s="38">
        <f>'Data Sheet'!J113</f>
        <v>47786</v>
      </c>
      <c r="L30" s="38">
        <f>'Data Sheet'!K113</f>
        <v>23462</v>
      </c>
    </row>
    <row r="31" spans="2:12" x14ac:dyDescent="0.25">
      <c r="B31" t="s">
        <v>102</v>
      </c>
      <c r="C31" s="38">
        <f>'Data Sheet'!B114</f>
        <v>232</v>
      </c>
      <c r="D31" s="38">
        <f>'Data Sheet'!C114</f>
        <v>218</v>
      </c>
      <c r="E31" s="38">
        <f>'Data Sheet'!D114</f>
        <v>315</v>
      </c>
      <c r="F31" s="38">
        <f>'Data Sheet'!E114</f>
        <v>264</v>
      </c>
      <c r="G31" s="38">
        <f>'Data Sheet'!F114</f>
        <v>297</v>
      </c>
      <c r="H31" s="38">
        <f>'Data Sheet'!G114</f>
        <v>289</v>
      </c>
      <c r="I31" s="38">
        <f>'Data Sheet'!H114</f>
        <v>351</v>
      </c>
      <c r="J31" s="38">
        <f>'Data Sheet'!I114</f>
        <v>277</v>
      </c>
      <c r="K31" s="38">
        <f>'Data Sheet'!J114</f>
        <v>161</v>
      </c>
      <c r="L31" s="38">
        <f>'Data Sheet'!K114</f>
        <v>259</v>
      </c>
    </row>
    <row r="32" spans="2:12" x14ac:dyDescent="0.25">
      <c r="B32" t="s">
        <v>103</v>
      </c>
      <c r="C32" s="38">
        <f>'Data Sheet'!B115</f>
        <v>16</v>
      </c>
      <c r="D32" s="38">
        <f>'Data Sheet'!C115</f>
        <v>24</v>
      </c>
      <c r="E32" s="38">
        <f>'Data Sheet'!D115</f>
        <v>33</v>
      </c>
      <c r="F32" s="38">
        <f>'Data Sheet'!E115</f>
        <v>14</v>
      </c>
      <c r="G32" s="38">
        <f>'Data Sheet'!F115</f>
        <v>0</v>
      </c>
      <c r="H32" s="38">
        <f>'Data Sheet'!G115</f>
        <v>1</v>
      </c>
      <c r="I32" s="38">
        <f>'Data Sheet'!H115</f>
        <v>1</v>
      </c>
      <c r="J32" s="38">
        <f>'Data Sheet'!I115</f>
        <v>1</v>
      </c>
      <c r="K32" s="38">
        <f>'Data Sheet'!J115</f>
        <v>1</v>
      </c>
      <c r="L32" s="38">
        <f>'Data Sheet'!K115</f>
        <v>2</v>
      </c>
    </row>
    <row r="33" spans="2:12" x14ac:dyDescent="0.25">
      <c r="B33" t="s">
        <v>104</v>
      </c>
      <c r="C33" s="38">
        <f>'Data Sheet'!B116</f>
        <v>-101</v>
      </c>
      <c r="D33" s="38">
        <f>'Data Sheet'!C116</f>
        <v>0</v>
      </c>
      <c r="E33" s="38">
        <f>'Data Sheet'!D116</f>
        <v>0</v>
      </c>
      <c r="F33" s="38">
        <f>'Data Sheet'!E116</f>
        <v>0</v>
      </c>
      <c r="G33" s="38">
        <f>'Data Sheet'!F116</f>
        <v>0</v>
      </c>
      <c r="H33" s="38">
        <f>'Data Sheet'!G116</f>
        <v>0</v>
      </c>
      <c r="I33" s="38">
        <f>'Data Sheet'!H116</f>
        <v>0</v>
      </c>
      <c r="J33" s="38">
        <f>'Data Sheet'!I116</f>
        <v>0</v>
      </c>
      <c r="K33" s="38">
        <f>'Data Sheet'!J116</f>
        <v>0</v>
      </c>
      <c r="L33" s="38">
        <f>'Data Sheet'!K116</f>
        <v>0</v>
      </c>
    </row>
    <row r="34" spans="2:12" x14ac:dyDescent="0.25">
      <c r="B34" t="s">
        <v>105</v>
      </c>
      <c r="C34" s="38">
        <f>'Data Sheet'!B117</f>
        <v>-104</v>
      </c>
      <c r="D34" s="38">
        <f>'Data Sheet'!C117</f>
        <v>0</v>
      </c>
      <c r="E34" s="38">
        <f>'Data Sheet'!D117</f>
        <v>0</v>
      </c>
      <c r="F34" s="38">
        <f>'Data Sheet'!E117</f>
        <v>0</v>
      </c>
      <c r="G34" s="38">
        <f>'Data Sheet'!F117</f>
        <v>0</v>
      </c>
      <c r="H34" s="38">
        <f>'Data Sheet'!G117</f>
        <v>0</v>
      </c>
      <c r="I34" s="38">
        <f>'Data Sheet'!H117</f>
        <v>0</v>
      </c>
      <c r="J34" s="38">
        <f>'Data Sheet'!I117</f>
        <v>0</v>
      </c>
      <c r="K34" s="38">
        <f>'Data Sheet'!J117</f>
        <v>0</v>
      </c>
      <c r="L34" s="38">
        <f>'Data Sheet'!K117</f>
        <v>0</v>
      </c>
    </row>
    <row r="35" spans="2:12" x14ac:dyDescent="0.25">
      <c r="B35" t="s">
        <v>106</v>
      </c>
      <c r="C35" s="38">
        <f>'Data Sheet'!B118</f>
        <v>0</v>
      </c>
      <c r="D35" s="38">
        <f>'Data Sheet'!C118</f>
        <v>200</v>
      </c>
      <c r="E35" s="38">
        <f>'Data Sheet'!D118</f>
        <v>161</v>
      </c>
      <c r="F35" s="38">
        <f>'Data Sheet'!E118</f>
        <v>20</v>
      </c>
      <c r="G35" s="38">
        <f>'Data Sheet'!F118</f>
        <v>73</v>
      </c>
      <c r="H35" s="38">
        <f>'Data Sheet'!G118</f>
        <v>0</v>
      </c>
      <c r="I35" s="38">
        <f>'Data Sheet'!H118</f>
        <v>0</v>
      </c>
      <c r="J35" s="38">
        <f>'Data Sheet'!I118</f>
        <v>0</v>
      </c>
      <c r="K35" s="38">
        <f>'Data Sheet'!J118</f>
        <v>0</v>
      </c>
      <c r="L35" s="38">
        <f>'Data Sheet'!K118</f>
        <v>0</v>
      </c>
    </row>
    <row r="36" spans="2:12" x14ac:dyDescent="0.25">
      <c r="B36" t="s">
        <v>107</v>
      </c>
      <c r="C36" s="38">
        <f>'Data Sheet'!B119</f>
        <v>0</v>
      </c>
      <c r="D36" s="38">
        <f>'Data Sheet'!C119</f>
        <v>0</v>
      </c>
      <c r="E36" s="38">
        <f>'Data Sheet'!D119</f>
        <v>0</v>
      </c>
      <c r="F36" s="38">
        <f>'Data Sheet'!E119</f>
        <v>0</v>
      </c>
      <c r="G36" s="38">
        <f>'Data Sheet'!F119</f>
        <v>0</v>
      </c>
      <c r="H36" s="38">
        <f>'Data Sheet'!G119</f>
        <v>0</v>
      </c>
      <c r="I36" s="38">
        <f>'Data Sheet'!H119</f>
        <v>0</v>
      </c>
      <c r="J36" s="38">
        <f>'Data Sheet'!I119</f>
        <v>0</v>
      </c>
      <c r="K36" s="38">
        <f>'Data Sheet'!J119</f>
        <v>0</v>
      </c>
      <c r="L36" s="38">
        <f>'Data Sheet'!K119</f>
        <v>-334</v>
      </c>
    </row>
    <row r="37" spans="2:12" x14ac:dyDescent="0.25">
      <c r="B37" t="s">
        <v>108</v>
      </c>
      <c r="C37" s="38">
        <f>'Data Sheet'!B120</f>
        <v>183</v>
      </c>
      <c r="D37" s="38">
        <f>'Data Sheet'!C120</f>
        <v>-367</v>
      </c>
      <c r="E37" s="38">
        <f>'Data Sheet'!D120</f>
        <v>-351</v>
      </c>
      <c r="F37" s="38">
        <f>'Data Sheet'!E120</f>
        <v>597</v>
      </c>
      <c r="G37" s="38">
        <f>'Data Sheet'!F120</f>
        <v>-1612</v>
      </c>
      <c r="H37" s="38">
        <f>'Data Sheet'!G120</f>
        <v>-300</v>
      </c>
      <c r="I37" s="38">
        <f>'Data Sheet'!H120</f>
        <v>649</v>
      </c>
      <c r="J37" s="38">
        <f>'Data Sheet'!I120</f>
        <v>3994</v>
      </c>
      <c r="K37" s="38">
        <f>'Data Sheet'!J120</f>
        <v>-101</v>
      </c>
      <c r="L37" s="38">
        <f>'Data Sheet'!K120</f>
        <v>-1213</v>
      </c>
    </row>
    <row r="38" spans="2:12" x14ac:dyDescent="0.25">
      <c r="B38" s="16" t="s">
        <v>119</v>
      </c>
      <c r="C38" s="39">
        <f>SUM(C27:C37)</f>
        <v>-476</v>
      </c>
      <c r="D38" s="39">
        <f>SUM(D27:D37)</f>
        <v>137</v>
      </c>
      <c r="E38" s="39">
        <f>SUM(E27:E37)</f>
        <v>-282</v>
      </c>
      <c r="F38" s="39">
        <f t="shared" ref="F38:L38" si="2">SUM(F27:F37)</f>
        <v>-1173</v>
      </c>
      <c r="G38" s="39">
        <f t="shared" si="2"/>
        <v>-1063</v>
      </c>
      <c r="H38" s="39">
        <f t="shared" si="2"/>
        <v>-438</v>
      </c>
      <c r="I38" s="39">
        <f t="shared" si="2"/>
        <v>1791</v>
      </c>
      <c r="J38" s="39">
        <f t="shared" si="2"/>
        <v>-1228</v>
      </c>
      <c r="K38" s="39">
        <f t="shared" si="2"/>
        <v>-1728</v>
      </c>
      <c r="L38" s="39">
        <f t="shared" si="2"/>
        <v>-1484</v>
      </c>
    </row>
    <row r="40" spans="2:12" x14ac:dyDescent="0.25">
      <c r="B40" s="35" t="s">
        <v>120</v>
      </c>
    </row>
    <row r="41" spans="2:12" x14ac:dyDescent="0.25">
      <c r="B41" t="s">
        <v>110</v>
      </c>
      <c r="C41" s="38">
        <f>'Data Sheet'!B122</f>
        <v>2</v>
      </c>
      <c r="D41" s="38">
        <f>'Data Sheet'!C122</f>
        <v>2</v>
      </c>
      <c r="E41" s="38">
        <f>'Data Sheet'!D122</f>
        <v>0</v>
      </c>
      <c r="F41" s="38">
        <f>'Data Sheet'!E122</f>
        <v>0</v>
      </c>
      <c r="G41" s="38">
        <f>'Data Sheet'!F122</f>
        <v>0</v>
      </c>
      <c r="H41" s="38">
        <f>'Data Sheet'!G122</f>
        <v>0</v>
      </c>
      <c r="I41" s="38">
        <f>'Data Sheet'!H122</f>
        <v>0</v>
      </c>
      <c r="J41" s="38">
        <f>'Data Sheet'!I122</f>
        <v>0</v>
      </c>
      <c r="K41" s="38">
        <f>'Data Sheet'!J122</f>
        <v>0</v>
      </c>
      <c r="L41" s="38">
        <f>'Data Sheet'!K122</f>
        <v>0</v>
      </c>
    </row>
    <row r="42" spans="2:12" x14ac:dyDescent="0.25">
      <c r="B42" t="s">
        <v>111</v>
      </c>
      <c r="C42" s="38">
        <f>'Data Sheet'!B123</f>
        <v>0</v>
      </c>
      <c r="D42" s="38">
        <f>'Data Sheet'!C123</f>
        <v>0</v>
      </c>
      <c r="E42" s="38">
        <f>'Data Sheet'!D123</f>
        <v>177</v>
      </c>
      <c r="F42" s="38">
        <f>'Data Sheet'!E123</f>
        <v>460</v>
      </c>
      <c r="G42" s="38">
        <f>'Data Sheet'!F123</f>
        <v>0</v>
      </c>
      <c r="H42" s="38">
        <f>'Data Sheet'!G123</f>
        <v>99</v>
      </c>
      <c r="I42" s="38">
        <f>'Data Sheet'!H123</f>
        <v>0</v>
      </c>
      <c r="J42" s="38">
        <f>'Data Sheet'!I123</f>
        <v>188</v>
      </c>
      <c r="K42" s="38">
        <f>'Data Sheet'!J123</f>
        <v>55</v>
      </c>
      <c r="L42" s="38">
        <f>'Data Sheet'!K123</f>
        <v>286</v>
      </c>
    </row>
    <row r="43" spans="2:12" x14ac:dyDescent="0.25">
      <c r="B43" t="s">
        <v>112</v>
      </c>
      <c r="C43" s="38">
        <f>'Data Sheet'!B124</f>
        <v>-15</v>
      </c>
      <c r="D43" s="38">
        <f>'Data Sheet'!C124</f>
        <v>-3</v>
      </c>
      <c r="E43" s="38">
        <f>'Data Sheet'!D124</f>
        <v>0</v>
      </c>
      <c r="F43" s="38">
        <f>'Data Sheet'!E124</f>
        <v>-360</v>
      </c>
      <c r="G43" s="38">
        <f>'Data Sheet'!F124</f>
        <v>-277</v>
      </c>
      <c r="H43" s="38">
        <f>'Data Sheet'!G124</f>
        <v>0</v>
      </c>
      <c r="I43" s="38">
        <f>'Data Sheet'!H124</f>
        <v>-99</v>
      </c>
      <c r="J43" s="38">
        <f>'Data Sheet'!I124</f>
        <v>-188</v>
      </c>
      <c r="K43" s="38">
        <f>'Data Sheet'!J124</f>
        <v>-55</v>
      </c>
      <c r="L43" s="38">
        <f>'Data Sheet'!K124</f>
        <v>-208</v>
      </c>
    </row>
    <row r="44" spans="2:12" x14ac:dyDescent="0.25">
      <c r="B44" t="s">
        <v>113</v>
      </c>
      <c r="C44" s="38">
        <f>'Data Sheet'!B125</f>
        <v>-29</v>
      </c>
      <c r="D44" s="38">
        <f>'Data Sheet'!C125</f>
        <v>-18</v>
      </c>
      <c r="E44" s="38">
        <f>'Data Sheet'!D125</f>
        <v>-2</v>
      </c>
      <c r="F44" s="38">
        <f>'Data Sheet'!E125</f>
        <v>-14</v>
      </c>
      <c r="G44" s="38">
        <f>'Data Sheet'!F125</f>
        <v>-6</v>
      </c>
      <c r="H44" s="38">
        <f>'Data Sheet'!G125</f>
        <v>-7</v>
      </c>
      <c r="I44" s="38">
        <f>'Data Sheet'!H125</f>
        <v>-90</v>
      </c>
      <c r="J44" s="38">
        <f>'Data Sheet'!I125</f>
        <v>-92</v>
      </c>
      <c r="K44" s="38">
        <f>'Data Sheet'!J125</f>
        <v>-82</v>
      </c>
      <c r="L44" s="38">
        <f>'Data Sheet'!K125</f>
        <v>-88</v>
      </c>
    </row>
    <row r="45" spans="2:12" x14ac:dyDescent="0.25">
      <c r="B45" t="s">
        <v>114</v>
      </c>
      <c r="C45" s="38">
        <f>'Data Sheet'!B126</f>
        <v>-2481</v>
      </c>
      <c r="D45" s="38">
        <f>'Data Sheet'!C126</f>
        <v>-2912</v>
      </c>
      <c r="E45" s="38">
        <f>'Data Sheet'!D126</f>
        <v>-3354</v>
      </c>
      <c r="F45" s="38">
        <f>'Data Sheet'!E126</f>
        <v>-3572</v>
      </c>
      <c r="G45" s="38">
        <f>'Data Sheet'!F126</f>
        <v>-3911</v>
      </c>
      <c r="H45" s="38">
        <f>'Data Sheet'!G126</f>
        <v>-4554</v>
      </c>
      <c r="I45" s="38">
        <f>'Data Sheet'!H126</f>
        <v>-5196</v>
      </c>
      <c r="J45" s="38">
        <f>'Data Sheet'!I126</f>
        <v>-8811</v>
      </c>
      <c r="K45" s="38">
        <f>'Data Sheet'!J126</f>
        <v>-7526</v>
      </c>
      <c r="L45" s="38">
        <f>'Data Sheet'!K126</f>
        <v>-8474</v>
      </c>
    </row>
    <row r="46" spans="2:12" x14ac:dyDescent="0.25">
      <c r="B46" t="s">
        <v>115</v>
      </c>
      <c r="C46" s="38">
        <f>'Data Sheet'!B127</f>
        <v>0</v>
      </c>
      <c r="D46" s="38">
        <f>'Data Sheet'!C127</f>
        <v>0</v>
      </c>
      <c r="E46" s="38">
        <f>'Data Sheet'!D127</f>
        <v>0</v>
      </c>
      <c r="F46" s="38">
        <f>'Data Sheet'!E127</f>
        <v>0</v>
      </c>
      <c r="G46" s="38">
        <f>'Data Sheet'!F127</f>
        <v>0</v>
      </c>
      <c r="H46" s="38">
        <f>'Data Sheet'!G127</f>
        <v>0</v>
      </c>
      <c r="I46" s="38">
        <f>'Data Sheet'!H127</f>
        <v>-373</v>
      </c>
      <c r="J46" s="38">
        <f>'Data Sheet'!I127</f>
        <v>-406</v>
      </c>
      <c r="K46" s="38">
        <f>'Data Sheet'!J127</f>
        <v>-407</v>
      </c>
      <c r="L46" s="38">
        <f>'Data Sheet'!K127</f>
        <v>-467</v>
      </c>
    </row>
    <row r="47" spans="2:12" x14ac:dyDescent="0.25">
      <c r="B47" t="s">
        <v>116</v>
      </c>
      <c r="C47" s="38">
        <f>'Data Sheet'!B128</f>
        <v>-437</v>
      </c>
      <c r="D47" s="38">
        <f>'Data Sheet'!C128</f>
        <v>-533</v>
      </c>
      <c r="E47" s="38">
        <f>'Data Sheet'!D128</f>
        <v>-685</v>
      </c>
      <c r="F47" s="38">
        <f>'Data Sheet'!E128</f>
        <v>-728</v>
      </c>
      <c r="G47" s="38">
        <f>'Data Sheet'!F128</f>
        <v>-781</v>
      </c>
      <c r="H47" s="38">
        <f>'Data Sheet'!G128</f>
        <v>-928</v>
      </c>
      <c r="I47" s="38">
        <f>'Data Sheet'!H128</f>
        <v>-1061</v>
      </c>
      <c r="J47" s="38">
        <f>'Data Sheet'!I128</f>
        <v>0</v>
      </c>
      <c r="K47" s="38">
        <f>'Data Sheet'!J128</f>
        <v>0</v>
      </c>
      <c r="L47" s="38">
        <f>'Data Sheet'!K128</f>
        <v>-2</v>
      </c>
    </row>
    <row r="48" spans="2:12" x14ac:dyDescent="0.25">
      <c r="B48" s="16" t="s">
        <v>121</v>
      </c>
      <c r="C48" s="39">
        <f>SUM(C41:C47)</f>
        <v>-2960</v>
      </c>
      <c r="D48" s="39">
        <f t="shared" ref="D48:L48" si="3">SUM(D41:D47)</f>
        <v>-3464</v>
      </c>
      <c r="E48" s="39">
        <f t="shared" si="3"/>
        <v>-3864</v>
      </c>
      <c r="F48" s="39">
        <f t="shared" si="3"/>
        <v>-4214</v>
      </c>
      <c r="G48" s="39">
        <f t="shared" si="3"/>
        <v>-4975</v>
      </c>
      <c r="H48" s="39">
        <f t="shared" si="3"/>
        <v>-5390</v>
      </c>
      <c r="I48" s="39">
        <f t="shared" si="3"/>
        <v>-6819</v>
      </c>
      <c r="J48" s="39">
        <f t="shared" si="3"/>
        <v>-9309</v>
      </c>
      <c r="K48" s="39">
        <f t="shared" si="3"/>
        <v>-8015</v>
      </c>
      <c r="L48" s="39">
        <f t="shared" si="3"/>
        <v>-8953</v>
      </c>
    </row>
    <row r="50" spans="2:12" x14ac:dyDescent="0.25">
      <c r="B50" s="16" t="s">
        <v>53</v>
      </c>
      <c r="C50" s="39">
        <f>SUM(C38,C24,C48)</f>
        <v>787</v>
      </c>
      <c r="D50" s="39">
        <f t="shared" ref="D50:L50" si="4">SUM(D38,D24,D48)</f>
        <v>-378</v>
      </c>
      <c r="E50" s="39">
        <f t="shared" si="4"/>
        <v>-56</v>
      </c>
      <c r="F50" s="39">
        <f t="shared" si="4"/>
        <v>410</v>
      </c>
      <c r="G50" s="39">
        <f t="shared" si="4"/>
        <v>857</v>
      </c>
      <c r="H50" s="39">
        <f t="shared" si="4"/>
        <v>-370</v>
      </c>
      <c r="I50" s="39">
        <f t="shared" si="4"/>
        <v>3006</v>
      </c>
      <c r="J50" s="39">
        <f t="shared" si="4"/>
        <v>-1475</v>
      </c>
      <c r="K50" s="39">
        <f t="shared" si="4"/>
        <v>-1695</v>
      </c>
      <c r="L50" s="39">
        <f t="shared" si="4"/>
        <v>-1406</v>
      </c>
    </row>
  </sheetData>
  <mergeCells count="2">
    <mergeCell ref="B9:L9"/>
    <mergeCell ref="B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EE4F-5D2C-407B-9A03-887DF7C74041}">
  <dimension ref="B2:L44"/>
  <sheetViews>
    <sheetView showGridLines="0" topLeftCell="A53" workbookViewId="0">
      <selection activeCell="B1" sqref="B1"/>
    </sheetView>
  </sheetViews>
  <sheetFormatPr defaultRowHeight="15" x14ac:dyDescent="0.25"/>
  <cols>
    <col min="1" max="1" width="1.85546875" customWidth="1"/>
    <col min="2" max="2" width="23.85546875" bestFit="1" customWidth="1"/>
  </cols>
  <sheetData>
    <row r="2" spans="2:12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x14ac:dyDescent="0.25">
      <c r="B7" s="228" t="s">
        <v>122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</row>
    <row r="9" spans="2:12" x14ac:dyDescent="0.25">
      <c r="B9" s="228" t="str">
        <f>"Common Size Statement - "&amp;'Data Sheet'!$B$1</f>
        <v>Common Size Statement - HINDUSTAN UNILEVER LTD</v>
      </c>
      <c r="C9" s="228"/>
      <c r="D9" s="228"/>
      <c r="E9" s="228"/>
      <c r="F9" s="228"/>
      <c r="G9" s="228"/>
      <c r="H9" s="228"/>
      <c r="I9" s="228"/>
      <c r="J9" s="228"/>
      <c r="K9" s="228"/>
      <c r="L9" s="228"/>
    </row>
    <row r="10" spans="2:12" x14ac:dyDescent="0.25">
      <c r="B10" s="5" t="s">
        <v>0</v>
      </c>
      <c r="C10" s="6">
        <v>42445</v>
      </c>
      <c r="D10" s="6">
        <f>C10+365</f>
        <v>42810</v>
      </c>
      <c r="E10" s="6">
        <f t="shared" ref="E10:L10" si="0">D10+365</f>
        <v>43175</v>
      </c>
      <c r="F10" s="6">
        <f t="shared" si="0"/>
        <v>43540</v>
      </c>
      <c r="G10" s="6">
        <f t="shared" si="0"/>
        <v>43905</v>
      </c>
      <c r="H10" s="6">
        <f t="shared" si="0"/>
        <v>44270</v>
      </c>
      <c r="I10" s="6">
        <f t="shared" si="0"/>
        <v>44635</v>
      </c>
      <c r="J10" s="6">
        <f t="shared" si="0"/>
        <v>45000</v>
      </c>
      <c r="K10" s="6">
        <f t="shared" si="0"/>
        <v>45365</v>
      </c>
      <c r="L10" s="6">
        <f t="shared" si="0"/>
        <v>45730</v>
      </c>
    </row>
    <row r="12" spans="2:12" x14ac:dyDescent="0.25">
      <c r="B12" s="9" t="s">
        <v>15</v>
      </c>
      <c r="C12" s="29">
        <f>'Data Sheet'!B17/'Data Sheet'!B17</f>
        <v>1</v>
      </c>
      <c r="D12" s="29">
        <f>'Data Sheet'!C17/'Data Sheet'!C17</f>
        <v>1</v>
      </c>
      <c r="E12" s="29">
        <f>'Data Sheet'!D17/'Data Sheet'!D17</f>
        <v>1</v>
      </c>
      <c r="F12" s="29">
        <f>'Data Sheet'!E17/'Data Sheet'!E17</f>
        <v>1</v>
      </c>
      <c r="G12" s="29">
        <f>'Data Sheet'!F17/'Data Sheet'!F17</f>
        <v>1</v>
      </c>
      <c r="H12" s="29">
        <f>'Data Sheet'!G17/'Data Sheet'!G17</f>
        <v>1</v>
      </c>
      <c r="I12" s="29">
        <f>'Data Sheet'!H17/'Data Sheet'!H17</f>
        <v>1</v>
      </c>
      <c r="J12" s="29">
        <f>'Data Sheet'!I17/'Data Sheet'!I17</f>
        <v>1</v>
      </c>
      <c r="K12" s="29">
        <f>'Data Sheet'!J17/'Data Sheet'!J17</f>
        <v>1</v>
      </c>
      <c r="L12" s="29">
        <f>'Data Sheet'!K17/'Data Sheet'!K17</f>
        <v>1</v>
      </c>
    </row>
    <row r="13" spans="2:12" x14ac:dyDescent="0.25">
      <c r="B13" s="9" t="s">
        <v>16</v>
      </c>
      <c r="C13" s="29">
        <f>'Data Sheet'!B18/'Data Sheet'!B$17</f>
        <v>0.40961908904492639</v>
      </c>
      <c r="D13" s="29">
        <f>'Data Sheet'!C18/'Data Sheet'!C$17</f>
        <v>0.41028888486822268</v>
      </c>
      <c r="E13" s="29">
        <f>'Data Sheet'!D18/'Data Sheet'!D$17</f>
        <v>0.40042200028133351</v>
      </c>
      <c r="F13" s="29">
        <f>'Data Sheet'!E18/'Data Sheet'!E$17</f>
        <v>0.40307809717629101</v>
      </c>
      <c r="G13" s="29">
        <f>'Data Sheet'!F18/'Data Sheet'!F$17</f>
        <v>0.39456551793479627</v>
      </c>
      <c r="H13" s="29">
        <f>'Data Sheet'!G18/'Data Sheet'!G$17</f>
        <v>0.42827677128519182</v>
      </c>
      <c r="I13" s="29">
        <f>'Data Sheet'!H18/'Data Sheet'!H$17</f>
        <v>0.43608664149792165</v>
      </c>
      <c r="J13" s="29">
        <f>'Data Sheet'!I18/'Data Sheet'!I$17</f>
        <v>0.46924727632882141</v>
      </c>
      <c r="K13" s="29">
        <f>'Data Sheet'!J18/'Data Sheet'!J$17</f>
        <v>0.43333979578648057</v>
      </c>
      <c r="L13" s="29">
        <f>'Data Sheet'!K18/'Data Sheet'!K$17</f>
        <v>0.43319972750748564</v>
      </c>
    </row>
    <row r="14" spans="2:12" x14ac:dyDescent="0.25">
      <c r="B14" s="9" t="s">
        <v>17</v>
      </c>
      <c r="C14" s="29">
        <f>'Data Sheet'!B19/'Data Sheet'!B$17</f>
        <v>-2.5787609519666937E-3</v>
      </c>
      <c r="D14" s="29">
        <f>'Data Sheet'!C19/'Data Sheet'!C$17</f>
        <v>-4.3423195223448521E-3</v>
      </c>
      <c r="E14" s="29">
        <f>'Data Sheet'!D19/'Data Sheet'!D$17</f>
        <v>2.0256013504009003E-3</v>
      </c>
      <c r="F14" s="29">
        <f>'Data Sheet'!E19/'Data Sheet'!E$17</f>
        <v>-3.0526583566522515E-4</v>
      </c>
      <c r="G14" s="29">
        <f>'Data Sheet'!F19/'Data Sheet'!F$17</f>
        <v>2.7147273961239727E-3</v>
      </c>
      <c r="H14" s="29">
        <f>'Data Sheet'!G19/'Data Sheet'!G$17</f>
        <v>8.6118907884664454E-3</v>
      </c>
      <c r="I14" s="29">
        <f>'Data Sheet'!H19/'Data Sheet'!H$17</f>
        <v>4.1947908324753078E-4</v>
      </c>
      <c r="J14" s="29">
        <f>'Data Sheet'!I19/'Data Sheet'!I$17</f>
        <v>1.2380323539121821E-3</v>
      </c>
      <c r="K14" s="29">
        <f>'Data Sheet'!J19/'Data Sheet'!J$17</f>
        <v>1.7771746154840378E-4</v>
      </c>
      <c r="L14" s="29">
        <f>'Data Sheet'!K19/'Data Sheet'!K$17</f>
        <v>2.4239159709130084E-3</v>
      </c>
    </row>
    <row r="15" spans="2:12" x14ac:dyDescent="0.25">
      <c r="B15" s="9" t="s">
        <v>18</v>
      </c>
      <c r="C15" s="29">
        <f>'Data Sheet'!B20/'Data Sheet'!B$17</f>
        <v>9.6004473994904613E-3</v>
      </c>
      <c r="D15" s="29">
        <f>'Data Sheet'!C20/'Data Sheet'!C$17</f>
        <v>8.8957240214703574E-3</v>
      </c>
      <c r="E15" s="29">
        <f>'Data Sheet'!D20/'Data Sheet'!D$17</f>
        <v>8.2993388662259103E-3</v>
      </c>
      <c r="F15" s="29">
        <f>'Data Sheet'!E20/'Data Sheet'!E$17</f>
        <v>7.8351564487407783E-3</v>
      </c>
      <c r="G15" s="29">
        <f>'Data Sheet'!F20/'Data Sheet'!F$17</f>
        <v>7.5157730688987755E-3</v>
      </c>
      <c r="H15" s="29">
        <f>'Data Sheet'!G20/'Data Sheet'!G$17</f>
        <v>7.2084715488645061E-3</v>
      </c>
      <c r="I15" s="29">
        <f>'Data Sheet'!H20/'Data Sheet'!H$17</f>
        <v>6.0633794760324902E-3</v>
      </c>
      <c r="J15" s="29">
        <f>'Data Sheet'!I20/'Data Sheet'!I$17</f>
        <v>6.3387256520303732E-3</v>
      </c>
      <c r="K15" s="29">
        <f>'Data Sheet'!J20/'Data Sheet'!J$17</f>
        <v>7.2056352591443711E-3</v>
      </c>
      <c r="L15" s="29">
        <f>'Data Sheet'!K20/'Data Sheet'!K$17</f>
        <v>6.7647850952931672E-3</v>
      </c>
    </row>
    <row r="16" spans="2:12" x14ac:dyDescent="0.25">
      <c r="B16" s="9" t="s">
        <v>19</v>
      </c>
      <c r="C16" s="29">
        <f>'Data Sheet'!B21/'Data Sheet'!B$17</f>
        <v>9.21518672714845E-2</v>
      </c>
      <c r="D16" s="29">
        <f>'Data Sheet'!C21/'Data Sheet'!C$17</f>
        <v>8.7057475423677699E-2</v>
      </c>
      <c r="E16" s="29">
        <f>'Data Sheet'!D21/'Data Sheet'!D$17</f>
        <v>8.4343789562526375E-2</v>
      </c>
      <c r="F16" s="29">
        <f>'Data Sheet'!E21/'Data Sheet'!E$17</f>
        <v>7.7359450521495801E-2</v>
      </c>
      <c r="G16" s="29">
        <f>'Data Sheet'!F21/'Data Sheet'!F$17</f>
        <v>7.3046276047558006E-2</v>
      </c>
      <c r="H16" s="29">
        <f>'Data Sheet'!G21/'Data Sheet'!G$17</f>
        <v>6.0984945139066091E-2</v>
      </c>
      <c r="I16" s="29">
        <f>'Data Sheet'!H21/'Data Sheet'!H$17</f>
        <v>6.3951492964191739E-2</v>
      </c>
      <c r="J16" s="29">
        <f>'Data Sheet'!I21/'Data Sheet'!I$17</f>
        <v>6.2578408715747769E-2</v>
      </c>
      <c r="K16" s="29">
        <f>'Data Sheet'!J21/'Data Sheet'!J$17</f>
        <v>5.4688509758304249E-2</v>
      </c>
      <c r="L16" s="29">
        <f>'Data Sheet'!K21/'Data Sheet'!K$17</f>
        <v>6.074048256523186E-2</v>
      </c>
    </row>
    <row r="17" spans="2:12" x14ac:dyDescent="0.25">
      <c r="B17" s="9" t="s">
        <v>20</v>
      </c>
      <c r="C17" s="29">
        <f>'Data Sheet'!B22/'Data Sheet'!B$17</f>
        <v>5.2196607220530662E-2</v>
      </c>
      <c r="D17" s="29">
        <f>'Data Sheet'!C22/'Data Sheet'!C$17</f>
        <v>5.2560159218382488E-2</v>
      </c>
      <c r="E17" s="29">
        <f>'Data Sheet'!D22/'Data Sheet'!D$17</f>
        <v>5.2328034885356589E-2</v>
      </c>
      <c r="F17" s="29">
        <f>'Data Sheet'!E22/'Data Sheet'!E$17</f>
        <v>4.7697786822691428E-2</v>
      </c>
      <c r="G17" s="29">
        <f>'Data Sheet'!F22/'Data Sheet'!F$17</f>
        <v>4.574818389764472E-2</v>
      </c>
      <c r="H17" s="29">
        <f>'Data Sheet'!G22/'Data Sheet'!G$17</f>
        <v>5.0140341923960191E-2</v>
      </c>
      <c r="I17" s="29">
        <f>'Data Sheet'!H22/'Data Sheet'!H$17</f>
        <v>4.8526103039316627E-2</v>
      </c>
      <c r="J17" s="29">
        <f>'Data Sheet'!I22/'Data Sheet'!I$17</f>
        <v>4.7111257840871577E-2</v>
      </c>
      <c r="K17" s="29">
        <f>'Data Sheet'!J22/'Data Sheet'!J$17</f>
        <v>4.8613803799922452E-2</v>
      </c>
      <c r="L17" s="29">
        <f>'Data Sheet'!K22/'Data Sheet'!K$17</f>
        <v>4.8747643415028276E-2</v>
      </c>
    </row>
    <row r="18" spans="2:12" x14ac:dyDescent="0.25">
      <c r="B18" s="9" t="s">
        <v>21</v>
      </c>
      <c r="C18" s="29">
        <f>'Data Sheet'!B23/'Data Sheet'!B$17</f>
        <v>0.20943888647237929</v>
      </c>
      <c r="D18" s="29">
        <f>'Data Sheet'!C23/'Data Sheet'!C$17</f>
        <v>0.20170677281225499</v>
      </c>
      <c r="E18" s="29">
        <f>'Data Sheet'!D23/'Data Sheet'!D$17</f>
        <v>0.20402306934871289</v>
      </c>
      <c r="F18" s="29">
        <f>'Data Sheet'!E23/'Data Sheet'!E$17</f>
        <v>0.19832103790384126</v>
      </c>
      <c r="G18" s="29">
        <f>'Data Sheet'!F23/'Data Sheet'!F$17</f>
        <v>0.19153909961541363</v>
      </c>
      <c r="H18" s="29">
        <f>'Data Sheet'!G23/'Data Sheet'!G$17</f>
        <v>0.16811261376201411</v>
      </c>
      <c r="I18" s="29">
        <f>'Data Sheet'!H23/'Data Sheet'!H$17</f>
        <v>0.15566487434694734</v>
      </c>
      <c r="J18" s="29">
        <f>'Data Sheet'!I23/'Data Sheet'!I$17</f>
        <v>0.14501485638824696</v>
      </c>
      <c r="K18" s="29">
        <f>'Data Sheet'!J23/'Data Sheet'!J$17</f>
        <v>0.1741631123174357</v>
      </c>
      <c r="L18" s="29">
        <f>'Data Sheet'!K23/'Data Sheet'!K$17</f>
        <v>0.16940479396714248</v>
      </c>
    </row>
    <row r="19" spans="2:12" x14ac:dyDescent="0.25">
      <c r="B19" s="9" t="s">
        <v>22</v>
      </c>
      <c r="C19" s="29">
        <f>'Data Sheet'!B24/'Data Sheet'!B$17</f>
        <v>4.0794134095569499E-2</v>
      </c>
      <c r="D19" s="29">
        <f>'Data Sheet'!C24/'Data Sheet'!C$17</f>
        <v>4.4327845123937039E-2</v>
      </c>
      <c r="E19" s="29">
        <f>'Data Sheet'!D24/'Data Sheet'!D$17</f>
        <v>4.1637361091574059E-2</v>
      </c>
      <c r="F19" s="29">
        <f>'Data Sheet'!E24/'Data Sheet'!E$17</f>
        <v>3.9506486899007889E-2</v>
      </c>
      <c r="G19" s="29">
        <f>'Data Sheet'!F24/'Data Sheet'!F$17</f>
        <v>4.2430183746826534E-2</v>
      </c>
      <c r="H19" s="29">
        <f>'Data Sheet'!G24/'Data Sheet'!G$17</f>
        <v>4.6674321680700862E-2</v>
      </c>
      <c r="I19" s="29">
        <f>'Data Sheet'!H24/'Data Sheet'!H$17</f>
        <v>4.4979598062769327E-2</v>
      </c>
      <c r="J19" s="29">
        <f>'Data Sheet'!I24/'Data Sheet'!I$17</f>
        <v>3.742159128425223E-2</v>
      </c>
      <c r="K19" s="29">
        <f>'Data Sheet'!J24/'Data Sheet'!J$17</f>
        <v>4.5334108827711002E-2</v>
      </c>
      <c r="L19" s="29">
        <f>'Data Sheet'!K24/'Data Sheet'!K$17</f>
        <v>4.8414949066079432E-2</v>
      </c>
    </row>
    <row r="20" spans="2:12" x14ac:dyDescent="0.25">
      <c r="B20" s="9" t="s">
        <v>23</v>
      </c>
      <c r="C20" s="29">
        <f>'Data Sheet'!B25/'Data Sheet'!B$17</f>
        <v>1.5099732803082085E-2</v>
      </c>
      <c r="D20" s="29">
        <f>'Data Sheet'!C25/'Data Sheet'!C$17</f>
        <v>1.8273927989867923E-2</v>
      </c>
      <c r="E20" s="29">
        <f>'Data Sheet'!D25/'Data Sheet'!D$17</f>
        <v>9.9310732873821913E-3</v>
      </c>
      <c r="F20" s="29">
        <f>'Data Sheet'!E25/'Data Sheet'!E$17</f>
        <v>8.1912999236835402E-3</v>
      </c>
      <c r="G20" s="29">
        <f>'Data Sheet'!F25/'Data Sheet'!F$17</f>
        <v>1.0657818666264484E-2</v>
      </c>
      <c r="H20" s="29">
        <f>'Data Sheet'!G25/'Data Sheet'!G$17</f>
        <v>3.6148677383686313E-3</v>
      </c>
      <c r="I20" s="29">
        <f>'Data Sheet'!H25/'Data Sheet'!H$17</f>
        <v>4.1757236014186017E-3</v>
      </c>
      <c r="J20" s="29">
        <f>'Data Sheet'!I25/'Data Sheet'!I$17</f>
        <v>7.3951799273687686E-3</v>
      </c>
      <c r="K20" s="29">
        <f>'Data Sheet'!J25/'Data Sheet'!J$17</f>
        <v>1.3199560553185989E-2</v>
      </c>
      <c r="L20" s="29">
        <f>'Data Sheet'!K25/'Data Sheet'!K$17</f>
        <v>2.0943901395732007E-2</v>
      </c>
    </row>
    <row r="21" spans="2:12" x14ac:dyDescent="0.25">
      <c r="B21" s="9" t="s">
        <v>24</v>
      </c>
      <c r="C21" s="29">
        <f>'Data Sheet'!B26/'Data Sheet'!B$17</f>
        <v>1.0967501398123409E-2</v>
      </c>
      <c r="D21" s="29">
        <f>'Data Sheet'!C26/'Data Sheet'!C$17</f>
        <v>1.3026958567034558E-2</v>
      </c>
      <c r="E21" s="29">
        <f>'Data Sheet'!D26/'Data Sheet'!D$17</f>
        <v>1.4629343086228723E-2</v>
      </c>
      <c r="F21" s="29">
        <f>'Data Sheet'!E26/'Data Sheet'!E$17</f>
        <v>1.437293309590435E-2</v>
      </c>
      <c r="G21" s="29">
        <f>'Data Sheet'!F26/'Data Sheet'!F$17</f>
        <v>2.5186637508483524E-2</v>
      </c>
      <c r="H21" s="29">
        <f>'Data Sheet'!G26/'Data Sheet'!G$17</f>
        <v>2.2837458535340648E-2</v>
      </c>
      <c r="I21" s="29">
        <f>'Data Sheet'!H26/'Data Sheet'!H$17</f>
        <v>2.0802349082866187E-2</v>
      </c>
      <c r="J21" s="29">
        <f>'Data Sheet'!I26/'Data Sheet'!I$17</f>
        <v>1.8768570485308684E-2</v>
      </c>
      <c r="K21" s="29">
        <f>'Data Sheet'!J26/'Data Sheet'!J$17</f>
        <v>1.9645857567532635E-2</v>
      </c>
      <c r="L21" s="29">
        <f>'Data Sheet'!K26/'Data Sheet'!K$17</f>
        <v>2.1466706801223048E-2</v>
      </c>
    </row>
    <row r="22" spans="2:12" x14ac:dyDescent="0.25">
      <c r="B22" s="9" t="s">
        <v>25</v>
      </c>
      <c r="C22" s="29">
        <f>'Data Sheet'!B27/'Data Sheet'!B$17</f>
        <v>5.2817995401727462E-4</v>
      </c>
      <c r="D22" s="29">
        <f>'Data Sheet'!C27/'Data Sheet'!C$17</f>
        <v>1.0554248839032628E-3</v>
      </c>
      <c r="E22" s="29">
        <f>'Data Sheet'!D27/'Data Sheet'!D$17</f>
        <v>7.3146715431143621E-4</v>
      </c>
      <c r="F22" s="29">
        <f>'Data Sheet'!E27/'Data Sheet'!E$17</f>
        <v>8.3948104807936915E-4</v>
      </c>
      <c r="G22" s="29">
        <f>'Data Sheet'!F27/'Data Sheet'!F$17</f>
        <v>2.9660910439132291E-3</v>
      </c>
      <c r="H22" s="29">
        <f>'Data Sheet'!G27/'Data Sheet'!G$17</f>
        <v>2.4878795611125285E-3</v>
      </c>
      <c r="I22" s="29">
        <f>'Data Sheet'!H27/'Data Sheet'!H$17</f>
        <v>2.0211264920108303E-3</v>
      </c>
      <c r="J22" s="29">
        <f>'Data Sheet'!I27/'Data Sheet'!I$17</f>
        <v>1.881809177946517E-3</v>
      </c>
      <c r="K22" s="29">
        <f>'Data Sheet'!J27/'Data Sheet'!J$17</f>
        <v>5.3961483779242604E-3</v>
      </c>
      <c r="L22" s="29">
        <f>'Data Sheet'!K27/'Data Sheet'!K$17</f>
        <v>6.2578222778473091E-3</v>
      </c>
    </row>
    <row r="23" spans="2:12" x14ac:dyDescent="0.25">
      <c r="B23" s="9" t="s">
        <v>26</v>
      </c>
      <c r="C23" s="29">
        <f>'Data Sheet'!B28/'Data Sheet'!B$17</f>
        <v>0.18722425899459391</v>
      </c>
      <c r="D23" s="29">
        <f>'Data Sheet'!C28/'Data Sheet'!C$17</f>
        <v>0.19501236354864002</v>
      </c>
      <c r="E23" s="29">
        <f>'Data Sheet'!D28/'Data Sheet'!D$17</f>
        <v>0.20554227036151357</v>
      </c>
      <c r="F23" s="29">
        <f>'Data Sheet'!E28/'Data Sheet'!E$17</f>
        <v>0.21887560417196641</v>
      </c>
      <c r="G23" s="29">
        <f>'Data Sheet'!F28/'Data Sheet'!F$17</f>
        <v>0.23037478319885379</v>
      </c>
      <c r="H23" s="29">
        <f>'Data Sheet'!G28/'Data Sheet'!G$17</f>
        <v>0.22550395509058432</v>
      </c>
      <c r="I23" s="29">
        <f>'Data Sheet'!H28/'Data Sheet'!H$17</f>
        <v>0.22649963772260992</v>
      </c>
      <c r="J23" s="29">
        <f>'Data Sheet'!I28/'Data Sheet'!I$17</f>
        <v>0.22027071640805546</v>
      </c>
      <c r="K23" s="29">
        <f>'Data Sheet'!J28/'Data Sheet'!J$17</f>
        <v>0.22499030632027917</v>
      </c>
      <c r="L23" s="29">
        <f>'Data Sheet'!K28/'Data Sheet'!K$17</f>
        <v>0.22837090667131382</v>
      </c>
    </row>
    <row r="24" spans="2:12" x14ac:dyDescent="0.25">
      <c r="B24" s="9" t="s">
        <v>27</v>
      </c>
      <c r="C24" s="29">
        <f>'Data Sheet'!B29/'Data Sheet'!B$17</f>
        <v>5.8255141987199402E-2</v>
      </c>
      <c r="D24" s="29">
        <f>'Data Sheet'!C29/'Data Sheet'!C$17</f>
        <v>5.9616428442192872E-2</v>
      </c>
      <c r="E24" s="29">
        <f>'Data Sheet'!D29/'Data Sheet'!D$17</f>
        <v>5.8489238992825994E-2</v>
      </c>
      <c r="F24" s="29">
        <f>'Data Sheet'!E29/'Data Sheet'!E$17</f>
        <v>6.4716357161027735E-2</v>
      </c>
      <c r="G24" s="29">
        <f>'Data Sheet'!F29/'Data Sheet'!F$17</f>
        <v>6.0553502752431945E-2</v>
      </c>
      <c r="H24" s="29">
        <f>'Data Sheet'!G29/'Data Sheet'!G$17</f>
        <v>5.5413796036403846E-2</v>
      </c>
      <c r="I24" s="29">
        <f>'Data Sheet'!H29/'Data Sheet'!H$17</f>
        <v>5.6953819166380655E-2</v>
      </c>
      <c r="J24" s="29">
        <f>'Data Sheet'!I29/'Data Sheet'!I$17</f>
        <v>5.2839220864971941E-2</v>
      </c>
      <c r="K24" s="29">
        <f>'Data Sheet'!J29/'Data Sheet'!J$17</f>
        <v>5.8872948171125761E-2</v>
      </c>
      <c r="L24" s="29">
        <f>'Data Sheet'!K29/'Data Sheet'!K$17</f>
        <v>5.9314649641165382E-2</v>
      </c>
    </row>
    <row r="25" spans="2:12" x14ac:dyDescent="0.25">
      <c r="B25" s="9" t="s">
        <v>28</v>
      </c>
      <c r="C25" s="29">
        <f>'Data Sheet'!B30/'Data Sheet'!B$17</f>
        <v>0.12896911700739452</v>
      </c>
      <c r="D25" s="29">
        <f>'Data Sheet'!C30/'Data Sheet'!C$17</f>
        <v>0.13497376515288584</v>
      </c>
      <c r="E25" s="29">
        <f>'Data Sheet'!D30/'Data Sheet'!D$17</f>
        <v>0.14668729779153186</v>
      </c>
      <c r="F25" s="29">
        <f>'Data Sheet'!E30/'Data Sheet'!E$17</f>
        <v>0.15400661409310609</v>
      </c>
      <c r="G25" s="29">
        <f>'Data Sheet'!F30/'Data Sheet'!F$17</f>
        <v>0.16962018952819044</v>
      </c>
      <c r="H25" s="29">
        <f>'Data Sheet'!G30/'Data Sheet'!G$17</f>
        <v>0.17000510334268945</v>
      </c>
      <c r="I25" s="29">
        <f>'Data Sheet'!H30/'Data Sheet'!H$17</f>
        <v>0.16929794455249209</v>
      </c>
      <c r="J25" s="29">
        <f>'Data Sheet'!I30/'Data Sheet'!I$17</f>
        <v>0.16705183228788378</v>
      </c>
      <c r="K25" s="29">
        <f>'Data Sheet'!J30/'Data Sheet'!J$17</f>
        <v>0.16603657748481324</v>
      </c>
      <c r="L25" s="29">
        <f>'Data Sheet'!K30/'Data Sheet'!K$17</f>
        <v>0.16870772009315441</v>
      </c>
    </row>
    <row r="26" spans="2:12" x14ac:dyDescent="0.25">
      <c r="B26" s="9" t="s">
        <v>29</v>
      </c>
      <c r="C26" s="29">
        <f>'Data Sheet'!B31/'Data Sheet'!B$17</f>
        <v>0.10737587771080594</v>
      </c>
      <c r="D26" s="29">
        <f>'Data Sheet'!C31/'Data Sheet'!C$17</f>
        <v>0.11072914781979373</v>
      </c>
      <c r="E26" s="29">
        <f>'Data Sheet'!D31/'Data Sheet'!D$17</f>
        <v>0.12153608102405401</v>
      </c>
      <c r="F26" s="29">
        <f>'Data Sheet'!E31/'Data Sheet'!E$17</f>
        <v>0.12088527092342916</v>
      </c>
      <c r="G26" s="29">
        <f>'Data Sheet'!F31/'Data Sheet'!F$17</f>
        <v>0.13573636980619863</v>
      </c>
      <c r="H26" s="29">
        <f>'Data Sheet'!G31/'Data Sheet'!G$17</f>
        <v>0.20237943352896148</v>
      </c>
      <c r="I26" s="29">
        <f>'Data Sheet'!H31/'Data Sheet'!H$17</f>
        <v>0.15234717614308049</v>
      </c>
      <c r="J26" s="29">
        <f>'Data Sheet'!I31/'Data Sheet'!I$17</f>
        <v>0.15128755364806867</v>
      </c>
      <c r="K26" s="29">
        <f>'Data Sheet'!J31/'Data Sheet'!J$17</f>
        <v>0.1594610314075223</v>
      </c>
      <c r="L26" s="29">
        <f>'Data Sheet'!K31/'Data Sheet'!K$17</f>
        <v>0.19731943410275501</v>
      </c>
    </row>
    <row r="28" spans="2:12" x14ac:dyDescent="0.25">
      <c r="B28" s="228" t="str">
        <f>"Common Size Balance Sheet - "&amp;'Data Sheet'!$B$1</f>
        <v>Common Size Balance Sheet - HINDUSTAN UNILEVER LTD</v>
      </c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2:12" x14ac:dyDescent="0.25">
      <c r="B29" s="5" t="s">
        <v>0</v>
      </c>
      <c r="C29" s="6">
        <v>42445</v>
      </c>
      <c r="D29" s="6">
        <f>C29+365</f>
        <v>42810</v>
      </c>
      <c r="E29" s="6">
        <f t="shared" ref="E29" si="1">D29+365</f>
        <v>43175</v>
      </c>
      <c r="F29" s="6">
        <f t="shared" ref="F29" si="2">E29+365</f>
        <v>43540</v>
      </c>
      <c r="G29" s="6">
        <f t="shared" ref="G29" si="3">F29+365</f>
        <v>43905</v>
      </c>
      <c r="H29" s="6">
        <f t="shared" ref="H29" si="4">G29+365</f>
        <v>44270</v>
      </c>
      <c r="I29" s="6">
        <f t="shared" ref="I29" si="5">H29+365</f>
        <v>44635</v>
      </c>
      <c r="J29" s="6">
        <f t="shared" ref="J29" si="6">I29+365</f>
        <v>45000</v>
      </c>
      <c r="K29" s="6">
        <f t="shared" ref="K29" si="7">J29+365</f>
        <v>45365</v>
      </c>
      <c r="L29" s="6">
        <f t="shared" ref="L29" si="8">K29+365</f>
        <v>45730</v>
      </c>
    </row>
    <row r="31" spans="2:12" x14ac:dyDescent="0.25">
      <c r="B31" s="35" t="s">
        <v>80</v>
      </c>
      <c r="C31" s="40">
        <f>'Data Sheet'!B61/'Data Sheet'!B61</f>
        <v>1</v>
      </c>
      <c r="D31" s="40">
        <f>'Data Sheet'!C61/'Data Sheet'!C61</f>
        <v>1</v>
      </c>
      <c r="E31" s="40">
        <f>'Data Sheet'!D61/'Data Sheet'!D61</f>
        <v>1</v>
      </c>
      <c r="F31" s="40">
        <f>'Data Sheet'!E61/'Data Sheet'!E61</f>
        <v>1</v>
      </c>
      <c r="G31" s="40">
        <f>'Data Sheet'!F61/'Data Sheet'!F61</f>
        <v>1</v>
      </c>
      <c r="H31" s="40">
        <f>'Data Sheet'!G61/'Data Sheet'!G61</f>
        <v>1</v>
      </c>
      <c r="I31" s="40">
        <f>'Data Sheet'!H61/'Data Sheet'!H61</f>
        <v>1</v>
      </c>
      <c r="J31" s="40">
        <f>'Data Sheet'!I61/'Data Sheet'!I61</f>
        <v>1</v>
      </c>
      <c r="K31" s="40">
        <f>'Data Sheet'!J61/'Data Sheet'!J61</f>
        <v>1</v>
      </c>
      <c r="L31" s="40">
        <f>'Data Sheet'!K61/'Data Sheet'!K61</f>
        <v>1</v>
      </c>
    </row>
    <row r="32" spans="2:12" x14ac:dyDescent="0.25">
      <c r="B32" s="9" t="s">
        <v>34</v>
      </c>
      <c r="C32" s="29">
        <f>'Data Sheet'!B57/'Data Sheet'!B$61</f>
        <v>1.4601500709795174E-2</v>
      </c>
      <c r="D32" s="29">
        <f>'Data Sheet'!C57/'Data Sheet'!C$61</f>
        <v>1.3752705972239909E-2</v>
      </c>
      <c r="E32" s="29">
        <f>'Data Sheet'!D57/'Data Sheet'!D$61</f>
        <v>1.2092710782667115E-2</v>
      </c>
      <c r="F32" s="29">
        <f>'Data Sheet'!E57/'Data Sheet'!E$61</f>
        <v>1.1594825272424714E-2</v>
      </c>
      <c r="G32" s="29">
        <f>'Data Sheet'!F57/'Data Sheet'!F$61</f>
        <v>1.0718007244578972E-2</v>
      </c>
      <c r="H32" s="29">
        <f>'Data Sheet'!G57/'Data Sheet'!G$61</f>
        <v>3.4186790805935409E-3</v>
      </c>
      <c r="I32" s="29">
        <f>'Data Sheet'!H57/'Data Sheet'!H$61</f>
        <v>3.3330496695316712E-3</v>
      </c>
      <c r="J32" s="29">
        <f>'Data Sheet'!I57/'Data Sheet'!I$61</f>
        <v>3.2157860886462223E-3</v>
      </c>
      <c r="K32" s="29">
        <f>'Data Sheet'!J57/'Data Sheet'!J$61</f>
        <v>2.9940501216731007E-3</v>
      </c>
      <c r="L32" s="29">
        <f>'Data Sheet'!K57/'Data Sheet'!K$61</f>
        <v>2.9425390982056772E-3</v>
      </c>
    </row>
    <row r="33" spans="2:12" x14ac:dyDescent="0.25">
      <c r="B33" s="9" t="s">
        <v>35</v>
      </c>
      <c r="C33" s="29">
        <f>'Data Sheet'!B58/'Data Sheet'!B$61</f>
        <v>0.42973027783411072</v>
      </c>
      <c r="D33" s="29">
        <f>'Data Sheet'!C58/'Data Sheet'!C$61</f>
        <v>0.41563733604991721</v>
      </c>
      <c r="E33" s="29">
        <f>'Data Sheet'!D58/'Data Sheet'!D$61</f>
        <v>0.3955324151830702</v>
      </c>
      <c r="F33" s="29">
        <f>'Data Sheet'!E58/'Data Sheet'!E$61</f>
        <v>0.41070374147834021</v>
      </c>
      <c r="G33" s="29">
        <f>'Data Sheet'!F58/'Data Sheet'!F$61</f>
        <v>0.39760829653153379</v>
      </c>
      <c r="H33" s="29">
        <f>'Data Sheet'!G58/'Data Sheet'!G$61</f>
        <v>0.69012219959266807</v>
      </c>
      <c r="I33" s="29">
        <f>'Data Sheet'!H58/'Data Sheet'!H$61</f>
        <v>0.69250843899809944</v>
      </c>
      <c r="J33" s="29">
        <f>'Data Sheet'!I58/'Data Sheet'!I$61</f>
        <v>0.68515401562735201</v>
      </c>
      <c r="K33" s="29">
        <f>'Data Sheet'!J58/'Data Sheet'!J$61</f>
        <v>0.64955598873727527</v>
      </c>
      <c r="L33" s="29">
        <f>'Data Sheet'!K58/'Data Sheet'!K$61</f>
        <v>0.6156417865594831</v>
      </c>
    </row>
    <row r="34" spans="2:12" x14ac:dyDescent="0.25">
      <c r="B34" s="9" t="s">
        <v>36</v>
      </c>
      <c r="C34" s="29">
        <f>'Data Sheet'!B59/'Data Sheet'!B$61</f>
        <v>1.1965118637193267E-2</v>
      </c>
      <c r="D34" s="29">
        <f>'Data Sheet'!C59/'Data Sheet'!C$61</f>
        <v>1.7636572010696547E-2</v>
      </c>
      <c r="E34" s="29">
        <f>'Data Sheet'!D59/'Data Sheet'!D$61</f>
        <v>0</v>
      </c>
      <c r="F34" s="29">
        <f>'Data Sheet'!E59/'Data Sheet'!E$61</f>
        <v>5.3142949165279939E-3</v>
      </c>
      <c r="G34" s="29">
        <f>'Data Sheet'!F59/'Data Sheet'!F$61</f>
        <v>0</v>
      </c>
      <c r="H34" s="29">
        <f>'Data Sheet'!G59/'Data Sheet'!G$61</f>
        <v>0</v>
      </c>
      <c r="I34" s="29">
        <f>'Data Sheet'!H59/'Data Sheet'!H$61</f>
        <v>1.4793067256687375E-2</v>
      </c>
      <c r="J34" s="29">
        <f>'Data Sheet'!I59/'Data Sheet'!I$61</f>
        <v>1.668103507259466E-2</v>
      </c>
      <c r="K34" s="29">
        <f>'Data Sheet'!J59/'Data Sheet'!J$61</f>
        <v>1.8907108002395239E-2</v>
      </c>
      <c r="L34" s="29">
        <f>'Data Sheet'!K59/'Data Sheet'!K$61</f>
        <v>2.0635338016353005E-2</v>
      </c>
    </row>
    <row r="35" spans="2:12" x14ac:dyDescent="0.25">
      <c r="B35" s="9" t="s">
        <v>37</v>
      </c>
      <c r="C35" s="29">
        <f>'Data Sheet'!B60/'Data Sheet'!B$61</f>
        <v>0.54370310281890089</v>
      </c>
      <c r="D35" s="29">
        <f>'Data Sheet'!C60/'Data Sheet'!C$61</f>
        <v>0.55297338596714629</v>
      </c>
      <c r="E35" s="29">
        <f>'Data Sheet'!D60/'Data Sheet'!D$61</f>
        <v>0.5923748740342627</v>
      </c>
      <c r="F35" s="29">
        <f>'Data Sheet'!E60/'Data Sheet'!E$61</f>
        <v>0.57238713833270705</v>
      </c>
      <c r="G35" s="29">
        <f>'Data Sheet'!F60/'Data Sheet'!F$61</f>
        <v>0.59167369622388721</v>
      </c>
      <c r="H35" s="29">
        <f>'Data Sheet'!G60/'Data Sheet'!G$61</f>
        <v>0.30645912132673842</v>
      </c>
      <c r="I35" s="29">
        <f>'Data Sheet'!H60/'Data Sheet'!H$61</f>
        <v>0.28936544407568149</v>
      </c>
      <c r="J35" s="29">
        <f>'Data Sheet'!I60/'Data Sheet'!I$61</f>
        <v>0.29494916321140713</v>
      </c>
      <c r="K35" s="29">
        <f>'Data Sheet'!J60/'Data Sheet'!J$61</f>
        <v>0.32854285313865639</v>
      </c>
      <c r="L35" s="29">
        <f>'Data Sheet'!K60/'Data Sheet'!K$61</f>
        <v>0.36078033632595818</v>
      </c>
    </row>
    <row r="37" spans="2:12" x14ac:dyDescent="0.25">
      <c r="B37" s="41" t="s">
        <v>83</v>
      </c>
      <c r="C37" s="40">
        <f>'Data Sheet'!B66/'Data Sheet'!B66</f>
        <v>1</v>
      </c>
      <c r="D37" s="40">
        <f>'Data Sheet'!C66/'Data Sheet'!C66</f>
        <v>1</v>
      </c>
      <c r="E37" s="40">
        <f>'Data Sheet'!D66/'Data Sheet'!D66</f>
        <v>1</v>
      </c>
      <c r="F37" s="40">
        <f>'Data Sheet'!E66/'Data Sheet'!E66</f>
        <v>1</v>
      </c>
      <c r="G37" s="40">
        <f>'Data Sheet'!F66/'Data Sheet'!F66</f>
        <v>1</v>
      </c>
      <c r="H37" s="40">
        <f>'Data Sheet'!G66/'Data Sheet'!G66</f>
        <v>1</v>
      </c>
      <c r="I37" s="40">
        <f>'Data Sheet'!H66/'Data Sheet'!H66</f>
        <v>1</v>
      </c>
      <c r="J37" s="40">
        <f>'Data Sheet'!I66/'Data Sheet'!I66</f>
        <v>1</v>
      </c>
      <c r="K37" s="40">
        <f>'Data Sheet'!J66/'Data Sheet'!J66</f>
        <v>1</v>
      </c>
      <c r="L37" s="40">
        <f>'Data Sheet'!K66/'Data Sheet'!K66</f>
        <v>1</v>
      </c>
    </row>
    <row r="38" spans="2:12" x14ac:dyDescent="0.25">
      <c r="B38" s="9" t="s">
        <v>39</v>
      </c>
      <c r="C38" s="29">
        <f>'Data Sheet'!B62/'Data Sheet'!B$61</f>
        <v>0.22023930237274386</v>
      </c>
      <c r="D38" s="29">
        <f>'Data Sheet'!C62/'Data Sheet'!C$61</f>
        <v>0.2813574430154081</v>
      </c>
      <c r="E38" s="29">
        <f>'Data Sheet'!D62/'Data Sheet'!D$61</f>
        <v>0.25349904825887359</v>
      </c>
      <c r="F38" s="29">
        <f>'Data Sheet'!E62/'Data Sheet'!E$61</f>
        <v>0.25310000536797467</v>
      </c>
      <c r="G38" s="29">
        <f>'Data Sheet'!F62/'Data Sheet'!F$61</f>
        <v>0.27187019302337123</v>
      </c>
      <c r="H38" s="29">
        <f>'Data Sheet'!G62/'Data Sheet'!G$61</f>
        <v>0.74837067209775965</v>
      </c>
      <c r="I38" s="29">
        <f>'Data Sheet'!H62/'Data Sheet'!H$61</f>
        <v>0.73005134314810083</v>
      </c>
      <c r="J38" s="29">
        <f>'Data Sheet'!I62/'Data Sheet'!I$61</f>
        <v>0.720856083309386</v>
      </c>
      <c r="K38" s="29">
        <f>'Data Sheet'!J62/'Data Sheet'!J$61</f>
        <v>0.68473289250723035</v>
      </c>
      <c r="L38" s="29">
        <f>'Data Sheet'!K62/'Data Sheet'!K$61</f>
        <v>0.68035260383406582</v>
      </c>
    </row>
    <row r="39" spans="2:12" x14ac:dyDescent="0.25">
      <c r="B39" s="9" t="s">
        <v>40</v>
      </c>
      <c r="C39" s="29">
        <f>'Data Sheet'!B63/'Data Sheet'!B$61</f>
        <v>2.7580612451835327E-2</v>
      </c>
      <c r="D39" s="29">
        <f>'Data Sheet'!C63/'Data Sheet'!C$61</f>
        <v>1.458041512797657E-2</v>
      </c>
      <c r="E39" s="29">
        <f>'Data Sheet'!D63/'Data Sheet'!D$61</f>
        <v>2.5808979957451572E-2</v>
      </c>
      <c r="F39" s="29">
        <f>'Data Sheet'!E63/'Data Sheet'!E$61</f>
        <v>2.1793977132427936E-2</v>
      </c>
      <c r="G39" s="29">
        <f>'Data Sheet'!F63/'Data Sheet'!F$61</f>
        <v>2.9623381134322432E-2</v>
      </c>
      <c r="H39" s="29">
        <f>'Data Sheet'!G63/'Data Sheet'!G$61</f>
        <v>1.0837940064009311E-2</v>
      </c>
      <c r="I39" s="29">
        <f>'Data Sheet'!H63/'Data Sheet'!H$61</f>
        <v>1.8622528579128019E-2</v>
      </c>
      <c r="J39" s="29">
        <f>'Data Sheet'!I63/'Data Sheet'!I$61</f>
        <v>1.5490510009989463E-2</v>
      </c>
      <c r="K39" s="29">
        <f>'Data Sheet'!J63/'Data Sheet'!J$61</f>
        <v>1.305915478602097E-2</v>
      </c>
      <c r="L39" s="29">
        <f>'Data Sheet'!K63/'Data Sheet'!K$61</f>
        <v>1.263413595782778E-2</v>
      </c>
    </row>
    <row r="40" spans="2:12" x14ac:dyDescent="0.25">
      <c r="B40" s="9" t="s">
        <v>41</v>
      </c>
      <c r="C40" s="29">
        <f>'Data Sheet'!B64/'Data Sheet'!B$61</f>
        <v>0.17521800851754207</v>
      </c>
      <c r="D40" s="29">
        <f>'Data Sheet'!C64/'Data Sheet'!C$61</f>
        <v>0.24156373360499173</v>
      </c>
      <c r="E40" s="29">
        <f>'Data Sheet'!D64/'Data Sheet'!D$61</f>
        <v>0.16084425036390101</v>
      </c>
      <c r="F40" s="29">
        <f>'Data Sheet'!E64/'Data Sheet'!E$61</f>
        <v>0.14579419185141446</v>
      </c>
      <c r="G40" s="29">
        <f>'Data Sheet'!F64/'Data Sheet'!F$61</f>
        <v>6.2273606907160224E-2</v>
      </c>
      <c r="H40" s="29">
        <f>'Data Sheet'!G64/'Data Sheet'!G$61</f>
        <v>3.9409368635437883E-2</v>
      </c>
      <c r="I40" s="29">
        <f>'Data Sheet'!H64/'Data Sheet'!H$61</f>
        <v>4.9939012282642609E-2</v>
      </c>
      <c r="J40" s="29">
        <f>'Data Sheet'!I64/'Data Sheet'!I$61</f>
        <v>3.9437853223312398E-2</v>
      </c>
      <c r="K40" s="29">
        <f>'Data Sheet'!J64/'Data Sheet'!J$61</f>
        <v>5.8925454522289748E-2</v>
      </c>
      <c r="L40" s="29">
        <f>'Data Sheet'!K64/'Data Sheet'!K$61</f>
        <v>4.7706697719845238E-2</v>
      </c>
    </row>
    <row r="41" spans="2:12" x14ac:dyDescent="0.25">
      <c r="B41" s="9" t="s">
        <v>42</v>
      </c>
      <c r="C41" s="29">
        <f>('Data Sheet'!B65-SUM('Data Sheet'!B67:B69))/'Data Sheet'!B$66</f>
        <v>0.10383289393632124</v>
      </c>
      <c r="D41" s="29">
        <f>('Data Sheet'!C65-SUM('Data Sheet'!C67:C69))/'Data Sheet'!C$66</f>
        <v>0.1152425824525659</v>
      </c>
      <c r="E41" s="29">
        <f>('Data Sheet'!D65-SUM('Data Sheet'!D67:D69))/'Data Sheet'!D$66</f>
        <v>0.15071100660620312</v>
      </c>
      <c r="F41" s="29">
        <f>('Data Sheet'!E65-SUM('Data Sheet'!E67:E69))/'Data Sheet'!E$66</f>
        <v>0.14198292984057115</v>
      </c>
      <c r="G41" s="29">
        <f>('Data Sheet'!F65-SUM('Data Sheet'!F67:F69))/'Data Sheet'!F$66</f>
        <v>0.18821019203096312</v>
      </c>
      <c r="H41" s="29">
        <f>('Data Sheet'!G65-SUM('Data Sheet'!G67:G69))/'Data Sheet'!G$66</f>
        <v>5.8699447192318885E-2</v>
      </c>
      <c r="I41" s="29">
        <f>('Data Sheet'!H65-SUM('Data Sheet'!H67:H69))/'Data Sheet'!H$66</f>
        <v>5.7030607324199359E-2</v>
      </c>
      <c r="J41" s="29">
        <f>('Data Sheet'!I65-SUM('Data Sheet'!I67:I69))/'Data Sheet'!I$66</f>
        <v>5.9895726425551132E-2</v>
      </c>
      <c r="K41" s="29">
        <f>('Data Sheet'!J65-SUM('Data Sheet'!J67:J69))/'Data Sheet'!J$66</f>
        <v>5.7549465530201682E-2</v>
      </c>
      <c r="L41" s="29">
        <f>('Data Sheet'!K65-SUM('Data Sheet'!K67:K69))/'Data Sheet'!K$66</f>
        <v>6.1618020860723988E-2</v>
      </c>
    </row>
    <row r="42" spans="2:12" x14ac:dyDescent="0.25">
      <c r="B42" s="9" t="s">
        <v>43</v>
      </c>
      <c r="C42" s="29">
        <f>'Data Sheet'!B67/'Data Sheet'!B$66</f>
        <v>8.5445818968431009E-2</v>
      </c>
      <c r="D42" s="29">
        <f>'Data Sheet'!C67/'Data Sheet'!C$66</f>
        <v>6.9081879536482871E-2</v>
      </c>
      <c r="E42" s="29">
        <f>'Data Sheet'!D67/'Data Sheet'!D$66</f>
        <v>7.3340051505990364E-2</v>
      </c>
      <c r="F42" s="29">
        <f>'Data Sheet'!E67/'Data Sheet'!E$66</f>
        <v>9.748241988297815E-2</v>
      </c>
      <c r="G42" s="29">
        <f>'Data Sheet'!F67/'Data Sheet'!F$66</f>
        <v>5.7013844092690912E-2</v>
      </c>
      <c r="H42" s="29">
        <f>'Data Sheet'!G67/'Data Sheet'!G$66</f>
        <v>2.5574629036950829E-2</v>
      </c>
      <c r="I42" s="29">
        <f>'Data Sheet'!H67/'Data Sheet'!H$66</f>
        <v>3.1713613025841775E-2</v>
      </c>
      <c r="J42" s="29">
        <f>'Data Sheet'!I67/'Data Sheet'!I$66</f>
        <v>4.2133639859326465E-2</v>
      </c>
      <c r="K42" s="29">
        <f>'Data Sheet'!J67/'Data Sheet'!J$66</f>
        <v>3.8183694530443756E-2</v>
      </c>
      <c r="L42" s="29">
        <f>'Data Sheet'!K67/'Data Sheet'!K$66</f>
        <v>4.781939070658503E-2</v>
      </c>
    </row>
    <row r="43" spans="2:12" x14ac:dyDescent="0.25">
      <c r="B43" s="9" t="s">
        <v>44</v>
      </c>
      <c r="C43" s="29">
        <f>'Data Sheet'!B68/'Data Sheet'!B$66</f>
        <v>0.18427634692084094</v>
      </c>
      <c r="D43" s="29">
        <f>'Data Sheet'!C68/'Data Sheet'!C$66</f>
        <v>0.16178530497898891</v>
      </c>
      <c r="E43" s="29">
        <f>'Data Sheet'!D68/'Data Sheet'!D$66</f>
        <v>0.14068973239278917</v>
      </c>
      <c r="F43" s="29">
        <f>'Data Sheet'!E68/'Data Sheet'!E$66</f>
        <v>0.13817166782972784</v>
      </c>
      <c r="G43" s="29">
        <f>'Data Sheet'!F68/'Data Sheet'!F$66</f>
        <v>0.13729965761921303</v>
      </c>
      <c r="H43" s="29">
        <f>'Data Sheet'!G68/'Data Sheet'!G$66</f>
        <v>5.2065755018911843E-2</v>
      </c>
      <c r="I43" s="29">
        <f>'Data Sheet'!H68/'Data Sheet'!H$66</f>
        <v>5.8094346580432873E-2</v>
      </c>
      <c r="J43" s="29">
        <f>'Data Sheet'!I68/'Data Sheet'!I$66</f>
        <v>5.8171517714191878E-2</v>
      </c>
      <c r="K43" s="29">
        <f>'Data Sheet'!J68/'Data Sheet'!J$66</f>
        <v>5.1242849316464729E-2</v>
      </c>
      <c r="L43" s="29">
        <f>'Data Sheet'!K68/'Data Sheet'!K$66</f>
        <v>5.5282170717353467E-2</v>
      </c>
    </row>
    <row r="44" spans="2:12" x14ac:dyDescent="0.25">
      <c r="B44" s="9" t="s">
        <v>45</v>
      </c>
      <c r="C44" s="29">
        <f>'Data Sheet'!B69/'Data Sheet'!B$66</f>
        <v>0.20340701683228554</v>
      </c>
      <c r="D44" s="29">
        <f>'Data Sheet'!C69/'Data Sheet'!C$66</f>
        <v>0.11638864128358589</v>
      </c>
      <c r="E44" s="29">
        <f>'Data Sheet'!D69/'Data Sheet'!D$66</f>
        <v>0.19510693091479117</v>
      </c>
      <c r="F44" s="29">
        <f>'Data Sheet'!E69/'Data Sheet'!E$66</f>
        <v>0.20167480809490579</v>
      </c>
      <c r="G44" s="29">
        <f>'Data Sheet'!F69/'Data Sheet'!F$66</f>
        <v>0.25370912519227906</v>
      </c>
      <c r="H44" s="29">
        <f>'Data Sheet'!G69/'Data Sheet'!G$66</f>
        <v>6.5042187954611586E-2</v>
      </c>
      <c r="I44" s="29">
        <f>'Data Sheet'!H69/'Data Sheet'!H$66</f>
        <v>5.4548549059654498E-2</v>
      </c>
      <c r="J44" s="29">
        <f>'Data Sheet'!I69/'Data Sheet'!I$66</f>
        <v>6.4014669458242676E-2</v>
      </c>
      <c r="K44" s="29">
        <f>'Data Sheet'!J69/'Data Sheet'!J$66</f>
        <v>9.6306488807348795E-2</v>
      </c>
      <c r="L44" s="29">
        <f>'Data Sheet'!K69/'Data Sheet'!K$66</f>
        <v>9.4586980203598667E-2</v>
      </c>
    </row>
  </sheetData>
  <mergeCells count="3">
    <mergeCell ref="B7:L7"/>
    <mergeCell ref="B9:L9"/>
    <mergeCell ref="B28:L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B10D-2955-4468-99C2-9C84BBE2871D}">
  <dimension ref="B2:O48"/>
  <sheetViews>
    <sheetView showGridLines="0" zoomScaleNormal="100" workbookViewId="0">
      <selection activeCell="B2" sqref="B2:O7"/>
    </sheetView>
  </sheetViews>
  <sheetFormatPr defaultRowHeight="15" x14ac:dyDescent="0.25"/>
  <cols>
    <col min="1" max="1" width="1.85546875" customWidth="1"/>
    <col min="2" max="2" width="29.28515625" customWidth="1"/>
    <col min="3" max="3" width="9.5703125" bestFit="1" customWidth="1"/>
    <col min="4" max="4" width="9.5703125" customWidth="1"/>
    <col min="5" max="5" width="8.85546875" customWidth="1"/>
    <col min="6" max="12" width="9.5703125" bestFit="1" customWidth="1"/>
    <col min="13" max="13" width="13.28515625" customWidth="1"/>
    <col min="14" max="14" width="10.140625" customWidth="1"/>
    <col min="15" max="15" width="11.28515625" bestFit="1" customWidth="1"/>
  </cols>
  <sheetData>
    <row r="2" spans="2: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5" x14ac:dyDescent="0.25">
      <c r="B7" s="228" t="s">
        <v>123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</row>
    <row r="9" spans="2:15" x14ac:dyDescent="0.25">
      <c r="B9" s="228" t="str">
        <f>"Ratio Analysis - "&amp;'Data Sheet'!$B$1</f>
        <v>Ratio Analysis - HINDUSTAN UNILEVER LTD</v>
      </c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</row>
    <row r="10" spans="2:15" x14ac:dyDescent="0.25">
      <c r="B10" s="5" t="s">
        <v>0</v>
      </c>
      <c r="C10" s="6">
        <v>42445</v>
      </c>
      <c r="D10" s="6">
        <f>C10+365</f>
        <v>42810</v>
      </c>
      <c r="E10" s="6">
        <f t="shared" ref="E10:L10" si="0">D10+365</f>
        <v>43175</v>
      </c>
      <c r="F10" s="6">
        <f t="shared" si="0"/>
        <v>43540</v>
      </c>
      <c r="G10" s="6">
        <f t="shared" si="0"/>
        <v>43905</v>
      </c>
      <c r="H10" s="6">
        <f t="shared" si="0"/>
        <v>44270</v>
      </c>
      <c r="I10" s="6">
        <f t="shared" si="0"/>
        <v>44635</v>
      </c>
      <c r="J10" s="6">
        <f t="shared" si="0"/>
        <v>45000</v>
      </c>
      <c r="K10" s="6">
        <f t="shared" si="0"/>
        <v>45365</v>
      </c>
      <c r="L10" s="6">
        <f t="shared" si="0"/>
        <v>45730</v>
      </c>
      <c r="M10" s="45" t="s">
        <v>153</v>
      </c>
      <c r="N10" s="46" t="s">
        <v>154</v>
      </c>
      <c r="O10" s="46" t="s">
        <v>155</v>
      </c>
    </row>
    <row r="12" spans="2:15" x14ac:dyDescent="0.25">
      <c r="B12" s="47" t="s">
        <v>57</v>
      </c>
      <c r="C12" s="49" t="s">
        <v>156</v>
      </c>
      <c r="D12" s="51">
        <f>'Historical FS'!D13</f>
        <v>3.0323743242403528E-2</v>
      </c>
      <c r="E12" s="51">
        <f>'Historical FS'!E13</f>
        <v>7.1859357095470713E-2</v>
      </c>
      <c r="F12" s="51">
        <f>'Historical FS'!F13</f>
        <v>0.10592207061471375</v>
      </c>
      <c r="G12" s="51">
        <f>'Historical FS'!G13</f>
        <v>1.2032561689137624E-2</v>
      </c>
      <c r="H12" s="51">
        <f>'Historical FS'!H13</f>
        <v>0.18211296282331649</v>
      </c>
      <c r="I12" s="51">
        <f>'Historical FS'!I13</f>
        <v>0.11520796121459556</v>
      </c>
      <c r="J12" s="51">
        <f>'Historical FS'!J13</f>
        <v>0.15509285741524617</v>
      </c>
      <c r="K12" s="51">
        <f>'Historical FS'!K13</f>
        <v>2.1723341036645756E-2</v>
      </c>
      <c r="L12" s="51">
        <f>'Historical FS'!L13</f>
        <v>1.9791262763344964E-2</v>
      </c>
      <c r="M12" s="47"/>
      <c r="N12" s="51">
        <f>AVERAGE(D12:L12)</f>
        <v>7.9340679766097169E-2</v>
      </c>
      <c r="O12" s="58">
        <f>MEDIAN(C12:L12)</f>
        <v>7.1859357095470713E-2</v>
      </c>
    </row>
    <row r="13" spans="2:15" x14ac:dyDescent="0.25">
      <c r="B13" t="s">
        <v>124</v>
      </c>
      <c r="C13" s="50" t="s">
        <v>156</v>
      </c>
      <c r="D13" s="29">
        <f>('Historical FS'!D25-'Historical FS'!C25)/'Historical FS'!C25</f>
        <v>5.6827299693697465E-2</v>
      </c>
      <c r="E13" s="29">
        <f>('Historical FS'!E25-'Historical FS'!D25)/'Historical FS'!D25</f>
        <v>3.7168640055191701E-2</v>
      </c>
      <c r="F13" s="29">
        <f>('Historical FS'!F25-'Historical FS'!E25)/'Historical FS'!E25</f>
        <v>9.4656723794773148E-2</v>
      </c>
      <c r="G13" s="29">
        <f>('Historical FS'!G25-'Historical FS'!F25)/'Historical FS'!F25</f>
        <v>7.0342067305428538E-2</v>
      </c>
      <c r="H13" s="29">
        <f>('Historical FS'!H25-'Historical FS'!G25)/'Historical FS'!G25</f>
        <v>-5.1351188683331023E-2</v>
      </c>
      <c r="I13" s="29">
        <f>('Historical FS'!I25-'Historical FS'!H25)/'Historical FS'!H25</f>
        <v>6.2253783096595024E-2</v>
      </c>
      <c r="J13" s="29">
        <f>('Historical FS'!J25-'Historical FS'!I25)/'Historical FS'!I25</f>
        <v>-5.4269842471035626E-2</v>
      </c>
      <c r="K13" s="29">
        <f>('Historical FS'!K25-'Historical FS'!J25)/'Historical FS'!J25</f>
        <v>2.3490451604278005E-2</v>
      </c>
      <c r="L13" s="29">
        <f>('Historical FS'!L25-'Historical FS'!K25)/'Historical FS'!K25</f>
        <v>-2.610658163938729E-2</v>
      </c>
      <c r="M13" s="2"/>
      <c r="N13" s="60">
        <f t="shared" ref="N13:N16" si="1">AVERAGE(D13:L13)</f>
        <v>2.3667928084023335E-2</v>
      </c>
      <c r="O13" s="61">
        <f t="shared" ref="O13:O47" si="2">MEDIAN(C13:L13)</f>
        <v>3.7168640055191701E-2</v>
      </c>
    </row>
    <row r="14" spans="2:15" x14ac:dyDescent="0.25">
      <c r="B14" t="s">
        <v>125</v>
      </c>
      <c r="C14" s="50" t="s">
        <v>156</v>
      </c>
      <c r="D14" s="29">
        <f>(('Historical FS'!D33+'Historical FS'!D30)-('Historical FS'!C33+'Historical FS'!C30))/('Historical FS'!C33+'Historical FS'!C30)</f>
        <v>8.6152830500082517E-2</v>
      </c>
      <c r="E14" s="29">
        <f>(('Historical FS'!E33+'Historical FS'!E30)-('Historical FS'!D33+'Historical FS'!D30))/('Historical FS'!D33+'Historical FS'!D30)</f>
        <v>0.1136605379121714</v>
      </c>
      <c r="F14" s="29">
        <f>(('Historical FS'!F33+'Historical FS'!F30)-('Historical FS'!E33+'Historical FS'!E30))/('Historical FS'!E33+'Historical FS'!E30)</f>
        <v>0.21039705280392959</v>
      </c>
      <c r="G14" s="29">
        <f>(('Historical FS'!G33+'Historical FS'!G30)-('Historical FS'!F33+'Historical FS'!F30))/('Historical FS'!F33+'Historical FS'!F30)</f>
        <v>7.3948822004283626E-2</v>
      </c>
      <c r="H14" s="29">
        <f>(('Historical FS'!H33+'Historical FS'!H30)-('Historical FS'!G33+'Historical FS'!G30))/('Historical FS'!G33+'Historical FS'!G30)</f>
        <v>0.12301878870578356</v>
      </c>
      <c r="I14" s="29">
        <f>(('Historical FS'!I33+'Historical FS'!I30)-('Historical FS'!H33+'Historical FS'!H30))/('Historical FS'!H33+'Historical FS'!H30)</f>
        <v>0.18768109169081224</v>
      </c>
      <c r="J14" s="29">
        <f>(('Historical FS'!J33+'Historical FS'!J30)-('Historical FS'!I33+'Historical FS'!I30))/('Historical FS'!I33+'Historical FS'!I30)</f>
        <v>9.2547414810734238E-2</v>
      </c>
      <c r="K14" s="29">
        <f>(('Historical FS'!K33+'Historical FS'!K30)-('Historical FS'!J33+'Historical FS'!J30))/('Historical FS'!J33+'Historical FS'!J30)</f>
        <v>3.0252827198732263E-2</v>
      </c>
      <c r="L14" s="29">
        <f>(('Historical FS'!L33+'Historical FS'!L30)-('Historical FS'!K33+'Historical FS'!K30))/('Historical FS'!K33+'Historical FS'!K30)</f>
        <v>-1.1256379780465637E-2</v>
      </c>
      <c r="M14" s="2"/>
      <c r="N14" s="60">
        <f t="shared" si="1"/>
        <v>0.10071144287178485</v>
      </c>
      <c r="O14" s="61">
        <f t="shared" si="2"/>
        <v>9.2547414810734238E-2</v>
      </c>
    </row>
    <row r="15" spans="2:15" x14ac:dyDescent="0.25">
      <c r="B15" t="s">
        <v>126</v>
      </c>
      <c r="C15" s="50" t="s">
        <v>156</v>
      </c>
      <c r="D15" s="29">
        <f>('Historical FS'!D39-'Historical FS'!C39)/'Historical FS'!C39</f>
        <v>8.9010702166536157E-2</v>
      </c>
      <c r="E15" s="29">
        <f>('Historical FS'!E39-'Historical FS'!D39)/'Historical FS'!D39</f>
        <v>0.13374880153403643</v>
      </c>
      <c r="F15" s="29">
        <f>('Historical FS'!F39-'Historical FS'!E39)/'Historical FS'!E39</f>
        <v>0.21818181818181817</v>
      </c>
      <c r="G15" s="29">
        <f>('Historical FS'!G39-'Historical FS'!F39)/'Historical FS'!F39</f>
        <v>6.1437001041305103E-2</v>
      </c>
      <c r="H15" s="29">
        <f>('Historical FS'!H39-'Historical FS'!G39)/'Historical FS'!G39</f>
        <v>0.14764551994767822</v>
      </c>
      <c r="I15" s="29">
        <f>('Historical FS'!I39-'Historical FS'!H39)/'Historical FS'!H39</f>
        <v>0.22937740418863087</v>
      </c>
      <c r="J15" s="29">
        <f>('Historical FS'!J39-'Historical FS'!I39)/'Historical FS'!I39</f>
        <v>0.10615366786417893</v>
      </c>
      <c r="K15" s="29">
        <f>('Historical FS'!K39-'Historical FS'!J39)/'Historical FS'!J39</f>
        <v>-1.0686223153483498E-2</v>
      </c>
      <c r="L15" s="29">
        <f>('Historical FS'!L39-'Historical FS'!K39)/'Historical FS'!K39</f>
        <v>-4.2359419675950437E-2</v>
      </c>
      <c r="M15" s="2"/>
      <c r="N15" s="60">
        <f t="shared" si="1"/>
        <v>0.1036121413438611</v>
      </c>
      <c r="O15" s="61">
        <f t="shared" si="2"/>
        <v>0.10615366786417893</v>
      </c>
    </row>
    <row r="16" spans="2:15" x14ac:dyDescent="0.25">
      <c r="B16" s="2" t="s">
        <v>127</v>
      </c>
      <c r="C16" s="50" t="s">
        <v>156</v>
      </c>
      <c r="D16" s="29">
        <f>('Historical FS'!D47-'Historical FS'!C47)/'Historical FS'!C47</f>
        <v>6.230363165919689E-2</v>
      </c>
      <c r="E16" s="29">
        <f>('Historical FS'!E47-'Historical FS'!D47)/'Historical FS'!D47</f>
        <v>0.1763618822442353</v>
      </c>
      <c r="F16" s="29">
        <f>('Historical FS'!F47-'Historical FS'!E47)/'Historical FS'!E47</f>
        <v>9.9898369289046843E-2</v>
      </c>
      <c r="G16" s="29">
        <f>('Historical FS'!G47-'Historical FS'!F47)/'Historical FS'!F47</f>
        <v>0.13631114358664259</v>
      </c>
      <c r="H16" s="29">
        <f>('Historical FS'!H47-'Historical FS'!G47)/'Historical FS'!G47</f>
        <v>0.62387640449438175</v>
      </c>
      <c r="I16" s="29">
        <f>('Historical FS'!I47-'Historical FS'!H47)/'Historical FS'!H47</f>
        <v>-0.16049382716049371</v>
      </c>
      <c r="J16" s="29">
        <f>('Historical FS'!J47-'Historical FS'!I47)/'Historical FS'!I47</f>
        <v>0.14705882352941174</v>
      </c>
      <c r="K16" s="29">
        <f>('Historical FS'!K47-'Historical FS'!J47)/'Historical FS'!J47</f>
        <v>7.6923076923076844E-2</v>
      </c>
      <c r="L16" s="29">
        <f>('Historical FS'!L47-'Historical FS'!K47)/'Historical FS'!K47</f>
        <v>0.26190476190476192</v>
      </c>
      <c r="M16" s="57"/>
      <c r="N16" s="62">
        <f t="shared" si="1"/>
        <v>0.1582382518300289</v>
      </c>
      <c r="O16" s="63">
        <f t="shared" si="2"/>
        <v>0.13631114358664259</v>
      </c>
    </row>
    <row r="17" spans="2:15" x14ac:dyDescent="0.25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8"/>
    </row>
    <row r="18" spans="2:15" x14ac:dyDescent="0.25">
      <c r="B18" s="2" t="s">
        <v>128</v>
      </c>
      <c r="C18" s="52">
        <f>'Historical FS'!C19</f>
        <v>0.43901075001553469</v>
      </c>
      <c r="D18" s="52">
        <f>'Historical FS'!D19</f>
        <v>0.44554007599059164</v>
      </c>
      <c r="E18" s="52">
        <f>'Historical FS'!E19</f>
        <v>0.45258123505415671</v>
      </c>
      <c r="F18" s="52">
        <f>'Historical FS'!F19</f>
        <v>0.4643347748664462</v>
      </c>
      <c r="G18" s="52">
        <f>'Historical FS'!G19</f>
        <v>0.47640952165497824</v>
      </c>
      <c r="H18" s="52">
        <f>'Historical FS'!H19</f>
        <v>0.44477757931445094</v>
      </c>
      <c r="I18" s="52">
        <f>'Historical FS'!I19</f>
        <v>0.44495290393928993</v>
      </c>
      <c r="J18" s="52">
        <f>'Historical FS'!J19</f>
        <v>0.41348629910861673</v>
      </c>
      <c r="K18" s="52">
        <f>'Historical FS'!K19</f>
        <v>0.45597453793459997</v>
      </c>
      <c r="L18" s="52">
        <f>'Historical FS'!L19</f>
        <v>0.44812344544604804</v>
      </c>
      <c r="N18" s="51">
        <f>AVERAGE(C18:L18)</f>
        <v>0.44851911233247127</v>
      </c>
      <c r="O18" s="58">
        <f t="shared" si="2"/>
        <v>0.44683176071831987</v>
      </c>
    </row>
    <row r="19" spans="2:15" x14ac:dyDescent="0.25">
      <c r="B19" t="s">
        <v>129</v>
      </c>
      <c r="C19" s="52">
        <f>'Historical FS'!C25</f>
        <v>0.18877772944758592</v>
      </c>
      <c r="D19" s="52">
        <f>'Historical FS'!D25</f>
        <v>0.19950545805439962</v>
      </c>
      <c r="E19" s="52">
        <f>'Historical FS'!E25</f>
        <v>0.20692080461386975</v>
      </c>
      <c r="F19" s="52">
        <f>'Historical FS'!F25</f>
        <v>0.22650725006359704</v>
      </c>
      <c r="G19" s="52">
        <f>'Historical FS'!G25</f>
        <v>0.24244023829273811</v>
      </c>
      <c r="H19" s="52">
        <f>'Historical FS'!H25</f>
        <v>0.22999064387173598</v>
      </c>
      <c r="I19" s="52">
        <f>'Historical FS'!I25</f>
        <v>0.24430843152957327</v>
      </c>
      <c r="J19" s="52">
        <f>'Historical FS'!J25</f>
        <v>0.23104985143611753</v>
      </c>
      <c r="K19" s="52">
        <f>'Historical FS'!K25</f>
        <v>0.23647731678945327</v>
      </c>
      <c r="L19" s="52">
        <f>'Historical FS'!L25</f>
        <v>0.23030370241282616</v>
      </c>
      <c r="N19" s="60">
        <f t="shared" ref="N19:N47" si="3">AVERAGE(C19:L19)</f>
        <v>0.22362814265118969</v>
      </c>
      <c r="O19" s="61">
        <f t="shared" si="2"/>
        <v>0.23014717314228106</v>
      </c>
    </row>
    <row r="20" spans="2:15" x14ac:dyDescent="0.25">
      <c r="B20" t="s">
        <v>130</v>
      </c>
      <c r="C20" s="29">
        <f>('Historical FS'!C33+'Historical FS'!C30)/'Historical FS'!C12</f>
        <v>0.18824954949356862</v>
      </c>
      <c r="D20" s="29">
        <f>('Historical FS'!D33+'Historical FS'!D30)/'Historical FS'!D12</f>
        <v>0.19845003317049636</v>
      </c>
      <c r="E20" s="29">
        <f>('Historical FS'!E33+'Historical FS'!E30)/'Historical FS'!E12</f>
        <v>0.20618933745955831</v>
      </c>
      <c r="F20" s="29">
        <f>('Historical FS'!F33+'Historical FS'!F30)/'Historical FS'!F12</f>
        <v>0.22566776901551769</v>
      </c>
      <c r="G20" s="29">
        <f>('Historical FS'!G33+'Historical FS'!G30)/'Historical FS'!G12</f>
        <v>0.23947414724882488</v>
      </c>
      <c r="H20" s="29">
        <f>('Historical FS'!H33+'Historical FS'!H30)/'Historical FS'!H12</f>
        <v>0.22750276431062347</v>
      </c>
      <c r="I20" s="29">
        <f>('Historical FS'!I33+'Historical FS'!I30)/'Historical FS'!I12</f>
        <v>0.24228730503756243</v>
      </c>
      <c r="J20" s="29">
        <f>('Historical FS'!J33+'Historical FS'!J30)/'Historical FS'!J12</f>
        <v>0.229168042258171</v>
      </c>
      <c r="K20" s="29">
        <f>('Historical FS'!K33+'Historical FS'!K30)/'Historical FS'!K12</f>
        <v>0.23108116841152901</v>
      </c>
      <c r="L20" s="29">
        <f>('Historical FS'!L33+'Historical FS'!L30)/'Historical FS'!L12</f>
        <v>0.22404588013497884</v>
      </c>
      <c r="N20" s="60">
        <f t="shared" si="3"/>
        <v>0.2212115996540831</v>
      </c>
      <c r="O20" s="61">
        <f t="shared" si="2"/>
        <v>0.22658526666307058</v>
      </c>
    </row>
    <row r="21" spans="2:15" x14ac:dyDescent="0.25">
      <c r="B21" t="s">
        <v>131</v>
      </c>
      <c r="C21" s="52">
        <f>'Historical FS'!C34</f>
        <v>0.17728204809544523</v>
      </c>
      <c r="D21" s="52">
        <f>'Historical FS'!D34</f>
        <v>0.1854230746034618</v>
      </c>
      <c r="E21" s="52">
        <f>'Historical FS'!E34</f>
        <v>0.19155999437332957</v>
      </c>
      <c r="F21" s="52">
        <f>'Historical FS'!F34</f>
        <v>0.21129483591961332</v>
      </c>
      <c r="G21" s="52">
        <f>'Historical FS'!G34</f>
        <v>0.21428750974034136</v>
      </c>
      <c r="H21" s="52">
        <f>'Historical FS'!H34</f>
        <v>0.2046653057752828</v>
      </c>
      <c r="I21" s="52">
        <f>'Historical FS'!I34</f>
        <v>0.22148495595469625</v>
      </c>
      <c r="J21" s="52">
        <f>'Historical FS'!J34</f>
        <v>0.21039947177286233</v>
      </c>
      <c r="K21" s="52">
        <f>'Historical FS'!K34</f>
        <v>0.21143531084399639</v>
      </c>
      <c r="L21" s="52">
        <f>'Historical FS'!L34</f>
        <v>0.2025791733337558</v>
      </c>
      <c r="N21" s="60">
        <f t="shared" si="3"/>
        <v>0.20304116804127847</v>
      </c>
      <c r="O21" s="61">
        <f t="shared" si="2"/>
        <v>0.20753238877407257</v>
      </c>
    </row>
    <row r="22" spans="2:15" x14ac:dyDescent="0.25">
      <c r="B22" s="44" t="s">
        <v>132</v>
      </c>
      <c r="C22" s="52">
        <f>'Historical FS'!C40</f>
        <v>0.11902690610824582</v>
      </c>
      <c r="D22" s="52">
        <f>'Historical FS'!D40</f>
        <v>0.12580664616126891</v>
      </c>
      <c r="E22" s="52">
        <f>'Historical FS'!E40</f>
        <v>0.13307075538050359</v>
      </c>
      <c r="F22" s="52">
        <f>'Historical FS'!F40</f>
        <v>0.1465784787585856</v>
      </c>
      <c r="G22" s="52">
        <f>'Historical FS'!G40</f>
        <v>0.1537340069879094</v>
      </c>
      <c r="H22" s="52">
        <f>'Historical FS'!H40</f>
        <v>0.14925150973887896</v>
      </c>
      <c r="I22" s="52">
        <f>'Historical FS'!I40</f>
        <v>0.1645311367883156</v>
      </c>
      <c r="J22" s="52">
        <f>'Historical FS'!J40</f>
        <v>0.15756025090789039</v>
      </c>
      <c r="K22" s="52">
        <f>'Historical FS'!K40</f>
        <v>0.15256236267287063</v>
      </c>
      <c r="L22" s="52">
        <f>'Historical FS'!L40</f>
        <v>0.14326452369259043</v>
      </c>
      <c r="N22" s="62">
        <f t="shared" si="3"/>
        <v>0.14453865771970592</v>
      </c>
      <c r="O22" s="63">
        <f t="shared" si="2"/>
        <v>0.14791499424873228</v>
      </c>
    </row>
    <row r="23" spans="2:15" x14ac:dyDescent="0.25"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52"/>
      <c r="O23" s="58"/>
    </row>
    <row r="24" spans="2:15" x14ac:dyDescent="0.25">
      <c r="B24" s="43" t="s">
        <v>133</v>
      </c>
      <c r="C24" s="52">
        <f>'Historical FS'!C22</f>
        <v>0.25023302056794877</v>
      </c>
      <c r="D24" s="52">
        <f>'Historical FS'!D22</f>
        <v>0.24603461793619202</v>
      </c>
      <c r="E24" s="52">
        <f>'Historical FS'!E22</f>
        <v>0.24566043044028696</v>
      </c>
      <c r="F24" s="52">
        <f>'Historical FS'!F22</f>
        <v>0.23782752480284916</v>
      </c>
      <c r="G24" s="52">
        <f>'Historical FS'!G22</f>
        <v>0.23396928336224015</v>
      </c>
      <c r="H24" s="52">
        <f>'Historical FS'!H22</f>
        <v>0.21478693544271499</v>
      </c>
      <c r="I24" s="52">
        <f>'Historical FS'!I22</f>
        <v>0.20064447240971667</v>
      </c>
      <c r="J24" s="52">
        <f>'Historical FS'!J22</f>
        <v>0.18243644767249917</v>
      </c>
      <c r="K24" s="52">
        <f>'Historical FS'!K22</f>
        <v>0.21949722114514669</v>
      </c>
      <c r="L24" s="52">
        <f>'Historical FS'!L22</f>
        <v>0.21781974303322191</v>
      </c>
      <c r="N24" s="51">
        <f t="shared" si="3"/>
        <v>0.22489096968128167</v>
      </c>
      <c r="O24" s="58">
        <f t="shared" si="2"/>
        <v>0.22673325225369342</v>
      </c>
    </row>
    <row r="25" spans="2:15" x14ac:dyDescent="0.25">
      <c r="B25" t="s">
        <v>134</v>
      </c>
      <c r="C25" s="52">
        <f>'Historical FS'!C31</f>
        <v>1.0967501398123409E-2</v>
      </c>
      <c r="D25" s="52">
        <f>'Historical FS'!D31</f>
        <v>1.3026958567034558E-2</v>
      </c>
      <c r="E25" s="52">
        <f>'Historical FS'!E31</f>
        <v>1.4629343086228723E-2</v>
      </c>
      <c r="F25" s="52">
        <f>'Historical FS'!F31</f>
        <v>1.437293309590435E-2</v>
      </c>
      <c r="G25" s="52">
        <f>'Historical FS'!G31</f>
        <v>2.5186637508483524E-2</v>
      </c>
      <c r="H25" s="52">
        <f>'Historical FS'!H31</f>
        <v>2.2837458535340648E-2</v>
      </c>
      <c r="I25" s="52">
        <f>'Historical FS'!I31</f>
        <v>2.0802349082866187E-2</v>
      </c>
      <c r="J25" s="52">
        <f>'Historical FS'!J31</f>
        <v>1.8768570485308684E-2</v>
      </c>
      <c r="K25" s="52">
        <f>'Historical FS'!K31</f>
        <v>1.9645857567532635E-2</v>
      </c>
      <c r="L25" s="52">
        <f>'Historical FS'!L31</f>
        <v>2.1466706801223048E-2</v>
      </c>
      <c r="N25" s="60">
        <f t="shared" si="3"/>
        <v>1.8170431612804579E-2</v>
      </c>
      <c r="O25" s="61">
        <f t="shared" si="2"/>
        <v>1.9207214026420658E-2</v>
      </c>
    </row>
    <row r="26" spans="2:15" x14ac:dyDescent="0.25">
      <c r="B26" s="44" t="s">
        <v>135</v>
      </c>
      <c r="C26" s="52">
        <f>C20</f>
        <v>0.18824954949356862</v>
      </c>
      <c r="D26" s="52">
        <f t="shared" ref="D26:L26" si="4">D20</f>
        <v>0.19845003317049636</v>
      </c>
      <c r="E26" s="52">
        <f t="shared" si="4"/>
        <v>0.20618933745955831</v>
      </c>
      <c r="F26" s="52">
        <f t="shared" si="4"/>
        <v>0.22566776901551769</v>
      </c>
      <c r="G26" s="52">
        <f t="shared" si="4"/>
        <v>0.23947414724882488</v>
      </c>
      <c r="H26" s="52">
        <f t="shared" si="4"/>
        <v>0.22750276431062347</v>
      </c>
      <c r="I26" s="52">
        <f t="shared" si="4"/>
        <v>0.24228730503756243</v>
      </c>
      <c r="J26" s="52">
        <f t="shared" si="4"/>
        <v>0.229168042258171</v>
      </c>
      <c r="K26" s="52">
        <f t="shared" si="4"/>
        <v>0.23108116841152901</v>
      </c>
      <c r="L26" s="52">
        <f t="shared" si="4"/>
        <v>0.22404588013497884</v>
      </c>
      <c r="N26" s="62">
        <f t="shared" si="3"/>
        <v>0.2212115996540831</v>
      </c>
      <c r="O26" s="63">
        <f t="shared" si="2"/>
        <v>0.22658526666307058</v>
      </c>
    </row>
    <row r="27" spans="2:15" x14ac:dyDescent="0.25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52"/>
      <c r="O27" s="61"/>
    </row>
    <row r="28" spans="2:15" x14ac:dyDescent="0.25">
      <c r="B28" s="43" t="s">
        <v>136</v>
      </c>
      <c r="C28" s="29">
        <f>('Historical FS'!C24-'Historical FS'!C30)/('Data Sheet'!B57+'Data Sheet'!B58+'Data Sheet'!B59)</f>
        <v>0.84785185185185186</v>
      </c>
      <c r="D28" s="29">
        <f>('Historical FS'!D24-'Historical FS'!D30)/('Data Sheet'!C57+'Data Sheet'!C58+'Data Sheet'!C59)</f>
        <v>0.88078621279020086</v>
      </c>
      <c r="E28" s="29">
        <f>('Historical FS'!E24-'Historical FS'!E30)/('Data Sheet'!D57+'Data Sheet'!D58+'Data Sheet'!D59)</f>
        <v>0.93874467792885596</v>
      </c>
      <c r="F28" s="29">
        <f>('Historical FS'!F24-'Historical FS'!F30)/('Data Sheet'!E57+'Data Sheet'!E58+'Data Sheet'!E59)</f>
        <v>1.0468240020085362</v>
      </c>
      <c r="G28" s="29">
        <f>('Historical FS'!G24-'Historical FS'!G30)/('Data Sheet'!F57+'Data Sheet'!F58+'Data Sheet'!F59)</f>
        <v>1.050309879693766</v>
      </c>
      <c r="H28" s="29">
        <f>('Historical FS'!H24-'Historical FS'!H30)/('Data Sheet'!G57+'Data Sheet'!G58+'Data Sheet'!G59)</f>
        <v>0.20434618450308345</v>
      </c>
      <c r="I28" s="29">
        <f>('Historical FS'!I24-'Historical FS'!I30)/('Data Sheet'!H57+'Data Sheet'!H58+'Data Sheet'!H59)</f>
        <v>0.23395337697589014</v>
      </c>
      <c r="J28" s="29">
        <f>('Historical FS'!J24-'Historical FS'!J30)/('Data Sheet'!I57+'Data Sheet'!I58+'Data Sheet'!I59)</f>
        <v>0.24959726723987347</v>
      </c>
      <c r="K28" s="29">
        <f>('Historical FS'!K24-'Historical FS'!K30)/('Data Sheet'!J57+'Data Sheet'!J58+'Data Sheet'!J59)</f>
        <v>0.25465826723843499</v>
      </c>
      <c r="L28" s="29">
        <f>('Historical FS'!L24-'Historical FS'!L30)/('Data Sheet'!K57+'Data Sheet'!K58+'Data Sheet'!K59)</f>
        <v>0.25821743388834478</v>
      </c>
      <c r="N28" s="51">
        <f>AVERAGE(C28:L28)</f>
        <v>0.5965289154118838</v>
      </c>
      <c r="O28" s="58">
        <f t="shared" ref="O28:O32" si="5">MEDIAN(C28:L28)</f>
        <v>0.55303464287009829</v>
      </c>
    </row>
    <row r="29" spans="2:15" x14ac:dyDescent="0.25">
      <c r="B29" t="s">
        <v>137</v>
      </c>
      <c r="C29" s="52">
        <f>'Historical FS'!C50</f>
        <v>9.7885669537979614E-2</v>
      </c>
      <c r="D29" s="52">
        <f>'Historical FS'!D50</f>
        <v>0.1198465963566635</v>
      </c>
      <c r="E29" s="52">
        <f>'Historical FS'!E50</f>
        <v>8.6680761099365844E-2</v>
      </c>
      <c r="F29" s="52">
        <f>'Historical FS'!F50</f>
        <v>0.17528635890315869</v>
      </c>
      <c r="G29" s="52">
        <f>'Historical FS'!G50</f>
        <v>0.11706998037933292</v>
      </c>
      <c r="H29" s="52">
        <f>'Historical FS'!H50</f>
        <v>0</v>
      </c>
      <c r="I29" s="52">
        <f>'Historical FS'!I50</f>
        <v>7.4052613280797264E-2</v>
      </c>
      <c r="J29" s="52">
        <f>'Historical FS'!J50</f>
        <v>3.9811419591408992E-2</v>
      </c>
      <c r="K29" s="52">
        <f>'Historical FS'!K50</f>
        <v>0</v>
      </c>
      <c r="L29" s="52">
        <f>'Historical FS'!L50</f>
        <v>0</v>
      </c>
      <c r="N29" s="60">
        <f t="shared" ref="N29:N32" si="6">AVERAGE(C29:L29)</f>
        <v>7.1063339914870682E-2</v>
      </c>
      <c r="O29" s="61">
        <f t="shared" si="5"/>
        <v>8.0366687190081554E-2</v>
      </c>
    </row>
    <row r="30" spans="2:15" x14ac:dyDescent="0.25">
      <c r="B30" t="s">
        <v>138</v>
      </c>
      <c r="C30" s="29">
        <f>'Historical FS'!C39/(SUM('Data Sheet'!B57:B58))</f>
        <v>0.58283888635326331</v>
      </c>
      <c r="D30" s="29">
        <f>'Historical FS'!D39/(SUM('Data Sheet'!C57:C58))</f>
        <v>0.6186239620403321</v>
      </c>
      <c r="E30" s="29">
        <f>'Historical FS'!E39/(SUM('Data Sheet'!D57:D58))</f>
        <v>0.64963603900563105</v>
      </c>
      <c r="F30" s="29">
        <f>'Historical FS'!F39/(SUM('Data Sheet'!E57:E58))</f>
        <v>0.73242659209355532</v>
      </c>
      <c r="G30" s="29">
        <f>'Historical FS'!G39/(SUM('Data Sheet'!F57:F58))</f>
        <v>0.74322517924413656</v>
      </c>
      <c r="H30" s="29">
        <f>'Historical FS'!H39/(SUM('Data Sheet'!G57:G58))</f>
        <v>0.14722909762134498</v>
      </c>
      <c r="I30" s="29">
        <f>'Historical FS'!I39/(SUM('Data Sheet'!H57:H58))</f>
        <v>0.17588308432359714</v>
      </c>
      <c r="J30" s="29">
        <f>'Historical FS'!J39/(SUM('Data Sheet'!I57:I58))</f>
        <v>0.18974634223918574</v>
      </c>
      <c r="K30" s="29">
        <f>'Historical FS'!K39/(SUM('Data Sheet'!J57:J58))</f>
        <v>0.18436877660197587</v>
      </c>
      <c r="L30" s="29">
        <f>'Historical FS'!L39/(SUM('Data Sheet'!K57:K58))</f>
        <v>0.18304926926035384</v>
      </c>
      <c r="N30" s="60">
        <f t="shared" si="6"/>
        <v>0.42070272287833765</v>
      </c>
      <c r="O30" s="61">
        <f t="shared" si="5"/>
        <v>0.38629261429622452</v>
      </c>
    </row>
    <row r="31" spans="2:15" x14ac:dyDescent="0.25">
      <c r="B31" t="s">
        <v>139</v>
      </c>
      <c r="C31" s="52">
        <f>C29*C30</f>
        <v>5.705157462345959E-2</v>
      </c>
      <c r="D31" s="52">
        <f t="shared" ref="D31:L31" si="7">D29*D30</f>
        <v>7.4139976275207603E-2</v>
      </c>
      <c r="E31" s="52">
        <f t="shared" si="7"/>
        <v>5.6310946298585414E-2</v>
      </c>
      <c r="F31" s="52">
        <f t="shared" si="7"/>
        <v>0.12838439049192835</v>
      </c>
      <c r="G31" s="52">
        <f t="shared" si="7"/>
        <v>8.700935715153725E-2</v>
      </c>
      <c r="H31" s="52">
        <f t="shared" si="7"/>
        <v>0</v>
      </c>
      <c r="I31" s="52">
        <f t="shared" si="7"/>
        <v>1.3024602026049195E-2</v>
      </c>
      <c r="J31" s="52">
        <f t="shared" si="7"/>
        <v>7.5540712468193149E-3</v>
      </c>
      <c r="K31" s="52">
        <f t="shared" si="7"/>
        <v>0</v>
      </c>
      <c r="L31" s="52">
        <f t="shared" si="7"/>
        <v>0</v>
      </c>
      <c r="N31" s="60">
        <f t="shared" si="6"/>
        <v>4.2347491811358676E-2</v>
      </c>
      <c r="O31" s="61">
        <f t="shared" si="5"/>
        <v>3.4667774162317304E-2</v>
      </c>
    </row>
    <row r="32" spans="2:15" x14ac:dyDescent="0.25">
      <c r="B32" s="44" t="s">
        <v>140</v>
      </c>
      <c r="C32" s="54">
        <f>('Historical FS'!C33+'Historical FS'!C27)/('Historical FS'!C27)</f>
        <v>336.64705882352939</v>
      </c>
      <c r="D32" s="54">
        <f>('Historical FS'!D33+'Historical FS'!D27)/('Historical FS'!D27)</f>
        <v>176.68571428571428</v>
      </c>
      <c r="E32" s="54">
        <f>('Historical FS'!E33+'Historical FS'!E27)/('Historical FS'!E27)</f>
        <v>262.88461538461536</v>
      </c>
      <c r="F32" s="54">
        <f>('Historical FS'!F33+'Historical FS'!F27)/('Historical FS'!F27)</f>
        <v>252.69696969696969</v>
      </c>
      <c r="G32" s="54">
        <f>('Historical FS'!G33+'Historical FS'!G27)/('Historical FS'!G27)</f>
        <v>73.245762711864401</v>
      </c>
      <c r="H32" s="54">
        <f>('Historical FS'!H33+'Historical FS'!H27)/('Historical FS'!H27)</f>
        <v>83.26495726495726</v>
      </c>
      <c r="I32" s="54">
        <f>('Historical FS'!I33+'Historical FS'!I27)/('Historical FS'!I27)</f>
        <v>110.58490566037736</v>
      </c>
      <c r="J32" s="54">
        <f>('Historical FS'!J33+'Historical FS'!J27)/('Historical FS'!J27)</f>
        <v>112.80701754385964</v>
      </c>
      <c r="K32" s="54">
        <f>('Historical FS'!K33+'Historical FS'!K27)/('Historical FS'!K27)</f>
        <v>40.182634730538922</v>
      </c>
      <c r="L32" s="54">
        <f>('Historical FS'!L33+'Historical FS'!L27)/('Historical FS'!L27)</f>
        <v>33.372151898734174</v>
      </c>
      <c r="N32" s="64">
        <f t="shared" si="6"/>
        <v>148.23717880011608</v>
      </c>
      <c r="O32" s="65">
        <f t="shared" si="5"/>
        <v>111.6959616021185</v>
      </c>
    </row>
    <row r="33" spans="2:15" x14ac:dyDescent="0.25"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52"/>
      <c r="O33" s="58"/>
    </row>
    <row r="34" spans="2:15" x14ac:dyDescent="0.25">
      <c r="B34" s="43" t="s">
        <v>141</v>
      </c>
      <c r="C34" s="54">
        <f>'Historical FS'!C12/'Historical FS'!C66</f>
        <v>25.463607594936708</v>
      </c>
      <c r="D34" s="54">
        <f>'Historical FS'!D12/'Historical FS'!D66</f>
        <v>30.56405529953917</v>
      </c>
      <c r="E34" s="54">
        <f>'Historical FS'!E12/'Historical FS'!E66</f>
        <v>27.133587786259543</v>
      </c>
      <c r="F34" s="54">
        <f>'Historical FS'!F12/'Historical FS'!F66</f>
        <v>21.646475770925111</v>
      </c>
      <c r="G34" s="54">
        <f>'Historical FS'!G12/'Historical FS'!G66</f>
        <v>34.624020887728463</v>
      </c>
      <c r="H34" s="54">
        <f>'Historical FS'!H12/'Historical FS'!H66</f>
        <v>26.750853242320819</v>
      </c>
      <c r="I34" s="54">
        <f>'Historical FS'!I12/'Historical FS'!I66</f>
        <v>23.455277280858677</v>
      </c>
      <c r="J34" s="54">
        <f>'Historical FS'!J12/'Historical FS'!J66</f>
        <v>19.67521922702176</v>
      </c>
      <c r="K34" s="54">
        <f>'Historical FS'!K12/'Historical FS'!K66</f>
        <v>20.652652652652652</v>
      </c>
      <c r="L34" s="54">
        <f>'Historical FS'!L12/'Historical FS'!L66</f>
        <v>16.52814873003404</v>
      </c>
      <c r="N34" s="66">
        <f t="shared" si="3"/>
        <v>24.649389847227695</v>
      </c>
      <c r="O34" s="59">
        <f t="shared" si="2"/>
        <v>24.459442437897692</v>
      </c>
    </row>
    <row r="35" spans="2:15" x14ac:dyDescent="0.25">
      <c r="B35" t="s">
        <v>142</v>
      </c>
      <c r="C35" s="54">
        <f>'Historical FS'!C15/'Historical FS'!C57</f>
        <v>2.2449334825313936</v>
      </c>
      <c r="D35" s="54">
        <f>'Historical FS'!D15/'Historical FS'!D57</f>
        <v>2.1170984455958548</v>
      </c>
      <c r="E35" s="54">
        <f>'Historical FS'!E15/'Historical FS'!E57</f>
        <v>1.8389566203572441</v>
      </c>
      <c r="F35" s="54">
        <f>'Historical FS'!F15/'Historical FS'!F57</f>
        <v>1.9747725780737129</v>
      </c>
      <c r="G35" s="54">
        <f>'Historical FS'!G15/'Historical FS'!G57</f>
        <v>1.7468970144246898</v>
      </c>
      <c r="H35" s="54">
        <f>'Historical FS'!H15/'Historical FS'!H57</f>
        <v>1.2394854267540112</v>
      </c>
      <c r="I35" s="54">
        <f>'Historical FS'!I15/'Historical FS'!I57</f>
        <v>1.4268208999117733</v>
      </c>
      <c r="J35" s="54">
        <f>'Historical FS'!J15/'Historical FS'!J57</f>
        <v>1.6484643221675792</v>
      </c>
      <c r="K35" s="54">
        <f>'Historical FS'!K15/'Historical FS'!K57</f>
        <v>1.3058130065536899</v>
      </c>
      <c r="L35" s="54">
        <f>'Historical FS'!L15/'Historical FS'!L57</f>
        <v>1.2090028806441537</v>
      </c>
      <c r="N35" s="67">
        <f t="shared" si="3"/>
        <v>1.6752244677014101</v>
      </c>
      <c r="O35" s="68">
        <f t="shared" si="2"/>
        <v>1.6976806682961345</v>
      </c>
    </row>
    <row r="36" spans="2:15" x14ac:dyDescent="0.25">
      <c r="B36" t="s">
        <v>143</v>
      </c>
      <c r="C36" s="54">
        <f>'Historical FS'!C15/'Historical FS'!C67</f>
        <v>6.6236243580337488</v>
      </c>
      <c r="D36" s="54">
        <f>'Historical FS'!D15/'Historical FS'!D67</f>
        <v>7.2361275088547812</v>
      </c>
      <c r="E36" s="54">
        <f>'Historical FS'!E15/'Historical FS'!E67</f>
        <v>7.742936729009152</v>
      </c>
      <c r="F36" s="54">
        <f>'Historical FS'!F15/'Historical FS'!F67</f>
        <v>8.1806526806526811</v>
      </c>
      <c r="G36" s="54">
        <f>'Historical FS'!G15/'Historical FS'!G67</f>
        <v>7.528008673653777</v>
      </c>
      <c r="H36" s="54">
        <f>'Historical FS'!H15/'Historical FS'!H67</f>
        <v>7.2956132998044145</v>
      </c>
      <c r="I36" s="54">
        <f>'Historical FS'!I15/'Historical FS'!I67</f>
        <v>7.10693359375</v>
      </c>
      <c r="J36" s="54">
        <f>'Historical FS'!J15/'Historical FS'!J67</f>
        <v>8.3582686426723125</v>
      </c>
      <c r="K36" s="54">
        <f>'Historical FS'!K15/'Historical FS'!K67</f>
        <v>8.3722028841372449</v>
      </c>
      <c r="L36" s="54">
        <f>'Historical FS'!L15/'Historical FS'!L67</f>
        <v>7.8901472253680636</v>
      </c>
      <c r="N36" s="67">
        <f t="shared" si="3"/>
        <v>7.6334515595936185</v>
      </c>
      <c r="O36" s="68">
        <f t="shared" si="2"/>
        <v>7.6354727013314641</v>
      </c>
    </row>
    <row r="37" spans="2:15" x14ac:dyDescent="0.25">
      <c r="B37" t="s">
        <v>144</v>
      </c>
      <c r="C37" s="54">
        <f>'Historical FS'!C12/'Historical FS'!C60</f>
        <v>9.8790669122160839</v>
      </c>
      <c r="D37" s="54">
        <f>'Historical FS'!D12/'Historical FS'!D60</f>
        <v>7.5044127630685677</v>
      </c>
      <c r="E37" s="54">
        <f>'Historical FS'!E12/'Historical FS'!E60</f>
        <v>7.8500441696113077</v>
      </c>
      <c r="F37" s="54">
        <f>'Historical FS'!F12/'Historical FS'!F60</f>
        <v>8.3372216330858961</v>
      </c>
      <c r="G37" s="54">
        <f>'Historical FS'!G12/'Historical FS'!G60</f>
        <v>7.2609965322139081</v>
      </c>
      <c r="H37" s="54">
        <f>'Historical FS'!H12/'Historical FS'!H60</f>
        <v>0.91417685593763975</v>
      </c>
      <c r="I37" s="54">
        <f>'Historical FS'!I12/'Historical FS'!I60</f>
        <v>1.018903114254075</v>
      </c>
      <c r="J37" s="54">
        <f>'Historical FS'!J12/'Historical FS'!J60</f>
        <v>1.1500056949770303</v>
      </c>
      <c r="K37" s="54">
        <f>'Historical FS'!K12/'Historical FS'!K60</f>
        <v>1.1516820482286394</v>
      </c>
      <c r="L37" s="54">
        <f>'Historical FS'!L12/'Historical FS'!L60</f>
        <v>1.1617005613324745</v>
      </c>
      <c r="N37" s="67">
        <f t="shared" si="3"/>
        <v>4.6228210284925622</v>
      </c>
      <c r="O37" s="68">
        <f t="shared" si="2"/>
        <v>4.2113485467731913</v>
      </c>
    </row>
    <row r="38" spans="2:15" x14ac:dyDescent="0.25">
      <c r="B38" s="44" t="s">
        <v>145</v>
      </c>
      <c r="C38" s="54">
        <f>'Historical FS'!C12/('Historical FS'!C54+'Historical FS'!C55+'Historical FS'!C56)</f>
        <v>4.7682962962962963</v>
      </c>
      <c r="D38" s="54">
        <f>'Historical FS'!D12/('Historical FS'!D54+'Historical FS'!D55+'Historical FS'!D56)</f>
        <v>4.7232587950434413</v>
      </c>
      <c r="E38" s="54">
        <f>'Historical FS'!E12/('Historical FS'!E54+'Historical FS'!E55+'Historical FS'!E56)</f>
        <v>4.8818843565444308</v>
      </c>
      <c r="F38" s="54">
        <f>'Historical FS'!F12/('Historical FS'!F54+'Historical FS'!F55+'Historical FS'!F56)</f>
        <v>4.9347225709264375</v>
      </c>
      <c r="G38" s="54">
        <f>'Historical FS'!G12/('Historical FS'!G54+'Historical FS'!G55+'Historical FS'!G56)</f>
        <v>4.8344877870944218</v>
      </c>
      <c r="H38" s="54">
        <f>'Historical FS'!H12/('Historical FS'!H54+'Historical FS'!H55+'Historical FS'!H56)</f>
        <v>0.98644963711876499</v>
      </c>
      <c r="I38" s="54">
        <f>'Historical FS'!I12/('Historical FS'!I54+'Historical FS'!I55+'Historical FS'!I56)</f>
        <v>1.0467427750279419</v>
      </c>
      <c r="J38" s="54">
        <f>'Historical FS'!J12/('Historical FS'!J54+'Historical FS'!J55+'Historical FS'!J56)</f>
        <v>1.1757855714923433</v>
      </c>
      <c r="K38" s="54">
        <f>'Historical FS'!K12/('Historical FS'!K54+'Historical FS'!K55+'Historical FS'!K56)</f>
        <v>1.174452582444689</v>
      </c>
      <c r="L38" s="54">
        <f>'Historical FS'!L12/('Historical FS'!L54+'Historical FS'!L55+'Historical FS'!L56)</f>
        <v>1.2364544564152791</v>
      </c>
      <c r="N38" s="64">
        <f t="shared" si="3"/>
        <v>2.9762534828404044</v>
      </c>
      <c r="O38" s="65">
        <f t="shared" si="2"/>
        <v>2.9798566257293602</v>
      </c>
    </row>
    <row r="39" spans="2:15" x14ac:dyDescent="0.25">
      <c r="B39" s="55" t="s">
        <v>157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52"/>
      <c r="O39" s="58"/>
    </row>
    <row r="40" spans="2:15" x14ac:dyDescent="0.25">
      <c r="B40" s="43" t="s">
        <v>146</v>
      </c>
      <c r="C40" s="53">
        <f>365/C34</f>
        <v>14.334182563847637</v>
      </c>
      <c r="D40" s="53">
        <f t="shared" ref="D40:L40" si="8">365/D34</f>
        <v>11.942132561365419</v>
      </c>
      <c r="E40" s="53">
        <f t="shared" si="8"/>
        <v>13.4519623013082</v>
      </c>
      <c r="F40" s="53">
        <f t="shared" si="8"/>
        <v>16.861867209361485</v>
      </c>
      <c r="G40" s="53">
        <f t="shared" si="8"/>
        <v>10.541814342809742</v>
      </c>
      <c r="H40" s="53">
        <f t="shared" si="8"/>
        <v>13.644424598111764</v>
      </c>
      <c r="I40" s="53">
        <f t="shared" si="8"/>
        <v>15.561529954619989</v>
      </c>
      <c r="J40" s="53">
        <f t="shared" si="8"/>
        <v>18.551254539451964</v>
      </c>
      <c r="K40" s="53">
        <f t="shared" si="8"/>
        <v>17.673274525009695</v>
      </c>
      <c r="L40" s="53">
        <f t="shared" si="8"/>
        <v>22.08353796676225</v>
      </c>
      <c r="N40" s="69">
        <f t="shared" si="3"/>
        <v>15.464598056264816</v>
      </c>
      <c r="O40" s="70">
        <f t="shared" si="2"/>
        <v>14.947856259233813</v>
      </c>
    </row>
    <row r="41" spans="2:15" x14ac:dyDescent="0.25">
      <c r="B41" t="s">
        <v>147</v>
      </c>
      <c r="C41" s="53">
        <f>365/C35</f>
        <v>162.58833628710678</v>
      </c>
      <c r="D41" s="53">
        <f t="shared" ref="D41:L41" si="9">365/D35</f>
        <v>172.40577581987276</v>
      </c>
      <c r="E41" s="53">
        <f t="shared" si="9"/>
        <v>198.48211532531607</v>
      </c>
      <c r="F41" s="53">
        <f t="shared" si="9"/>
        <v>184.83140998242865</v>
      </c>
      <c r="G41" s="53">
        <f t="shared" si="9"/>
        <v>208.9419107057129</v>
      </c>
      <c r="H41" s="53">
        <f t="shared" si="9"/>
        <v>294.47704032783116</v>
      </c>
      <c r="I41" s="53">
        <f t="shared" si="9"/>
        <v>255.81346616283065</v>
      </c>
      <c r="J41" s="53">
        <f t="shared" si="9"/>
        <v>221.41819819312713</v>
      </c>
      <c r="K41" s="53">
        <f t="shared" si="9"/>
        <v>279.51934784545477</v>
      </c>
      <c r="L41" s="53">
        <f t="shared" si="9"/>
        <v>301.90167934548583</v>
      </c>
      <c r="N41" s="53">
        <f t="shared" si="3"/>
        <v>228.03792799951671</v>
      </c>
      <c r="O41" s="71">
        <f t="shared" si="2"/>
        <v>215.18005444942003</v>
      </c>
    </row>
    <row r="42" spans="2:15" x14ac:dyDescent="0.25">
      <c r="B42" t="s">
        <v>148</v>
      </c>
      <c r="C42" s="53">
        <f>365/C36</f>
        <v>55.105782011519722</v>
      </c>
      <c r="D42" s="53">
        <f t="shared" ref="D42:L42" si="10">365/D36</f>
        <v>50.441344428128573</v>
      </c>
      <c r="E42" s="53">
        <f t="shared" si="10"/>
        <v>47.139736869154078</v>
      </c>
      <c r="F42" s="53">
        <f t="shared" si="10"/>
        <v>44.617466875623307</v>
      </c>
      <c r="G42" s="53">
        <f t="shared" si="10"/>
        <v>48.485597695631299</v>
      </c>
      <c r="H42" s="53">
        <f t="shared" si="10"/>
        <v>50.030063957718973</v>
      </c>
      <c r="I42" s="53">
        <f t="shared" si="10"/>
        <v>51.358296118172447</v>
      </c>
      <c r="J42" s="53">
        <f t="shared" si="10"/>
        <v>43.669331006726523</v>
      </c>
      <c r="K42" s="53">
        <f t="shared" si="10"/>
        <v>43.596650135123099</v>
      </c>
      <c r="L42" s="53">
        <f t="shared" si="10"/>
        <v>46.260226783407489</v>
      </c>
      <c r="N42" s="53">
        <f t="shared" si="3"/>
        <v>48.070449588120553</v>
      </c>
      <c r="O42" s="71">
        <f t="shared" si="2"/>
        <v>47.812667282392688</v>
      </c>
    </row>
    <row r="43" spans="2:15" x14ac:dyDescent="0.25">
      <c r="B43" s="44" t="s">
        <v>149</v>
      </c>
      <c r="C43" s="53">
        <f>(C42+C40)-C41</f>
        <v>-93.148371711739429</v>
      </c>
      <c r="D43" s="53">
        <f t="shared" ref="D43:L43" si="11">(D42+D40)-D41</f>
        <v>-110.02229883037876</v>
      </c>
      <c r="E43" s="53">
        <f t="shared" si="11"/>
        <v>-137.8904161548538</v>
      </c>
      <c r="F43" s="53">
        <f t="shared" si="11"/>
        <v>-123.35207589744385</v>
      </c>
      <c r="G43" s="53">
        <f t="shared" si="11"/>
        <v>-149.91449866727186</v>
      </c>
      <c r="H43" s="53">
        <f t="shared" si="11"/>
        <v>-230.80255177200041</v>
      </c>
      <c r="I43" s="53">
        <f t="shared" si="11"/>
        <v>-188.89364009003822</v>
      </c>
      <c r="J43" s="53">
        <f t="shared" si="11"/>
        <v>-159.19761264694864</v>
      </c>
      <c r="K43" s="53">
        <f t="shared" si="11"/>
        <v>-218.24942318532197</v>
      </c>
      <c r="L43" s="53">
        <f t="shared" si="11"/>
        <v>-233.55791459531611</v>
      </c>
      <c r="N43" s="72">
        <f t="shared" si="3"/>
        <v>-164.50288035513131</v>
      </c>
      <c r="O43" s="71">
        <f t="shared" si="2"/>
        <v>-154.55605565711025</v>
      </c>
    </row>
    <row r="44" spans="2:15" x14ac:dyDescent="0.25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52"/>
      <c r="O44" s="58"/>
    </row>
    <row r="45" spans="2:15" x14ac:dyDescent="0.25">
      <c r="B45" s="43" t="s">
        <v>150</v>
      </c>
      <c r="C45" s="29">
        <f>'Cash Flow '!C24/'Historical FS'!C12</f>
        <v>0.13120611445970298</v>
      </c>
      <c r="D45" s="29">
        <f>'Cash Flow '!D24/'Historical FS'!D12</f>
        <v>8.8927085218020632E-2</v>
      </c>
      <c r="E45" s="29">
        <f>'Cash Flow '!E24/'Historical FS'!E12</f>
        <v>0.11506541004360669</v>
      </c>
      <c r="F45" s="29">
        <f>'Cash Flow '!F24/'Historical FS'!F12</f>
        <v>0.1474688374459425</v>
      </c>
      <c r="G45" s="29">
        <f>'Cash Flow '!G24/'Historical FS'!G12</f>
        <v>0.1733152351506925</v>
      </c>
      <c r="H45" s="29">
        <f>'Cash Flow '!H24/'Historical FS'!H12</f>
        <v>0.11605851832950582</v>
      </c>
      <c r="I45" s="29">
        <f>'Cash Flow '!I24/'Historical FS'!I12</f>
        <v>0.15318613430957556</v>
      </c>
      <c r="J45" s="29">
        <f>'Cash Flow '!J24/'Historical FS'!J12</f>
        <v>0.14958732254869594</v>
      </c>
      <c r="K45" s="29">
        <f>'Cash Flow '!K24/'Historical FS'!K12</f>
        <v>0.13002455732195942</v>
      </c>
      <c r="L45" s="29">
        <f>'Cash Flow '!L24/'Historical FS'!L12</f>
        <v>0.14307441263604823</v>
      </c>
      <c r="N45" s="51">
        <f t="shared" si="3"/>
        <v>0.13479136274637502</v>
      </c>
      <c r="O45" s="58">
        <f t="shared" si="2"/>
        <v>0.13714026354787562</v>
      </c>
    </row>
    <row r="46" spans="2:15" x14ac:dyDescent="0.25">
      <c r="B46" t="s">
        <v>151</v>
      </c>
      <c r="C46" s="29">
        <f>'Cash Flow '!C24/'Historical FS'!C71</f>
        <v>0.28547285878456025</v>
      </c>
      <c r="D46" s="29">
        <f>'Cash Flow '!D24/'Historical FS'!D71</f>
        <v>0.18776263848210875</v>
      </c>
      <c r="E46" s="29">
        <f>'Cash Flow '!E24/'Historical FS'!E71</f>
        <v>0.22897771806068748</v>
      </c>
      <c r="F46" s="29">
        <f>'Cash Flow '!F24/'Historical FS'!F71</f>
        <v>0.31118149122336142</v>
      </c>
      <c r="G46" s="29">
        <f>'Cash Flow '!G24/'Historical FS'!G71</f>
        <v>0.34213268496005556</v>
      </c>
      <c r="H46" s="29">
        <f>'Cash Flow '!H24/'Historical FS'!H71</f>
        <v>7.9400640093104449E-2</v>
      </c>
      <c r="I46" s="29">
        <f>'Cash Flow '!I24/'Historical FS'!I71</f>
        <v>0.11394774912773381</v>
      </c>
      <c r="J46" s="29">
        <f>'Cash Flow '!J24/'Historical FS'!J71</f>
        <v>0.1240061852566471</v>
      </c>
      <c r="K46" s="29">
        <f>'Cash Flow '!K24/'Historical FS'!K71</f>
        <v>0.10253666118819198</v>
      </c>
      <c r="L46" s="29">
        <f>'Cash Flow '!L24/'Historical FS'!L71</f>
        <v>0.11308115147189562</v>
      </c>
      <c r="N46" s="52">
        <f t="shared" si="3"/>
        <v>0.18884997786483465</v>
      </c>
      <c r="O46" s="61">
        <f t="shared" si="2"/>
        <v>0.15588441186937793</v>
      </c>
    </row>
    <row r="47" spans="2:15" x14ac:dyDescent="0.25">
      <c r="B47" s="2" t="s">
        <v>152</v>
      </c>
      <c r="C47" s="56">
        <f>'Cash Flow '!C24/'Historical FS'!C56</f>
        <v>23.858757062146893</v>
      </c>
      <c r="D47" s="56">
        <f>'Cash Flow '!D24/'Historical FS'!D56</f>
        <v>10.646209386281589</v>
      </c>
      <c r="E47" s="56">
        <f>IFERROR('Cash Flow '!C24/'Historical FS'!C56,0)</f>
        <v>23.858757062146893</v>
      </c>
      <c r="F47" s="56">
        <f>IFERROR('Cash Flow '!D24/'Historical FS'!D56,0)</f>
        <v>10.646209386281589</v>
      </c>
      <c r="G47" s="56">
        <f>IFERROR('Cash Flow '!E24/'Historical FS'!E56,0)</f>
        <v>0</v>
      </c>
      <c r="H47" s="56">
        <f>IFERROR('Cash Flow '!F24/'Historical FS'!F56,0)</f>
        <v>58.555555555555557</v>
      </c>
      <c r="I47" s="56">
        <f>IFERROR('Cash Flow '!G24/'Historical FS'!G56,0)</f>
        <v>0</v>
      </c>
      <c r="J47" s="56">
        <f>IFERROR('Cash Flow '!H24/'Historical FS'!H56,0)</f>
        <v>0</v>
      </c>
      <c r="K47" s="56">
        <f>IFERROR('Cash Flow '!I24/'Historical FS'!I56,0)</f>
        <v>7.7027804410354745</v>
      </c>
      <c r="L47" s="56">
        <f>IFERROR('Cash Flow '!J24/'Historical FS'!J56,0)</f>
        <v>7.4339622641509431</v>
      </c>
      <c r="N47" s="52">
        <f t="shared" si="3"/>
        <v>14.270223115759896</v>
      </c>
      <c r="O47" s="61">
        <f t="shared" si="2"/>
        <v>9.1744949136585312</v>
      </c>
    </row>
    <row r="48" spans="2:15" x14ac:dyDescent="0.25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</row>
  </sheetData>
  <mergeCells count="2">
    <mergeCell ref="B7:O7"/>
    <mergeCell ref="B9:O9"/>
  </mergeCells>
  <pageMargins left="0.7" right="0.7" top="0.75" bottom="0.75" header="0.3" footer="0.3"/>
  <pageSetup orientation="portrait" r:id="rId1"/>
  <ignoredErrors>
    <ignoredError sqref="C30:L30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4315708-212F-49DB-AE05-A0FB6C5B58A1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  <x14:sparkline>
              <xm:f>'Ratio Analysis'!C20:L20</xm:f>
              <xm:sqref>M20</xm:sqref>
            </x14:sparkline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  <x14:sparkline>
              <xm:f>'Ratio Analysis'!C26:L26</xm:f>
              <xm:sqref>M26</xm:sqref>
            </x14:sparkline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  <x14:sparkline>
              <xm:f>'Ratio Analysis'!C32:L32</xm:f>
              <xm:sqref>M32</xm:sqref>
            </x14:sparkline>
            <x14:sparkline>
              <xm:f>'Ratio Analysis'!C33:L33</xm:f>
              <xm:sqref>M33</xm:sqref>
            </x14:sparkline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  <x14:sparkline>
              <xm:f>'Ratio Analysis'!C38:L38</xm:f>
              <xm:sqref>M38</xm:sqref>
            </x14:sparkline>
            <x14:sparkline>
              <xm:f>'Ratio Analysis'!C39:L39</xm:f>
              <xm:sqref>M39</xm:sqref>
            </x14:sparkline>
            <x14:sparkline>
              <xm:f>'Ratio Analysis'!C40:L40</xm:f>
              <xm:sqref>M40</xm:sqref>
            </x14:sparkline>
            <x14:sparkline>
              <xm:f>'Ratio Analysis'!C41:L41</xm:f>
              <xm:sqref>M41</xm:sqref>
            </x14:sparkline>
            <x14:sparkline>
              <xm:f>'Ratio Analysis'!C42:L42</xm:f>
              <xm:sqref>M42</xm:sqref>
            </x14:sparkline>
            <x14:sparkline>
              <xm:f>'Ratio Analysis'!C43:L43</xm:f>
              <xm:sqref>M43</xm:sqref>
            </x14:sparkline>
            <x14:sparkline>
              <xm:f>'Ratio Analysis'!C44:L44</xm:f>
              <xm:sqref>M44</xm:sqref>
            </x14:sparkline>
            <x14:sparkline>
              <xm:f>'Ratio Analysis'!C45:L45</xm:f>
              <xm:sqref>M45</xm:sqref>
            </x14:sparkline>
            <x14:sparkline>
              <xm:f>'Ratio Analysis'!C46:L46</xm:f>
              <xm:sqref>M46</xm:sqref>
            </x14:sparkline>
            <x14:sparkline>
              <xm:f>'Ratio Analysis'!C47:L47</xm:f>
              <xm:sqref>M47</xm:sqref>
            </x14:sparkline>
          </x14:sparklines>
        </x14:sparklineGroup>
        <x14:sparklineGroup displayEmptyCellsAs="gap" markers="1" xr2:uid="{50AAF3BD-78D4-43AD-8C8F-40F8E0671C72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Analysis'!D12:L12</xm:f>
              <xm:sqref>M12</xm:sqref>
            </x14:sparkline>
            <x14:sparkline>
              <xm:f>'Ratio Analysis'!D13:L13</xm:f>
              <xm:sqref>M13</xm:sqref>
            </x14:sparkline>
            <x14:sparkline>
              <xm:f>'Ratio Analysis'!D14:L14</xm:f>
              <xm:sqref>M14</xm:sqref>
            </x14:sparkline>
            <x14:sparkline>
              <xm:f>'Ratio Analysis'!D15:L15</xm:f>
              <xm:sqref>M15</xm:sqref>
            </x14:sparkline>
            <x14:sparkline>
              <xm:f>'Ratio Analysis'!D16:L16</xm:f>
              <xm:sqref>M16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21D7-3142-4073-B011-2632F5C9308E}">
  <dimension ref="B2:O54"/>
  <sheetViews>
    <sheetView showGridLines="0" topLeftCell="A7" zoomScaleNormal="100" workbookViewId="0">
      <selection activeCell="F48" sqref="F48"/>
    </sheetView>
  </sheetViews>
  <sheetFormatPr defaultRowHeight="15" x14ac:dyDescent="0.25"/>
  <cols>
    <col min="1" max="1" width="1.85546875" customWidth="1"/>
    <col min="2" max="2" width="11.7109375" bestFit="1" customWidth="1"/>
    <col min="3" max="3" width="12.7109375" customWidth="1"/>
    <col min="4" max="4" width="14.7109375" customWidth="1"/>
    <col min="5" max="5" width="14.42578125" customWidth="1"/>
    <col min="6" max="6" width="9.140625" customWidth="1"/>
    <col min="7" max="7" width="12" bestFit="1" customWidth="1"/>
    <col min="8" max="8" width="13.7109375" customWidth="1"/>
    <col min="9" max="9" width="12.85546875" customWidth="1"/>
    <col min="10" max="10" width="12.5703125" customWidth="1"/>
  </cols>
  <sheetData>
    <row r="2" spans="2:15" x14ac:dyDescent="0.25"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</row>
    <row r="3" spans="2:1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B5" s="3"/>
      <c r="C5" s="3"/>
      <c r="D5" s="3"/>
      <c r="E5" s="3"/>
      <c r="F5" s="3"/>
      <c r="G5" s="3"/>
      <c r="H5" s="3"/>
      <c r="I5" s="3"/>
      <c r="J5" s="3"/>
      <c r="K5" s="2"/>
      <c r="L5" s="2"/>
      <c r="M5" s="2"/>
      <c r="N5" s="2"/>
      <c r="O5" s="2"/>
    </row>
    <row r="6" spans="2:1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5" ht="18.75" x14ac:dyDescent="0.3">
      <c r="B7" s="230" t="s">
        <v>158</v>
      </c>
      <c r="C7" s="230"/>
      <c r="D7" s="230"/>
      <c r="E7" s="230"/>
      <c r="F7" s="230"/>
      <c r="G7" s="230"/>
      <c r="H7" s="230"/>
      <c r="I7" s="230"/>
      <c r="J7" s="230"/>
      <c r="K7" s="74"/>
      <c r="L7" s="74"/>
      <c r="M7" s="74"/>
      <c r="N7" s="74"/>
      <c r="O7" s="74"/>
    </row>
    <row r="9" spans="2:15" x14ac:dyDescent="0.25">
      <c r="B9" s="229" t="s">
        <v>159</v>
      </c>
      <c r="C9" s="229"/>
      <c r="D9" s="229"/>
      <c r="E9" s="229"/>
      <c r="G9" s="229" t="s">
        <v>162</v>
      </c>
      <c r="H9" s="229"/>
      <c r="I9" s="229"/>
      <c r="J9" s="229"/>
    </row>
    <row r="10" spans="2:15" x14ac:dyDescent="0.25">
      <c r="B10" s="42" t="s">
        <v>160</v>
      </c>
      <c r="C10" s="42" t="s">
        <v>161</v>
      </c>
      <c r="D10" s="42" t="s">
        <v>15</v>
      </c>
      <c r="E10" s="42" t="s">
        <v>57</v>
      </c>
      <c r="G10" s="42" t="s">
        <v>160</v>
      </c>
      <c r="H10" s="42" t="s">
        <v>161</v>
      </c>
      <c r="I10" s="42" t="s">
        <v>64</v>
      </c>
      <c r="J10" s="42" t="s">
        <v>124</v>
      </c>
    </row>
    <row r="11" spans="2:15" x14ac:dyDescent="0.25">
      <c r="B11">
        <v>1</v>
      </c>
      <c r="C11" s="73">
        <v>2016</v>
      </c>
      <c r="D11" s="75">
        <v>32186</v>
      </c>
      <c r="G11">
        <v>1</v>
      </c>
      <c r="H11" s="73">
        <v>2016</v>
      </c>
      <c r="I11" s="75">
        <v>6076</v>
      </c>
    </row>
    <row r="12" spans="2:15" x14ac:dyDescent="0.25">
      <c r="B12">
        <f>B11+1</f>
        <v>2</v>
      </c>
      <c r="C12" s="73">
        <f>C11+1</f>
        <v>2017</v>
      </c>
      <c r="D12" s="75">
        <v>33162</v>
      </c>
      <c r="E12" s="29">
        <f>(D12/D11)-1</f>
        <v>3.03237432424035E-2</v>
      </c>
      <c r="G12">
        <f>G11+1</f>
        <v>2</v>
      </c>
      <c r="H12" s="73">
        <f>H11+1</f>
        <v>2017</v>
      </c>
      <c r="I12" s="75">
        <v>6616</v>
      </c>
      <c r="J12" s="29">
        <f>(I12/I11)-1</f>
        <v>8.8874259381171772E-2</v>
      </c>
    </row>
    <row r="13" spans="2:15" x14ac:dyDescent="0.25">
      <c r="B13">
        <f t="shared" ref="B13:B25" si="0">B12+1</f>
        <v>3</v>
      </c>
      <c r="C13" s="73">
        <f t="shared" ref="C13:C25" si="1">C12+1</f>
        <v>2018</v>
      </c>
      <c r="D13" s="75">
        <v>35545</v>
      </c>
      <c r="E13" s="29">
        <f t="shared" ref="E13:E25" si="2">(D13/D12)-1</f>
        <v>7.1859357095470644E-2</v>
      </c>
      <c r="G13">
        <f t="shared" ref="G13:G23" si="3">G12+1</f>
        <v>3</v>
      </c>
      <c r="H13" s="73">
        <f t="shared" ref="H13:H25" si="4">H12+1</f>
        <v>2018</v>
      </c>
      <c r="I13" s="75">
        <v>7355</v>
      </c>
      <c r="J13" s="29">
        <f t="shared" ref="J13:J25" si="5">(I13/I12)-1</f>
        <v>0.11169891172914137</v>
      </c>
    </row>
    <row r="14" spans="2:15" x14ac:dyDescent="0.25">
      <c r="B14">
        <f t="shared" si="0"/>
        <v>4</v>
      </c>
      <c r="C14" s="73">
        <f t="shared" si="1"/>
        <v>2019</v>
      </c>
      <c r="D14" s="75">
        <v>39310</v>
      </c>
      <c r="E14" s="29">
        <f t="shared" si="2"/>
        <v>0.1059220706147137</v>
      </c>
      <c r="G14">
        <f t="shared" si="3"/>
        <v>4</v>
      </c>
      <c r="H14" s="73">
        <f t="shared" si="4"/>
        <v>2019</v>
      </c>
      <c r="I14" s="75">
        <v>8904</v>
      </c>
      <c r="J14" s="29">
        <f t="shared" si="5"/>
        <v>0.21060503059143443</v>
      </c>
    </row>
    <row r="15" spans="2:15" x14ac:dyDescent="0.25">
      <c r="B15">
        <f t="shared" si="0"/>
        <v>5</v>
      </c>
      <c r="C15" s="73">
        <f t="shared" si="1"/>
        <v>2020</v>
      </c>
      <c r="D15" s="75">
        <v>39783</v>
      </c>
      <c r="E15" s="29">
        <f t="shared" si="2"/>
        <v>1.2032561689137689E-2</v>
      </c>
      <c r="G15">
        <f t="shared" si="3"/>
        <v>5</v>
      </c>
      <c r="H15" s="73">
        <f t="shared" si="4"/>
        <v>2020</v>
      </c>
      <c r="I15" s="75">
        <v>9645</v>
      </c>
      <c r="J15" s="29">
        <f t="shared" si="5"/>
        <v>8.3221024258760101E-2</v>
      </c>
    </row>
    <row r="16" spans="2:15" x14ac:dyDescent="0.25">
      <c r="B16">
        <f t="shared" si="0"/>
        <v>6</v>
      </c>
      <c r="C16" s="73">
        <f t="shared" si="1"/>
        <v>2021</v>
      </c>
      <c r="D16" s="75">
        <v>47028</v>
      </c>
      <c r="E16" s="29">
        <f t="shared" si="2"/>
        <v>0.18211296282331646</v>
      </c>
      <c r="G16">
        <f t="shared" si="3"/>
        <v>6</v>
      </c>
      <c r="H16" s="73">
        <f t="shared" si="4"/>
        <v>2021</v>
      </c>
      <c r="I16" s="75">
        <v>10816</v>
      </c>
      <c r="J16" s="29">
        <f t="shared" si="5"/>
        <v>0.12141005702436503</v>
      </c>
    </row>
    <row r="17" spans="2:10" x14ac:dyDescent="0.25">
      <c r="B17">
        <f t="shared" si="0"/>
        <v>7</v>
      </c>
      <c r="C17" s="73">
        <f t="shared" si="1"/>
        <v>2022</v>
      </c>
      <c r="D17" s="75">
        <v>52446</v>
      </c>
      <c r="E17" s="29">
        <f t="shared" si="2"/>
        <v>0.11520796121459553</v>
      </c>
      <c r="G17">
        <f t="shared" si="3"/>
        <v>7</v>
      </c>
      <c r="H17" s="73">
        <f t="shared" si="4"/>
        <v>2022</v>
      </c>
      <c r="I17" s="75">
        <v>12813</v>
      </c>
      <c r="J17" s="29">
        <f t="shared" si="5"/>
        <v>0.18463387573964507</v>
      </c>
    </row>
    <row r="18" spans="2:10" x14ac:dyDescent="0.25">
      <c r="B18">
        <f t="shared" si="0"/>
        <v>8</v>
      </c>
      <c r="C18" s="73">
        <f t="shared" si="1"/>
        <v>2023</v>
      </c>
      <c r="D18" s="75">
        <v>60580</v>
      </c>
      <c r="E18" s="29">
        <f t="shared" si="2"/>
        <v>0.15509285741524614</v>
      </c>
      <c r="G18">
        <f t="shared" si="3"/>
        <v>8</v>
      </c>
      <c r="H18" s="73">
        <f t="shared" si="4"/>
        <v>2023</v>
      </c>
      <c r="I18" s="75">
        <v>13997</v>
      </c>
      <c r="J18" s="29">
        <f t="shared" si="5"/>
        <v>9.2406150003902177E-2</v>
      </c>
    </row>
    <row r="19" spans="2:10" x14ac:dyDescent="0.25">
      <c r="B19">
        <f t="shared" si="0"/>
        <v>9</v>
      </c>
      <c r="C19" s="73">
        <f t="shared" si="1"/>
        <v>2024</v>
      </c>
      <c r="D19" s="75">
        <v>61896</v>
      </c>
      <c r="E19" s="29">
        <f t="shared" si="2"/>
        <v>2.1723341036645749E-2</v>
      </c>
      <c r="G19">
        <f t="shared" si="3"/>
        <v>9</v>
      </c>
      <c r="H19" s="73">
        <f t="shared" si="4"/>
        <v>2024</v>
      </c>
      <c r="I19" s="75">
        <v>14637</v>
      </c>
      <c r="J19" s="29">
        <f t="shared" si="5"/>
        <v>4.572408373222836E-2</v>
      </c>
    </row>
    <row r="20" spans="2:10" x14ac:dyDescent="0.25">
      <c r="B20">
        <f t="shared" si="0"/>
        <v>10</v>
      </c>
      <c r="C20" s="73">
        <f t="shared" si="1"/>
        <v>2025</v>
      </c>
      <c r="D20" s="75">
        <v>63121</v>
      </c>
      <c r="E20" s="29">
        <f t="shared" si="2"/>
        <v>1.9791262763344974E-2</v>
      </c>
      <c r="G20">
        <f t="shared" si="3"/>
        <v>10</v>
      </c>
      <c r="H20" s="73">
        <f t="shared" si="4"/>
        <v>2025</v>
      </c>
      <c r="I20" s="75">
        <v>14537</v>
      </c>
      <c r="J20" s="29">
        <f t="shared" si="5"/>
        <v>-6.8320010931202102E-3</v>
      </c>
    </row>
    <row r="21" spans="2:10" x14ac:dyDescent="0.25">
      <c r="B21" s="85">
        <f t="shared" si="0"/>
        <v>11</v>
      </c>
      <c r="C21" s="86">
        <f t="shared" si="1"/>
        <v>2026</v>
      </c>
      <c r="D21" s="87">
        <f>FORECAST(B21,$D$11:$D$20,$B$11:$B$20)</f>
        <v>68218.399999999994</v>
      </c>
      <c r="E21" s="88">
        <f t="shared" si="2"/>
        <v>8.0756008301515969E-2</v>
      </c>
      <c r="G21" s="85">
        <f t="shared" si="3"/>
        <v>11</v>
      </c>
      <c r="H21" s="86">
        <f t="shared" si="4"/>
        <v>2026</v>
      </c>
      <c r="I21" s="87">
        <f>FORECAST(G21,$I$11:$I$20,$G$11:$G$20)</f>
        <v>16486.400000000001</v>
      </c>
      <c r="J21" s="88">
        <f t="shared" si="5"/>
        <v>0.13409919515718527</v>
      </c>
    </row>
    <row r="22" spans="2:10" x14ac:dyDescent="0.25">
      <c r="B22" s="85">
        <f t="shared" si="0"/>
        <v>12</v>
      </c>
      <c r="C22" s="86">
        <f t="shared" si="1"/>
        <v>2027</v>
      </c>
      <c r="D22" s="87">
        <f t="shared" ref="D22:D25" si="6">FORECAST(B22,$D$11:$D$20,$B$11:$B$20)</f>
        <v>72166.163636363635</v>
      </c>
      <c r="E22" s="88">
        <f t="shared" si="2"/>
        <v>5.7869484425955964E-2</v>
      </c>
      <c r="G22" s="85">
        <f t="shared" si="3"/>
        <v>12</v>
      </c>
      <c r="H22" s="86">
        <f t="shared" si="4"/>
        <v>2027</v>
      </c>
      <c r="I22" s="87">
        <f t="shared" ref="I22:I25" si="7">FORECAST(G22,$I$11:$I$20,$G$11:$G$20)</f>
        <v>17567.636363636364</v>
      </c>
      <c r="J22" s="88">
        <f t="shared" si="5"/>
        <v>6.5583533314511611E-2</v>
      </c>
    </row>
    <row r="23" spans="2:10" x14ac:dyDescent="0.25">
      <c r="B23" s="85">
        <f t="shared" si="0"/>
        <v>13</v>
      </c>
      <c r="C23" s="86">
        <f t="shared" si="1"/>
        <v>2028</v>
      </c>
      <c r="D23" s="87">
        <f t="shared" si="6"/>
        <v>76113.927272727276</v>
      </c>
      <c r="E23" s="88">
        <f t="shared" si="2"/>
        <v>5.4703803520108618E-2</v>
      </c>
      <c r="G23" s="85">
        <f t="shared" si="3"/>
        <v>13</v>
      </c>
      <c r="H23" s="86">
        <f t="shared" si="4"/>
        <v>2028</v>
      </c>
      <c r="I23" s="87">
        <f t="shared" si="7"/>
        <v>18648.872727272726</v>
      </c>
      <c r="J23" s="88">
        <f t="shared" si="5"/>
        <v>6.1547059675850058E-2</v>
      </c>
    </row>
    <row r="24" spans="2:10" x14ac:dyDescent="0.25">
      <c r="B24" s="85">
        <f>B23+1</f>
        <v>14</v>
      </c>
      <c r="C24" s="86">
        <f t="shared" si="1"/>
        <v>2029</v>
      </c>
      <c r="D24" s="87">
        <f t="shared" si="6"/>
        <v>80061.690909090903</v>
      </c>
      <c r="E24" s="88">
        <f t="shared" si="2"/>
        <v>5.1866508243862075E-2</v>
      </c>
      <c r="G24" s="85">
        <f>G23+1</f>
        <v>14</v>
      </c>
      <c r="H24" s="86">
        <f t="shared" si="4"/>
        <v>2029</v>
      </c>
      <c r="I24" s="87">
        <f t="shared" si="7"/>
        <v>19730.109090909093</v>
      </c>
      <c r="J24" s="88">
        <f t="shared" si="5"/>
        <v>5.7978644578078553E-2</v>
      </c>
    </row>
    <row r="25" spans="2:10" x14ac:dyDescent="0.25">
      <c r="B25" s="85">
        <f t="shared" si="0"/>
        <v>15</v>
      </c>
      <c r="C25" s="86">
        <f t="shared" si="1"/>
        <v>2030</v>
      </c>
      <c r="D25" s="87">
        <f t="shared" si="6"/>
        <v>84009.454545454544</v>
      </c>
      <c r="E25" s="88">
        <f t="shared" si="2"/>
        <v>4.930902147503069E-2</v>
      </c>
      <c r="G25" s="85">
        <f t="shared" ref="G25" si="8">G24+1</f>
        <v>15</v>
      </c>
      <c r="H25" s="86">
        <f t="shared" si="4"/>
        <v>2030</v>
      </c>
      <c r="I25" s="87">
        <f t="shared" si="7"/>
        <v>20811.345454545455</v>
      </c>
      <c r="J25" s="88">
        <f t="shared" si="5"/>
        <v>5.4801337319242416E-2</v>
      </c>
    </row>
    <row r="38" spans="2:10" x14ac:dyDescent="0.25">
      <c r="B38" s="229" t="s">
        <v>164</v>
      </c>
      <c r="C38" s="229"/>
      <c r="D38" s="229"/>
      <c r="E38" s="229"/>
      <c r="G38" s="229" t="s">
        <v>166</v>
      </c>
      <c r="H38" s="229"/>
      <c r="I38" s="229"/>
      <c r="J38" s="229"/>
    </row>
    <row r="39" spans="2:10" x14ac:dyDescent="0.25">
      <c r="B39" s="42" t="s">
        <v>160</v>
      </c>
      <c r="C39" s="42" t="s">
        <v>161</v>
      </c>
      <c r="D39" s="42" t="s">
        <v>163</v>
      </c>
      <c r="E39" s="42" t="s">
        <v>165</v>
      </c>
      <c r="G39" s="42" t="s">
        <v>160</v>
      </c>
      <c r="H39" s="42" t="s">
        <v>161</v>
      </c>
      <c r="I39" s="42" t="s">
        <v>167</v>
      </c>
      <c r="J39" s="42" t="s">
        <v>168</v>
      </c>
    </row>
    <row r="40" spans="2:10" x14ac:dyDescent="0.25">
      <c r="B40">
        <v>1</v>
      </c>
      <c r="C40" s="73">
        <v>2016</v>
      </c>
      <c r="D40" s="75">
        <v>5706</v>
      </c>
      <c r="G40">
        <v>1</v>
      </c>
      <c r="H40" s="73">
        <v>2016</v>
      </c>
      <c r="I40" s="75">
        <v>17.704145293220574</v>
      </c>
    </row>
    <row r="41" spans="2:10" x14ac:dyDescent="0.25">
      <c r="B41">
        <f>B40+1</f>
        <v>2</v>
      </c>
      <c r="C41" s="73">
        <f>C40+1</f>
        <v>2017</v>
      </c>
      <c r="D41" s="75">
        <v>6149</v>
      </c>
      <c r="E41" s="29">
        <f>(D41/D40)-1</f>
        <v>7.763757448300046E-2</v>
      </c>
      <c r="G41">
        <f>G40+1</f>
        <v>2</v>
      </c>
      <c r="H41" s="73">
        <f>H40+1</f>
        <v>2017</v>
      </c>
      <c r="I41" s="75">
        <v>19.276440419535184</v>
      </c>
      <c r="J41" s="29">
        <f>(I41/I40)-1</f>
        <v>8.8809434190346703E-2</v>
      </c>
    </row>
    <row r="42" spans="2:10" x14ac:dyDescent="0.25">
      <c r="B42">
        <f t="shared" ref="B42:B52" si="9">B41+1</f>
        <v>3</v>
      </c>
      <c r="C42" s="73">
        <f t="shared" ref="C42:C54" si="10">C41+1</f>
        <v>2018</v>
      </c>
      <c r="D42" s="75">
        <v>6809</v>
      </c>
      <c r="E42" s="29">
        <f t="shared" ref="E42:E54" si="11">(D42/D41)-1</f>
        <v>0.10733452593917714</v>
      </c>
      <c r="G42">
        <f t="shared" ref="G42:G52" si="12">G41+1</f>
        <v>3</v>
      </c>
      <c r="H42" s="73">
        <f t="shared" ref="H42:H54" si="13">H41+1</f>
        <v>2018</v>
      </c>
      <c r="I42" s="75">
        <v>21.852621852621855</v>
      </c>
      <c r="J42" s="29">
        <f t="shared" ref="J42:J54" si="14">(I42/I41)-1</f>
        <v>0.13364404304001631</v>
      </c>
    </row>
    <row r="43" spans="2:10" x14ac:dyDescent="0.25">
      <c r="B43">
        <f t="shared" si="9"/>
        <v>4</v>
      </c>
      <c r="C43" s="73">
        <f t="shared" si="10"/>
        <v>2019</v>
      </c>
      <c r="D43" s="75">
        <v>8306</v>
      </c>
      <c r="E43" s="29">
        <f t="shared" si="11"/>
        <v>0.21985607284476427</v>
      </c>
      <c r="G43">
        <f t="shared" si="12"/>
        <v>4</v>
      </c>
      <c r="H43" s="73">
        <f t="shared" si="13"/>
        <v>2019</v>
      </c>
      <c r="I43" s="75">
        <v>26.618007114149766</v>
      </c>
      <c r="J43" s="29">
        <f t="shared" si="14"/>
        <v>0.21806926846886165</v>
      </c>
    </row>
    <row r="44" spans="2:10" x14ac:dyDescent="0.25">
      <c r="B44">
        <f t="shared" si="9"/>
        <v>5</v>
      </c>
      <c r="C44" s="73">
        <f t="shared" si="10"/>
        <v>2020</v>
      </c>
      <c r="D44" s="75">
        <v>8525</v>
      </c>
      <c r="E44" s="29">
        <f t="shared" si="11"/>
        <v>2.6366482061160657E-2</v>
      </c>
      <c r="G44">
        <f t="shared" si="12"/>
        <v>5</v>
      </c>
      <c r="H44" s="73">
        <f t="shared" si="13"/>
        <v>2020</v>
      </c>
      <c r="I44" s="75">
        <v>28.252032520325205</v>
      </c>
      <c r="J44" s="29">
        <f t="shared" si="14"/>
        <v>6.1387969398611242E-2</v>
      </c>
    </row>
    <row r="45" spans="2:10" x14ac:dyDescent="0.25">
      <c r="B45">
        <f t="shared" si="9"/>
        <v>6</v>
      </c>
      <c r="C45" s="73">
        <f t="shared" si="10"/>
        <v>2021</v>
      </c>
      <c r="D45" s="75">
        <v>9625</v>
      </c>
      <c r="E45" s="29">
        <f t="shared" si="11"/>
        <v>0.12903225806451624</v>
      </c>
      <c r="G45">
        <f t="shared" si="12"/>
        <v>6</v>
      </c>
      <c r="H45" s="73">
        <f t="shared" si="13"/>
        <v>2021</v>
      </c>
      <c r="I45" s="75">
        <v>29.873169901259789</v>
      </c>
      <c r="J45" s="29">
        <f t="shared" si="14"/>
        <v>5.7381265569770967E-2</v>
      </c>
    </row>
    <row r="46" spans="2:10" x14ac:dyDescent="0.25">
      <c r="B46">
        <f t="shared" si="9"/>
        <v>7</v>
      </c>
      <c r="C46" s="73">
        <f t="shared" si="10"/>
        <v>2022</v>
      </c>
      <c r="D46" s="75">
        <v>11616</v>
      </c>
      <c r="E46" s="29">
        <f t="shared" si="11"/>
        <v>0.20685714285714285</v>
      </c>
      <c r="G46">
        <f t="shared" si="12"/>
        <v>7</v>
      </c>
      <c r="H46" s="73">
        <f t="shared" si="13"/>
        <v>2022</v>
      </c>
      <c r="I46" s="75">
        <v>36.725400068096697</v>
      </c>
      <c r="J46" s="29">
        <f t="shared" si="14"/>
        <v>0.22937740418863073</v>
      </c>
    </row>
    <row r="47" spans="2:10" x14ac:dyDescent="0.25">
      <c r="B47">
        <f t="shared" si="9"/>
        <v>8</v>
      </c>
      <c r="C47" s="73">
        <f t="shared" si="10"/>
        <v>2023</v>
      </c>
      <c r="D47" s="75">
        <v>12746</v>
      </c>
      <c r="E47" s="29">
        <f t="shared" si="11"/>
        <v>9.727961432506893E-2</v>
      </c>
      <c r="G47">
        <f t="shared" si="12"/>
        <v>8</v>
      </c>
      <c r="H47" s="73">
        <f t="shared" si="13"/>
        <v>2023</v>
      </c>
      <c r="I47" s="75">
        <v>40.623935989104524</v>
      </c>
      <c r="J47" s="29">
        <f t="shared" si="14"/>
        <v>0.10615366786417879</v>
      </c>
    </row>
    <row r="48" spans="2:10" x14ac:dyDescent="0.25">
      <c r="B48">
        <f t="shared" si="9"/>
        <v>9</v>
      </c>
      <c r="C48" s="73">
        <f t="shared" si="10"/>
        <v>2024</v>
      </c>
      <c r="D48" s="75">
        <v>13087</v>
      </c>
      <c r="E48" s="29">
        <f t="shared" si="11"/>
        <v>2.67534912913856E-2</v>
      </c>
      <c r="G48">
        <f t="shared" si="12"/>
        <v>9</v>
      </c>
      <c r="H48" s="73">
        <f t="shared" si="13"/>
        <v>2024</v>
      </c>
      <c r="I48" s="75">
        <v>40.18981954375213</v>
      </c>
      <c r="J48" s="29">
        <f t="shared" si="14"/>
        <v>-1.0686223153483332E-2</v>
      </c>
    </row>
    <row r="49" spans="2:10" x14ac:dyDescent="0.25">
      <c r="B49">
        <f t="shared" si="9"/>
        <v>10</v>
      </c>
      <c r="C49" s="73">
        <f t="shared" si="10"/>
        <v>2025</v>
      </c>
      <c r="D49" s="75">
        <v>12787</v>
      </c>
      <c r="E49" s="29">
        <f t="shared" si="11"/>
        <v>-2.2923511882020353E-2</v>
      </c>
      <c r="G49">
        <f t="shared" si="12"/>
        <v>10</v>
      </c>
      <c r="H49" s="73">
        <f t="shared" si="13"/>
        <v>2025</v>
      </c>
      <c r="I49" s="75">
        <v>38.487402110997614</v>
      </c>
      <c r="J49" s="29">
        <f t="shared" si="14"/>
        <v>-4.2359419675950583E-2</v>
      </c>
    </row>
    <row r="50" spans="2:10" x14ac:dyDescent="0.25">
      <c r="B50" s="85">
        <f t="shared" si="9"/>
        <v>11</v>
      </c>
      <c r="C50" s="86">
        <f t="shared" si="10"/>
        <v>2026</v>
      </c>
      <c r="D50" s="87">
        <f>FORECAST(B50,$D$40:$D$49,$B$40:$B$49)</f>
        <v>14635.933333333334</v>
      </c>
      <c r="E50" s="88">
        <f t="shared" si="11"/>
        <v>0.14459477073069005</v>
      </c>
      <c r="G50" s="85">
        <f t="shared" si="12"/>
        <v>11</v>
      </c>
      <c r="H50" s="86">
        <f t="shared" si="13"/>
        <v>2026</v>
      </c>
      <c r="I50" s="87">
        <f>FORECAST(G50,$I$40:$I$49,$G$40:$G$49)</f>
        <v>45.268392553129694</v>
      </c>
      <c r="J50" s="88">
        <f t="shared" si="14"/>
        <v>0.17618727350252716</v>
      </c>
    </row>
    <row r="51" spans="2:10" x14ac:dyDescent="0.25">
      <c r="B51" s="85">
        <f t="shared" si="9"/>
        <v>12</v>
      </c>
      <c r="C51" s="86">
        <f t="shared" si="10"/>
        <v>2027</v>
      </c>
      <c r="D51" s="87">
        <f t="shared" ref="D51:D54" si="15">FORECAST(B51,$D$40:$D$49,$B$40:$B$49)</f>
        <v>15563.266666666666</v>
      </c>
      <c r="E51" s="88">
        <f t="shared" si="11"/>
        <v>6.3360040812793894E-2</v>
      </c>
      <c r="G51" s="85">
        <f t="shared" si="12"/>
        <v>12</v>
      </c>
      <c r="H51" s="86">
        <f t="shared" si="13"/>
        <v>2027</v>
      </c>
      <c r="I51" s="87">
        <f t="shared" ref="I51:I54" si="16">FORECAST(G51,$I$40:$I$49,$G$40:$G$49)</f>
        <v>48.051682566188482</v>
      </c>
      <c r="J51" s="88">
        <f t="shared" si="14"/>
        <v>6.1484180375792175E-2</v>
      </c>
    </row>
    <row r="52" spans="2:10" x14ac:dyDescent="0.25">
      <c r="B52" s="85">
        <f t="shared" si="9"/>
        <v>13</v>
      </c>
      <c r="C52" s="86">
        <f t="shared" si="10"/>
        <v>2028</v>
      </c>
      <c r="D52" s="87">
        <f t="shared" si="15"/>
        <v>16490.599999999999</v>
      </c>
      <c r="E52" s="88">
        <f t="shared" si="11"/>
        <v>5.9584748703142898E-2</v>
      </c>
      <c r="G52" s="85">
        <f t="shared" si="12"/>
        <v>13</v>
      </c>
      <c r="H52" s="86">
        <f t="shared" si="13"/>
        <v>2028</v>
      </c>
      <c r="I52" s="87">
        <f t="shared" si="16"/>
        <v>50.834972579247271</v>
      </c>
      <c r="J52" s="88">
        <f t="shared" si="14"/>
        <v>5.7922841915576395E-2</v>
      </c>
    </row>
    <row r="53" spans="2:10" x14ac:dyDescent="0.25">
      <c r="B53" s="85">
        <f>B52+1</f>
        <v>14</v>
      </c>
      <c r="C53" s="86">
        <f t="shared" si="10"/>
        <v>2029</v>
      </c>
      <c r="D53" s="87">
        <f t="shared" si="15"/>
        <v>17417.933333333334</v>
      </c>
      <c r="E53" s="88">
        <f t="shared" si="11"/>
        <v>5.6234056573644109E-2</v>
      </c>
      <c r="G53" s="85">
        <f>G52+1</f>
        <v>14</v>
      </c>
      <c r="H53" s="86">
        <f t="shared" si="13"/>
        <v>2029</v>
      </c>
      <c r="I53" s="87">
        <f t="shared" si="16"/>
        <v>53.618262592306067</v>
      </c>
      <c r="J53" s="88">
        <f t="shared" si="14"/>
        <v>5.4751480562321264E-2</v>
      </c>
    </row>
    <row r="54" spans="2:10" x14ac:dyDescent="0.25">
      <c r="B54" s="85">
        <f t="shared" ref="B54" si="17">B53+1</f>
        <v>15</v>
      </c>
      <c r="C54" s="86">
        <f t="shared" si="10"/>
        <v>2030</v>
      </c>
      <c r="D54" s="87">
        <f t="shared" si="15"/>
        <v>18345.266666666666</v>
      </c>
      <c r="E54" s="88">
        <f t="shared" si="11"/>
        <v>5.3240147128055693E-2</v>
      </c>
      <c r="G54" s="85">
        <f t="shared" ref="G54" si="18">G53+1</f>
        <v>15</v>
      </c>
      <c r="H54" s="86">
        <f t="shared" si="13"/>
        <v>2030</v>
      </c>
      <c r="I54" s="87">
        <f t="shared" si="16"/>
        <v>56.401552605364863</v>
      </c>
      <c r="J54" s="88">
        <f t="shared" si="14"/>
        <v>5.1909365922986561E-2</v>
      </c>
    </row>
  </sheetData>
  <mergeCells count="5">
    <mergeCell ref="B9:E9"/>
    <mergeCell ref="G9:J9"/>
    <mergeCell ref="B38:E38"/>
    <mergeCell ref="G38:J38"/>
    <mergeCell ref="B7:J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EFE7-0FB2-43AD-B3F8-2ECF81BC66C5}">
  <dimension ref="B2:V122"/>
  <sheetViews>
    <sheetView showGridLines="0" topLeftCell="A6" workbookViewId="0">
      <selection activeCell="G15" sqref="G15"/>
    </sheetView>
  </sheetViews>
  <sheetFormatPr defaultRowHeight="15" x14ac:dyDescent="0.25"/>
  <cols>
    <col min="1" max="1" width="1.85546875" customWidth="1"/>
    <col min="2" max="2" width="11.28515625" customWidth="1"/>
    <col min="3" max="3" width="12.85546875" customWidth="1"/>
    <col min="4" max="4" width="10.28515625" customWidth="1"/>
    <col min="6" max="6" width="12.28515625" bestFit="1" customWidth="1"/>
    <col min="7" max="7" width="11.85546875" customWidth="1"/>
    <col min="9" max="9" width="18.85546875" bestFit="1" customWidth="1"/>
    <col min="10" max="10" width="11.7109375" customWidth="1"/>
  </cols>
  <sheetData>
    <row r="2" spans="2:22" ht="26.25" x14ac:dyDescent="0.4">
      <c r="B2" s="92" t="s">
        <v>3</v>
      </c>
      <c r="C2" s="1"/>
      <c r="D2" s="1"/>
      <c r="E2" s="1"/>
      <c r="F2" s="1"/>
      <c r="G2" s="1"/>
      <c r="H2" s="1"/>
      <c r="I2" s="1"/>
      <c r="J2" s="1"/>
    </row>
    <row r="3" spans="2:22" x14ac:dyDescent="0.25">
      <c r="B3" s="93" t="s">
        <v>182</v>
      </c>
      <c r="C3" s="93"/>
      <c r="D3" s="93" t="s">
        <v>183</v>
      </c>
      <c r="E3" s="3"/>
      <c r="F3" s="3"/>
      <c r="G3" s="3"/>
      <c r="H3" s="3"/>
      <c r="I3" s="3"/>
      <c r="J3" s="3"/>
    </row>
    <row r="4" spans="2:22" x14ac:dyDescent="0.25">
      <c r="B4" s="2"/>
      <c r="C4" s="2"/>
      <c r="D4" s="2"/>
      <c r="E4" s="2"/>
      <c r="F4" s="2"/>
      <c r="G4" s="2"/>
      <c r="H4" s="2"/>
      <c r="I4" s="2"/>
      <c r="J4" s="2"/>
      <c r="N4" s="77"/>
      <c r="O4" s="77"/>
      <c r="P4" s="77"/>
      <c r="Q4" s="77"/>
      <c r="R4" s="77"/>
      <c r="S4" s="77"/>
      <c r="T4" s="77"/>
      <c r="U4" s="77"/>
      <c r="V4" s="77"/>
    </row>
    <row r="5" spans="2:22" ht="18.75" x14ac:dyDescent="0.3">
      <c r="B5" s="230" t="s">
        <v>169</v>
      </c>
      <c r="C5" s="230"/>
      <c r="D5" s="230"/>
      <c r="E5" s="230"/>
      <c r="F5" s="230"/>
      <c r="G5" s="230"/>
      <c r="H5" s="230"/>
      <c r="I5" s="230"/>
      <c r="J5" s="230"/>
      <c r="N5" s="77"/>
      <c r="O5" s="77"/>
      <c r="P5" s="77"/>
      <c r="Q5" s="77"/>
      <c r="R5" s="77"/>
      <c r="S5" s="77"/>
      <c r="T5" s="77"/>
      <c r="U5" s="77"/>
      <c r="V5" s="77"/>
    </row>
    <row r="6" spans="2:22" s="14" customFormat="1" ht="18.75" x14ac:dyDescent="0.3">
      <c r="B6" s="82"/>
      <c r="C6" s="82"/>
      <c r="D6" s="82"/>
      <c r="E6" s="82"/>
      <c r="F6" s="82"/>
      <c r="G6" s="82"/>
      <c r="H6" s="82"/>
      <c r="I6" s="82"/>
      <c r="J6" s="82"/>
      <c r="N6" s="77"/>
      <c r="O6" s="77"/>
      <c r="P6" s="77"/>
      <c r="Q6" s="77"/>
      <c r="R6" s="77"/>
      <c r="S6" s="77"/>
      <c r="T6" s="77"/>
      <c r="U6" s="77"/>
      <c r="V6" s="77"/>
    </row>
    <row r="7" spans="2:22" s="14" customFormat="1" ht="18.75" x14ac:dyDescent="0.3">
      <c r="B7" s="35" t="s">
        <v>175</v>
      </c>
      <c r="C7" s="82"/>
      <c r="D7" s="82"/>
      <c r="E7" s="82"/>
      <c r="F7" s="82"/>
      <c r="G7" s="82"/>
      <c r="H7" s="82"/>
      <c r="I7" s="82"/>
      <c r="J7" s="82"/>
      <c r="N7" s="77"/>
      <c r="O7" s="77"/>
      <c r="P7" s="77"/>
      <c r="Q7" s="77"/>
      <c r="R7" s="77"/>
      <c r="S7" s="77"/>
      <c r="T7" s="77"/>
      <c r="U7" s="77"/>
      <c r="V7" s="77"/>
    </row>
    <row r="8" spans="2:22" x14ac:dyDescent="0.25">
      <c r="N8" s="77"/>
      <c r="O8" s="77"/>
      <c r="P8" s="77"/>
      <c r="Q8" s="77"/>
      <c r="R8" s="77"/>
      <c r="S8" s="77"/>
      <c r="T8" s="77"/>
      <c r="U8" s="77"/>
      <c r="V8" s="77"/>
    </row>
    <row r="9" spans="2:22" x14ac:dyDescent="0.25">
      <c r="B9" s="228" t="s">
        <v>170</v>
      </c>
      <c r="C9" s="228"/>
      <c r="D9" s="228"/>
      <c r="E9" s="80"/>
      <c r="F9" s="228" t="s">
        <v>171</v>
      </c>
      <c r="G9" s="228"/>
      <c r="H9" s="80"/>
      <c r="I9" s="228" t="s">
        <v>176</v>
      </c>
      <c r="J9" s="228"/>
      <c r="N9" s="77"/>
      <c r="O9" s="77"/>
      <c r="P9" s="77"/>
      <c r="Q9" s="77"/>
      <c r="R9" s="77"/>
      <c r="S9" s="77"/>
      <c r="T9" s="77"/>
      <c r="U9" s="77"/>
      <c r="V9" s="77"/>
    </row>
    <row r="10" spans="2:22" x14ac:dyDescent="0.25">
      <c r="B10" s="141" t="s">
        <v>173</v>
      </c>
      <c r="C10" s="141" t="s">
        <v>172</v>
      </c>
      <c r="D10" s="141" t="s">
        <v>174</v>
      </c>
      <c r="E10" s="78"/>
      <c r="F10" s="141" t="s">
        <v>172</v>
      </c>
      <c r="G10" s="141" t="s">
        <v>174</v>
      </c>
      <c r="H10" s="78"/>
      <c r="N10" s="77"/>
      <c r="O10" s="77"/>
      <c r="P10" s="77"/>
      <c r="Q10" s="77"/>
      <c r="R10" s="77"/>
      <c r="S10" s="77"/>
      <c r="T10" s="77"/>
      <c r="U10" s="77"/>
      <c r="V10" s="77"/>
    </row>
    <row r="11" spans="2:22" x14ac:dyDescent="0.25">
      <c r="I11" s="83" t="s">
        <v>177</v>
      </c>
      <c r="J11" s="84">
        <f>SLOPE(D12:D114,G12:G114)</f>
        <v>0.58962131474125468</v>
      </c>
      <c r="N11" s="77"/>
      <c r="O11" s="77"/>
      <c r="P11" s="77"/>
      <c r="Q11" s="77"/>
      <c r="R11" s="77"/>
      <c r="S11" s="77"/>
      <c r="T11" s="77"/>
      <c r="U11" s="77"/>
      <c r="V11" s="77"/>
    </row>
    <row r="12" spans="2:22" x14ac:dyDescent="0.25">
      <c r="B12" s="81">
        <v>45816</v>
      </c>
      <c r="C12" s="76">
        <v>2319</v>
      </c>
      <c r="D12" s="29">
        <f>(C12/C13)-1</f>
        <v>-2.9625910118001531E-2</v>
      </c>
      <c r="E12" s="76"/>
      <c r="F12" s="76">
        <v>24718.6</v>
      </c>
      <c r="G12" s="29">
        <f>(F12/F13)-1</f>
        <v>-1.1376612053329516E-2</v>
      </c>
      <c r="H12" s="52"/>
      <c r="I12" t="s">
        <v>178</v>
      </c>
      <c r="J12" s="40">
        <v>0.75</v>
      </c>
      <c r="K12" s="52"/>
      <c r="N12" s="77"/>
      <c r="O12" s="77"/>
      <c r="P12" s="77"/>
      <c r="Q12" s="77"/>
      <c r="R12" s="77"/>
      <c r="S12" s="77"/>
      <c r="T12" s="77"/>
      <c r="U12" s="77"/>
      <c r="V12" s="77"/>
    </row>
    <row r="13" spans="2:22" x14ac:dyDescent="0.25">
      <c r="B13" s="81">
        <v>45809</v>
      </c>
      <c r="C13" s="76">
        <v>2389.8000000000002</v>
      </c>
      <c r="D13" s="29">
        <f t="shared" ref="D13:D76" si="0">(C13/C14)-1</f>
        <v>1.7672358727590209E-2</v>
      </c>
      <c r="E13" s="76"/>
      <c r="F13" s="76">
        <v>25003.05</v>
      </c>
      <c r="G13" s="29">
        <f t="shared" ref="G13:G76" si="1">(F13/F14)-1</f>
        <v>1.0195671233540704E-2</v>
      </c>
      <c r="H13" s="52"/>
      <c r="K13" s="52"/>
      <c r="N13" s="77"/>
      <c r="O13" s="77"/>
      <c r="P13" s="77"/>
      <c r="Q13" s="77"/>
      <c r="R13" s="77"/>
      <c r="S13" s="77"/>
      <c r="T13" s="77"/>
      <c r="U13" s="77"/>
      <c r="V13" s="77"/>
    </row>
    <row r="14" spans="2:22" ht="18.75" x14ac:dyDescent="0.3">
      <c r="B14" s="81">
        <v>45802</v>
      </c>
      <c r="C14" s="76">
        <v>2348.3000000000002</v>
      </c>
      <c r="D14" s="29">
        <f t="shared" si="0"/>
        <v>-4.6202102407594259E-3</v>
      </c>
      <c r="E14" s="76"/>
      <c r="F14" s="76">
        <v>24750.7</v>
      </c>
      <c r="G14" s="29">
        <f t="shared" si="1"/>
        <v>-4.1222138843567402E-3</v>
      </c>
      <c r="H14" s="52"/>
      <c r="I14" t="s">
        <v>179</v>
      </c>
      <c r="J14">
        <v>1</v>
      </c>
      <c r="K14" s="52"/>
      <c r="N14" s="89"/>
      <c r="O14" s="89"/>
      <c r="P14" s="89"/>
      <c r="Q14" s="89"/>
      <c r="R14" s="89"/>
      <c r="S14" s="89"/>
      <c r="T14" s="89"/>
      <c r="U14" s="89"/>
      <c r="V14" s="89"/>
    </row>
    <row r="15" spans="2:22" x14ac:dyDescent="0.25">
      <c r="B15" s="81">
        <v>45795</v>
      </c>
      <c r="C15" s="76">
        <v>2359.1999999999998</v>
      </c>
      <c r="D15" s="29">
        <f t="shared" si="0"/>
        <v>-9.3222474174856629E-3</v>
      </c>
      <c r="E15" s="76"/>
      <c r="F15" s="76">
        <v>24853.15</v>
      </c>
      <c r="G15" s="29">
        <f t="shared" si="1"/>
        <v>-6.660724706032739E-3</v>
      </c>
      <c r="H15" s="52"/>
      <c r="I15" t="s">
        <v>180</v>
      </c>
      <c r="J15" s="40">
        <v>0.25</v>
      </c>
      <c r="K15" s="52"/>
      <c r="N15" s="77"/>
      <c r="O15" s="77"/>
      <c r="P15" s="77"/>
      <c r="Q15" s="77"/>
      <c r="R15" s="77"/>
      <c r="S15" s="77"/>
      <c r="T15" s="77"/>
      <c r="U15" s="77"/>
      <c r="V15" s="77"/>
    </row>
    <row r="16" spans="2:22" x14ac:dyDescent="0.25">
      <c r="B16" s="81">
        <v>45788</v>
      </c>
      <c r="C16" s="76">
        <v>2381.4</v>
      </c>
      <c r="D16" s="29">
        <f t="shared" si="0"/>
        <v>2.0789575206824118E-2</v>
      </c>
      <c r="E16" s="76"/>
      <c r="F16" s="76">
        <v>25019.8</v>
      </c>
      <c r="G16" s="29">
        <f t="shared" si="1"/>
        <v>4.2144285238253865E-2</v>
      </c>
      <c r="H16" s="52"/>
      <c r="K16" s="52"/>
      <c r="N16" s="231"/>
      <c r="O16" s="231"/>
      <c r="P16" s="231"/>
      <c r="Q16" s="231"/>
      <c r="R16" s="77"/>
      <c r="S16" s="231"/>
      <c r="T16" s="231"/>
      <c r="U16" s="231"/>
      <c r="V16" s="231"/>
    </row>
    <row r="17" spans="2:22" x14ac:dyDescent="0.25">
      <c r="B17" s="81">
        <v>45781</v>
      </c>
      <c r="C17" s="76">
        <v>2332.9</v>
      </c>
      <c r="D17" s="29">
        <f t="shared" si="0"/>
        <v>3.8728000344248059E-3</v>
      </c>
      <c r="E17" s="76"/>
      <c r="F17" s="76">
        <v>24008</v>
      </c>
      <c r="G17" s="29">
        <f t="shared" si="1"/>
        <v>-1.391153626569519E-2</v>
      </c>
      <c r="H17" s="52"/>
      <c r="I17" s="137" t="s">
        <v>181</v>
      </c>
      <c r="J17" s="140">
        <f>(J11*J12)+(J14*J15)</f>
        <v>0.69221598605594103</v>
      </c>
      <c r="K17" s="52"/>
      <c r="N17" s="79"/>
      <c r="O17" s="79"/>
      <c r="P17" s="79"/>
      <c r="Q17" s="79"/>
      <c r="R17" s="77"/>
      <c r="S17" s="79"/>
      <c r="T17" s="79"/>
      <c r="U17" s="79"/>
      <c r="V17" s="79"/>
    </row>
    <row r="18" spans="2:22" x14ac:dyDescent="0.25">
      <c r="B18" s="81">
        <v>45774</v>
      </c>
      <c r="C18" s="76">
        <v>2323.9</v>
      </c>
      <c r="D18" s="29">
        <f t="shared" si="0"/>
        <v>-3.5588714518479669E-3</v>
      </c>
      <c r="E18" s="76"/>
      <c r="F18" s="76">
        <v>24346.7</v>
      </c>
      <c r="G18" s="29">
        <f t="shared" si="1"/>
        <v>1.2785287455775673E-2</v>
      </c>
      <c r="H18" s="52"/>
      <c r="I18" s="76"/>
      <c r="K18" s="52"/>
    </row>
    <row r="19" spans="2:22" x14ac:dyDescent="0.25">
      <c r="B19" s="81">
        <v>45767</v>
      </c>
      <c r="C19" s="76">
        <v>2332.1999999999998</v>
      </c>
      <c r="D19" s="29">
        <f t="shared" si="0"/>
        <v>-1.8021052631579049E-2</v>
      </c>
      <c r="E19" s="76"/>
      <c r="F19" s="76">
        <v>24039.35</v>
      </c>
      <c r="G19" s="29">
        <f t="shared" si="1"/>
        <v>7.86947653516612E-3</v>
      </c>
      <c r="H19" s="52"/>
      <c r="I19" s="76"/>
      <c r="K19" s="52"/>
      <c r="M19" s="76"/>
      <c r="N19" s="29"/>
    </row>
    <row r="20" spans="2:22" x14ac:dyDescent="0.25">
      <c r="B20" s="81">
        <v>45760</v>
      </c>
      <c r="C20" s="76">
        <v>2375</v>
      </c>
      <c r="D20" s="29">
        <f t="shared" si="0"/>
        <v>3.740253153857509E-3</v>
      </c>
      <c r="E20" s="76"/>
      <c r="F20" s="76">
        <v>23851.65</v>
      </c>
      <c r="G20" s="29">
        <f t="shared" si="1"/>
        <v>4.4816687875489425E-2</v>
      </c>
      <c r="H20" s="52"/>
      <c r="I20" s="76"/>
      <c r="K20" s="52"/>
      <c r="M20" s="76"/>
      <c r="N20" s="29"/>
    </row>
    <row r="21" spans="2:22" x14ac:dyDescent="0.25">
      <c r="B21" s="81">
        <v>45753</v>
      </c>
      <c r="C21" s="76">
        <v>2366.15</v>
      </c>
      <c r="D21" s="29">
        <f t="shared" si="0"/>
        <v>5.417566995611578E-2</v>
      </c>
      <c r="E21" s="76"/>
      <c r="F21" s="76">
        <v>22828.55</v>
      </c>
      <c r="G21" s="29">
        <f t="shared" si="1"/>
        <v>-3.3137665388167648E-3</v>
      </c>
      <c r="H21" s="52"/>
      <c r="I21" s="76"/>
      <c r="K21" s="52"/>
      <c r="M21" s="76"/>
      <c r="N21" s="29"/>
    </row>
    <row r="22" spans="2:22" x14ac:dyDescent="0.25">
      <c r="B22" s="81">
        <v>45746</v>
      </c>
      <c r="C22" s="76">
        <v>2244.5500000000002</v>
      </c>
      <c r="D22" s="29">
        <f t="shared" si="0"/>
        <v>-6.3306549793035183E-3</v>
      </c>
      <c r="E22" s="76"/>
      <c r="F22" s="76">
        <v>22904.45</v>
      </c>
      <c r="G22" s="29">
        <f t="shared" si="1"/>
        <v>-2.6144430011883713E-2</v>
      </c>
      <c r="H22" s="52"/>
      <c r="I22" s="76"/>
      <c r="K22" s="52"/>
      <c r="M22" s="76"/>
      <c r="N22" s="29"/>
    </row>
    <row r="23" spans="2:22" x14ac:dyDescent="0.25">
      <c r="B23" s="81">
        <v>45739</v>
      </c>
      <c r="C23" s="76">
        <v>2258.85</v>
      </c>
      <c r="D23" s="29">
        <f t="shared" si="0"/>
        <v>5.631733594515298E-3</v>
      </c>
      <c r="E23" s="76"/>
      <c r="F23" s="76">
        <v>23519.35</v>
      </c>
      <c r="G23" s="29">
        <f t="shared" si="1"/>
        <v>7.2354220912702605E-3</v>
      </c>
      <c r="H23" s="52"/>
      <c r="I23" s="76"/>
      <c r="K23" s="52"/>
      <c r="M23" s="76"/>
      <c r="N23" s="29"/>
    </row>
    <row r="24" spans="2:22" x14ac:dyDescent="0.25">
      <c r="B24" s="81">
        <v>45732</v>
      </c>
      <c r="C24" s="76">
        <v>2246.1999999999998</v>
      </c>
      <c r="D24" s="29">
        <f t="shared" si="0"/>
        <v>3.2830605113113753E-2</v>
      </c>
      <c r="E24" s="76"/>
      <c r="F24" s="76">
        <v>23350.400000000001</v>
      </c>
      <c r="G24" s="29">
        <f t="shared" si="1"/>
        <v>4.2558891289982803E-2</v>
      </c>
      <c r="H24" s="52"/>
      <c r="I24" s="76"/>
      <c r="K24" s="52"/>
      <c r="M24" s="76"/>
      <c r="N24" s="29"/>
    </row>
    <row r="25" spans="2:22" x14ac:dyDescent="0.25">
      <c r="B25" s="81">
        <v>45725</v>
      </c>
      <c r="C25" s="76">
        <v>2174.8000000000002</v>
      </c>
      <c r="D25" s="29">
        <f t="shared" si="0"/>
        <v>-1.3494817536458648E-2</v>
      </c>
      <c r="E25" s="76"/>
      <c r="F25" s="76">
        <v>22397.200000000001</v>
      </c>
      <c r="G25" s="29">
        <f t="shared" si="1"/>
        <v>-6.8861545283227521E-3</v>
      </c>
      <c r="H25" s="52"/>
      <c r="I25" s="76"/>
      <c r="K25" s="52"/>
      <c r="M25" s="76"/>
      <c r="N25" s="29"/>
    </row>
    <row r="26" spans="2:22" x14ac:dyDescent="0.25">
      <c r="B26" s="81">
        <v>45718</v>
      </c>
      <c r="C26" s="76">
        <v>2204.5500000000002</v>
      </c>
      <c r="D26" s="29">
        <f t="shared" si="0"/>
        <v>6.5289350530761681E-3</v>
      </c>
      <c r="E26" s="76"/>
      <c r="F26" s="76">
        <v>22552.5</v>
      </c>
      <c r="G26" s="29">
        <f t="shared" si="1"/>
        <v>1.9335855401429125E-2</v>
      </c>
      <c r="H26" s="52"/>
      <c r="I26" s="76"/>
      <c r="K26" s="52"/>
      <c r="M26" s="76"/>
      <c r="N26" s="29"/>
    </row>
    <row r="27" spans="2:22" x14ac:dyDescent="0.25">
      <c r="B27" s="81">
        <v>45711</v>
      </c>
      <c r="C27" s="76">
        <v>2190.25</v>
      </c>
      <c r="D27" s="29">
        <f t="shared" si="0"/>
        <v>-2.2929538509580016E-2</v>
      </c>
      <c r="E27" s="76"/>
      <c r="F27" s="76">
        <v>22124.7</v>
      </c>
      <c r="G27" s="29">
        <f t="shared" si="1"/>
        <v>-2.9443891226053842E-2</v>
      </c>
      <c r="H27" s="52"/>
      <c r="I27" s="76"/>
      <c r="K27" s="52"/>
      <c r="M27" s="76"/>
      <c r="N27" s="29"/>
    </row>
    <row r="28" spans="2:22" x14ac:dyDescent="0.25">
      <c r="B28" s="81">
        <v>45704</v>
      </c>
      <c r="C28" s="76">
        <v>2241.65</v>
      </c>
      <c r="D28" s="29">
        <f t="shared" si="0"/>
        <v>-3.3083874307157979E-2</v>
      </c>
      <c r="E28" s="76"/>
      <c r="F28" s="76">
        <v>22795.9</v>
      </c>
      <c r="G28" s="29">
        <f t="shared" si="1"/>
        <v>-5.8157157342695331E-3</v>
      </c>
      <c r="H28" s="52"/>
      <c r="I28" s="76"/>
      <c r="K28" s="52"/>
      <c r="M28" s="76"/>
      <c r="N28" s="29"/>
    </row>
    <row r="29" spans="2:22" x14ac:dyDescent="0.25">
      <c r="B29" s="81">
        <v>45697</v>
      </c>
      <c r="C29" s="76">
        <v>2318.35</v>
      </c>
      <c r="D29" s="29">
        <f t="shared" si="0"/>
        <v>-1.9248260253400207E-2</v>
      </c>
      <c r="E29" s="76"/>
      <c r="F29" s="76">
        <v>22929.25</v>
      </c>
      <c r="G29" s="29">
        <f t="shared" si="1"/>
        <v>-2.6770005878620329E-2</v>
      </c>
      <c r="H29" s="52"/>
      <c r="I29" s="76"/>
      <c r="K29" s="52"/>
      <c r="M29" s="76"/>
      <c r="N29" s="29"/>
    </row>
    <row r="30" spans="2:22" x14ac:dyDescent="0.25">
      <c r="B30" s="81">
        <v>45690</v>
      </c>
      <c r="C30" s="76">
        <v>2363.85</v>
      </c>
      <c r="D30" s="29">
        <f t="shared" si="0"/>
        <v>-4.2510531432274901E-2</v>
      </c>
      <c r="E30" s="76"/>
      <c r="F30" s="76">
        <v>23559.95</v>
      </c>
      <c r="G30" s="29">
        <f t="shared" si="1"/>
        <v>2.1928332000475947E-3</v>
      </c>
      <c r="H30" s="52"/>
      <c r="I30" s="76"/>
      <c r="K30" s="52"/>
      <c r="M30" s="76"/>
      <c r="N30" s="29"/>
    </row>
    <row r="31" spans="2:22" x14ac:dyDescent="0.25">
      <c r="B31" s="81">
        <v>45683</v>
      </c>
      <c r="C31" s="76">
        <v>2468.8000000000002</v>
      </c>
      <c r="D31" s="29">
        <f t="shared" si="0"/>
        <v>4.2523542080148857E-2</v>
      </c>
      <c r="E31" s="76"/>
      <c r="F31" s="76">
        <v>23508.400000000001</v>
      </c>
      <c r="G31" s="29">
        <f t="shared" si="1"/>
        <v>1.8023401841314346E-2</v>
      </c>
      <c r="H31" s="52"/>
      <c r="I31" s="76"/>
      <c r="K31" s="52"/>
      <c r="M31" s="76"/>
      <c r="N31" s="29"/>
    </row>
    <row r="32" spans="2:22" x14ac:dyDescent="0.25">
      <c r="B32" s="81">
        <v>45676</v>
      </c>
      <c r="C32" s="76">
        <v>2368.1</v>
      </c>
      <c r="D32" s="29">
        <f t="shared" si="0"/>
        <v>5.98980458793541E-3</v>
      </c>
      <c r="E32" s="76"/>
      <c r="F32" s="76">
        <v>23092.2</v>
      </c>
      <c r="G32" s="29">
        <f t="shared" si="1"/>
        <v>-4.7838229209764549E-3</v>
      </c>
      <c r="H32" s="52"/>
      <c r="I32" s="76"/>
      <c r="K32" s="52"/>
      <c r="M32" s="76"/>
      <c r="N32" s="29"/>
    </row>
    <row r="33" spans="2:14" x14ac:dyDescent="0.25">
      <c r="B33" s="81">
        <v>45669</v>
      </c>
      <c r="C33" s="76">
        <v>2354</v>
      </c>
      <c r="D33" s="29">
        <f t="shared" si="0"/>
        <v>-3.6055772813824549E-2</v>
      </c>
      <c r="E33" s="76"/>
      <c r="F33" s="76">
        <v>23203.200000000001</v>
      </c>
      <c r="G33" s="29">
        <f t="shared" si="1"/>
        <v>-9.7432942833365344E-3</v>
      </c>
      <c r="H33" s="52"/>
      <c r="I33" s="76"/>
      <c r="K33" s="52"/>
      <c r="M33" s="76"/>
      <c r="N33" s="29"/>
    </row>
    <row r="34" spans="2:14" x14ac:dyDescent="0.25">
      <c r="B34" s="81">
        <v>45662</v>
      </c>
      <c r="C34" s="76">
        <v>2442.0500000000002</v>
      </c>
      <c r="D34" s="29">
        <f t="shared" si="0"/>
        <v>1.4877922077922046E-2</v>
      </c>
      <c r="E34" s="76"/>
      <c r="F34" s="76">
        <v>23431.5</v>
      </c>
      <c r="G34" s="29">
        <f t="shared" si="1"/>
        <v>-2.3880690280048689E-2</v>
      </c>
      <c r="H34" s="52"/>
      <c r="I34" s="76"/>
      <c r="K34" s="52"/>
      <c r="M34" s="76"/>
      <c r="N34" s="29"/>
    </row>
    <row r="35" spans="2:14" x14ac:dyDescent="0.25">
      <c r="B35" s="81">
        <v>45655</v>
      </c>
      <c r="C35" s="76">
        <v>2406.25</v>
      </c>
      <c r="D35" s="29">
        <f t="shared" si="0"/>
        <v>2.7762947143619821E-2</v>
      </c>
      <c r="E35" s="76"/>
      <c r="F35" s="76">
        <v>24004.75</v>
      </c>
      <c r="G35" s="29">
        <f t="shared" si="1"/>
        <v>8.035391838208783E-3</v>
      </c>
      <c r="H35" s="52"/>
      <c r="I35" s="76"/>
      <c r="K35" s="52"/>
      <c r="M35" s="76"/>
      <c r="N35" s="29"/>
    </row>
    <row r="36" spans="2:14" x14ac:dyDescent="0.25">
      <c r="B36" s="81">
        <v>45648</v>
      </c>
      <c r="C36" s="76">
        <v>2341.25</v>
      </c>
      <c r="D36" s="29">
        <f t="shared" si="0"/>
        <v>3.1492351857405065E-3</v>
      </c>
      <c r="E36" s="76"/>
      <c r="F36" s="76">
        <v>23813.4</v>
      </c>
      <c r="G36" s="29">
        <f t="shared" si="1"/>
        <v>9.5771065182830295E-3</v>
      </c>
      <c r="H36" s="52"/>
      <c r="I36" s="76"/>
      <c r="K36" s="52"/>
      <c r="M36" s="76"/>
      <c r="N36" s="29"/>
    </row>
    <row r="37" spans="2:14" x14ac:dyDescent="0.25">
      <c r="B37" s="81">
        <v>45641</v>
      </c>
      <c r="C37" s="76">
        <v>2333.9</v>
      </c>
      <c r="D37" s="29">
        <f t="shared" si="0"/>
        <v>-2.3513660516296331E-2</v>
      </c>
      <c r="E37" s="76"/>
      <c r="F37" s="76">
        <v>23587.5</v>
      </c>
      <c r="G37" s="29">
        <f t="shared" si="1"/>
        <v>-4.7673841159869612E-2</v>
      </c>
      <c r="H37" s="52"/>
      <c r="I37" s="76"/>
      <c r="K37" s="52"/>
      <c r="M37" s="76"/>
      <c r="N37" s="29"/>
    </row>
    <row r="38" spans="2:14" x14ac:dyDescent="0.25">
      <c r="B38" s="81">
        <v>45634</v>
      </c>
      <c r="C38" s="76">
        <v>2390.1</v>
      </c>
      <c r="D38" s="29">
        <f t="shared" si="0"/>
        <v>-3.7724454464932888E-2</v>
      </c>
      <c r="E38" s="76"/>
      <c r="F38" s="76">
        <v>24768.3</v>
      </c>
      <c r="G38" s="29">
        <f t="shared" si="1"/>
        <v>3.6672636944945491E-3</v>
      </c>
      <c r="H38" s="52"/>
      <c r="I38" s="76"/>
      <c r="K38" s="52"/>
      <c r="M38" s="76"/>
      <c r="N38" s="29"/>
    </row>
    <row r="39" spans="2:14" x14ac:dyDescent="0.25">
      <c r="B39" s="81">
        <v>45627</v>
      </c>
      <c r="C39" s="76">
        <v>2483.8000000000002</v>
      </c>
      <c r="D39" s="29">
        <f t="shared" si="0"/>
        <v>-4.9476193337739671E-3</v>
      </c>
      <c r="E39" s="76"/>
      <c r="F39" s="76">
        <v>24677.8</v>
      </c>
      <c r="G39" s="29">
        <f t="shared" si="1"/>
        <v>2.2655411481449228E-2</v>
      </c>
      <c r="H39" s="52"/>
      <c r="I39" s="76"/>
      <c r="K39" s="52"/>
      <c r="M39" s="76"/>
      <c r="N39" s="29"/>
    </row>
    <row r="40" spans="2:14" x14ac:dyDescent="0.25">
      <c r="B40" s="81">
        <v>45620</v>
      </c>
      <c r="C40" s="76">
        <v>2496.15</v>
      </c>
      <c r="D40" s="29">
        <f t="shared" si="0"/>
        <v>2.0815867498210849E-2</v>
      </c>
      <c r="E40" s="76"/>
      <c r="F40" s="76">
        <v>24131.1</v>
      </c>
      <c r="G40" s="29">
        <f t="shared" si="1"/>
        <v>9.3632684645870157E-3</v>
      </c>
      <c r="H40" s="52"/>
      <c r="I40" s="76"/>
      <c r="K40" s="52"/>
      <c r="M40" s="76"/>
      <c r="N40" s="29"/>
    </row>
    <row r="41" spans="2:14" x14ac:dyDescent="0.25">
      <c r="B41" s="81">
        <v>45613</v>
      </c>
      <c r="C41" s="76">
        <v>2445.25</v>
      </c>
      <c r="D41" s="29">
        <f t="shared" si="0"/>
        <v>2.3459735476310195E-2</v>
      </c>
      <c r="E41" s="76"/>
      <c r="F41" s="76">
        <v>23907.25</v>
      </c>
      <c r="G41" s="29">
        <f t="shared" si="1"/>
        <v>1.5916150717937061E-2</v>
      </c>
      <c r="H41" s="52"/>
      <c r="I41" s="76"/>
      <c r="K41" s="52"/>
      <c r="M41" s="76"/>
      <c r="N41" s="29"/>
    </row>
    <row r="42" spans="2:14" x14ac:dyDescent="0.25">
      <c r="B42" s="81">
        <v>45606</v>
      </c>
      <c r="C42" s="76">
        <v>2389.1999999999998</v>
      </c>
      <c r="D42" s="29">
        <f t="shared" si="0"/>
        <v>-4.7254456274674062E-2</v>
      </c>
      <c r="E42" s="76"/>
      <c r="F42" s="76">
        <v>23532.7</v>
      </c>
      <c r="G42" s="29">
        <f t="shared" si="1"/>
        <v>-2.5488442202731498E-2</v>
      </c>
      <c r="H42" s="52"/>
      <c r="I42" s="76"/>
      <c r="K42" s="52"/>
      <c r="M42" s="76"/>
      <c r="N42" s="29"/>
    </row>
    <row r="43" spans="2:14" x14ac:dyDescent="0.25">
      <c r="B43" s="81">
        <v>45599</v>
      </c>
      <c r="C43" s="76">
        <v>2507.6999999999998</v>
      </c>
      <c r="D43" s="29">
        <f t="shared" si="0"/>
        <v>-7.8102744278797376E-3</v>
      </c>
      <c r="E43" s="76"/>
      <c r="F43" s="76">
        <v>24148.2</v>
      </c>
      <c r="G43" s="29">
        <f t="shared" si="1"/>
        <v>-6.4247758117372822E-3</v>
      </c>
      <c r="H43" s="52"/>
      <c r="I43" s="76"/>
      <c r="K43" s="52"/>
      <c r="M43" s="76"/>
      <c r="N43" s="29"/>
    </row>
    <row r="44" spans="2:14" x14ac:dyDescent="0.25">
      <c r="B44" s="81">
        <v>45592</v>
      </c>
      <c r="C44" s="76">
        <v>2527.44</v>
      </c>
      <c r="D44" s="29">
        <f t="shared" si="0"/>
        <v>3.7410346224415747E-3</v>
      </c>
      <c r="E44" s="76"/>
      <c r="F44" s="76">
        <v>24304.35</v>
      </c>
      <c r="G44" s="29">
        <f t="shared" si="1"/>
        <v>5.1094256600276999E-3</v>
      </c>
      <c r="H44" s="52"/>
      <c r="I44" s="76"/>
      <c r="K44" s="52"/>
      <c r="M44" s="76"/>
      <c r="N44" s="29"/>
    </row>
    <row r="45" spans="2:14" x14ac:dyDescent="0.25">
      <c r="B45" s="81">
        <v>45585</v>
      </c>
      <c r="C45" s="76">
        <v>2518.02</v>
      </c>
      <c r="D45" s="29">
        <f t="shared" si="0"/>
        <v>-6.9577876969464159E-2</v>
      </c>
      <c r="E45" s="76"/>
      <c r="F45" s="76">
        <v>24180.799999999999</v>
      </c>
      <c r="G45" s="29">
        <f t="shared" si="1"/>
        <v>-2.7088140564616281E-2</v>
      </c>
      <c r="H45" s="52"/>
      <c r="I45" s="76"/>
      <c r="K45" s="52"/>
      <c r="M45" s="76"/>
      <c r="N45" s="29"/>
    </row>
    <row r="46" spans="2:14" x14ac:dyDescent="0.25">
      <c r="B46" s="81">
        <v>45578</v>
      </c>
      <c r="C46" s="76">
        <v>2706.32</v>
      </c>
      <c r="D46" s="29">
        <f t="shared" si="0"/>
        <v>-2.3750432875447203E-2</v>
      </c>
      <c r="E46" s="76"/>
      <c r="F46" s="76">
        <v>24854.05</v>
      </c>
      <c r="G46" s="29">
        <f t="shared" si="1"/>
        <v>-4.4143124668275524E-3</v>
      </c>
      <c r="H46" s="52"/>
      <c r="I46" s="76"/>
      <c r="K46" s="52"/>
      <c r="M46" s="76"/>
      <c r="N46" s="29"/>
    </row>
    <row r="47" spans="2:14" x14ac:dyDescent="0.25">
      <c r="B47" s="81">
        <v>45571</v>
      </c>
      <c r="C47" s="76">
        <v>2772.16</v>
      </c>
      <c r="D47" s="29">
        <f t="shared" si="0"/>
        <v>-2.301009709422186E-2</v>
      </c>
      <c r="E47" s="76"/>
      <c r="F47" s="76">
        <v>24964.25</v>
      </c>
      <c r="G47" s="29">
        <f t="shared" si="1"/>
        <v>-2.0128245104857889E-3</v>
      </c>
      <c r="H47" s="52"/>
      <c r="I47" s="76"/>
      <c r="K47" s="52"/>
      <c r="M47" s="76"/>
      <c r="N47" s="29"/>
    </row>
    <row r="48" spans="2:14" x14ac:dyDescent="0.25">
      <c r="B48" s="81">
        <v>45564</v>
      </c>
      <c r="C48" s="76">
        <v>2837.45</v>
      </c>
      <c r="D48" s="29">
        <f t="shared" si="0"/>
        <v>-3.9614281991138922E-2</v>
      </c>
      <c r="E48" s="76"/>
      <c r="F48" s="76">
        <v>25014.6</v>
      </c>
      <c r="G48" s="29">
        <f t="shared" si="1"/>
        <v>-4.4476573735768743E-2</v>
      </c>
      <c r="H48" s="52"/>
      <c r="I48" s="76"/>
      <c r="K48" s="52"/>
      <c r="M48" s="76"/>
      <c r="N48" s="29"/>
    </row>
    <row r="49" spans="2:14" x14ac:dyDescent="0.25">
      <c r="B49" s="81">
        <v>45557</v>
      </c>
      <c r="C49" s="76">
        <v>2954.49</v>
      </c>
      <c r="D49" s="29">
        <f t="shared" si="0"/>
        <v>-3.8101146743364511E-3</v>
      </c>
      <c r="E49" s="76"/>
      <c r="F49" s="76">
        <v>26178.95</v>
      </c>
      <c r="G49" s="29">
        <f t="shared" si="1"/>
        <v>1.5044036764834123E-2</v>
      </c>
      <c r="H49" s="52"/>
      <c r="I49" s="76"/>
      <c r="K49" s="52"/>
      <c r="M49" s="76"/>
      <c r="N49" s="29"/>
    </row>
    <row r="50" spans="2:14" x14ac:dyDescent="0.25">
      <c r="B50" s="81">
        <v>45550</v>
      </c>
      <c r="C50" s="76">
        <v>2965.79</v>
      </c>
      <c r="D50" s="29">
        <f t="shared" si="0"/>
        <v>1.5222570618761422E-2</v>
      </c>
      <c r="E50" s="76"/>
      <c r="F50" s="76">
        <v>25790.95</v>
      </c>
      <c r="G50" s="29">
        <f t="shared" si="1"/>
        <v>1.7133673811448702E-2</v>
      </c>
      <c r="H50" s="52"/>
      <c r="I50" s="76"/>
      <c r="K50" s="52"/>
      <c r="M50" s="76"/>
      <c r="N50" s="29"/>
    </row>
    <row r="51" spans="2:14" x14ac:dyDescent="0.25">
      <c r="B51" s="81">
        <v>45543</v>
      </c>
      <c r="C51" s="76">
        <v>2921.32</v>
      </c>
      <c r="D51" s="29">
        <f t="shared" si="0"/>
        <v>3.3111833333922869E-2</v>
      </c>
      <c r="E51" s="76"/>
      <c r="F51" s="76">
        <v>25356.5</v>
      </c>
      <c r="G51" s="29">
        <f t="shared" si="1"/>
        <v>2.0294018827344829E-2</v>
      </c>
      <c r="H51" s="52"/>
      <c r="I51" s="76"/>
      <c r="K51" s="52"/>
      <c r="M51" s="76"/>
      <c r="N51" s="29"/>
    </row>
    <row r="52" spans="2:14" x14ac:dyDescent="0.25">
      <c r="B52" s="81">
        <v>45536</v>
      </c>
      <c r="C52" s="76">
        <v>2827.69</v>
      </c>
      <c r="D52" s="29">
        <f t="shared" si="0"/>
        <v>2.1940888622252519E-2</v>
      </c>
      <c r="E52" s="76"/>
      <c r="F52" s="76">
        <v>24852.15</v>
      </c>
      <c r="G52" s="29">
        <f t="shared" si="1"/>
        <v>-1.5206511358818231E-2</v>
      </c>
      <c r="H52" s="52"/>
      <c r="I52" s="76"/>
      <c r="K52" s="52"/>
      <c r="M52" s="76"/>
      <c r="N52" s="29"/>
    </row>
    <row r="53" spans="2:14" x14ac:dyDescent="0.25">
      <c r="B53" s="81">
        <v>45529</v>
      </c>
      <c r="C53" s="76">
        <v>2766.98</v>
      </c>
      <c r="D53" s="29">
        <f t="shared" si="0"/>
        <v>-1.3353872266378519E-2</v>
      </c>
      <c r="E53" s="76"/>
      <c r="F53" s="76">
        <v>25235.9</v>
      </c>
      <c r="G53" s="29">
        <f t="shared" si="1"/>
        <v>1.6627623810837822E-2</v>
      </c>
      <c r="H53" s="52"/>
      <c r="I53" s="76"/>
      <c r="K53" s="52"/>
      <c r="M53" s="76"/>
      <c r="N53" s="29"/>
    </row>
    <row r="54" spans="2:14" x14ac:dyDescent="0.25">
      <c r="B54" s="81">
        <v>45522</v>
      </c>
      <c r="C54" s="76">
        <v>2804.43</v>
      </c>
      <c r="D54" s="29">
        <f t="shared" si="0"/>
        <v>2.4505452353553503E-2</v>
      </c>
      <c r="E54" s="76"/>
      <c r="F54" s="76">
        <v>24823.15</v>
      </c>
      <c r="G54" s="29">
        <f t="shared" si="1"/>
        <v>1.1490904052988471E-2</v>
      </c>
      <c r="H54" s="52"/>
      <c r="I54" s="76"/>
      <c r="K54" s="52"/>
      <c r="M54" s="76"/>
      <c r="N54" s="29"/>
    </row>
    <row r="55" spans="2:14" x14ac:dyDescent="0.25">
      <c r="B55" s="81">
        <v>45515</v>
      </c>
      <c r="C55" s="76">
        <v>2737.35</v>
      </c>
      <c r="D55" s="29">
        <f t="shared" si="0"/>
        <v>3.8372985418244632E-4</v>
      </c>
      <c r="E55" s="76"/>
      <c r="F55" s="76">
        <v>24541.15</v>
      </c>
      <c r="G55" s="29">
        <f t="shared" si="1"/>
        <v>7.1262952703396998E-3</v>
      </c>
      <c r="H55" s="52"/>
      <c r="I55" s="76"/>
      <c r="K55" s="52"/>
      <c r="M55" s="76"/>
      <c r="N55" s="29"/>
    </row>
    <row r="56" spans="2:14" x14ac:dyDescent="0.25">
      <c r="B56" s="81">
        <v>45508</v>
      </c>
      <c r="C56" s="76">
        <v>2736.3</v>
      </c>
      <c r="D56" s="29">
        <f t="shared" si="0"/>
        <v>2.0295540052277072E-2</v>
      </c>
      <c r="E56" s="76"/>
      <c r="F56" s="76">
        <v>24367.5</v>
      </c>
      <c r="G56" s="29">
        <f t="shared" si="1"/>
        <v>-1.4167984885325113E-2</v>
      </c>
      <c r="H56" s="52"/>
      <c r="I56" s="76"/>
      <c r="K56" s="52"/>
      <c r="M56" s="76"/>
      <c r="N56" s="29"/>
    </row>
    <row r="57" spans="2:14" x14ac:dyDescent="0.25">
      <c r="B57" s="81">
        <v>45501</v>
      </c>
      <c r="C57" s="76">
        <v>2681.87</v>
      </c>
      <c r="D57" s="29">
        <f t="shared" si="0"/>
        <v>-6.8251675739733342E-3</v>
      </c>
      <c r="E57" s="76"/>
      <c r="F57" s="76">
        <v>24717.7</v>
      </c>
      <c r="G57" s="29">
        <f t="shared" si="1"/>
        <v>-4.7171615693268887E-3</v>
      </c>
      <c r="H57" s="52"/>
      <c r="I57" s="76"/>
      <c r="K57" s="52"/>
      <c r="M57" s="76"/>
      <c r="N57" s="29"/>
    </row>
    <row r="58" spans="2:14" x14ac:dyDescent="0.25">
      <c r="B58" s="81">
        <v>45494</v>
      </c>
      <c r="C58" s="76">
        <v>2700.3</v>
      </c>
      <c r="D58" s="29">
        <f t="shared" si="0"/>
        <v>-5.8501062149554084E-3</v>
      </c>
      <c r="E58" s="76"/>
      <c r="F58" s="76">
        <v>24834.85</v>
      </c>
      <c r="G58" s="29">
        <f t="shared" si="1"/>
        <v>1.2390495252925682E-2</v>
      </c>
      <c r="H58" s="52"/>
      <c r="I58" s="76"/>
      <c r="K58" s="52"/>
      <c r="M58" s="76"/>
      <c r="N58" s="29"/>
    </row>
    <row r="59" spans="2:14" x14ac:dyDescent="0.25">
      <c r="B59" s="81">
        <v>45487</v>
      </c>
      <c r="C59" s="76">
        <v>2716.19</v>
      </c>
      <c r="D59" s="29">
        <f t="shared" si="0"/>
        <v>3.9948695369182774E-2</v>
      </c>
      <c r="E59" s="76"/>
      <c r="F59" s="76">
        <v>24530.9</v>
      </c>
      <c r="G59" s="29">
        <f t="shared" si="1"/>
        <v>1.1733664188653403E-3</v>
      </c>
      <c r="H59" s="52"/>
      <c r="I59" s="76"/>
      <c r="K59" s="52"/>
      <c r="M59" s="76"/>
      <c r="N59" s="29"/>
    </row>
    <row r="60" spans="2:14" x14ac:dyDescent="0.25">
      <c r="B60" s="81">
        <v>45480</v>
      </c>
      <c r="C60" s="76">
        <v>2611.85</v>
      </c>
      <c r="D60" s="29">
        <f t="shared" si="0"/>
        <v>2.9543931570026327E-2</v>
      </c>
      <c r="E60" s="76"/>
      <c r="F60" s="76">
        <v>24502.15</v>
      </c>
      <c r="G60" s="29">
        <f t="shared" si="1"/>
        <v>7.3302540510651326E-3</v>
      </c>
      <c r="H60" s="52"/>
      <c r="I60" s="76"/>
      <c r="K60" s="52"/>
      <c r="M60" s="76"/>
      <c r="N60" s="29"/>
    </row>
    <row r="61" spans="2:14" x14ac:dyDescent="0.25">
      <c r="B61" s="81">
        <v>45473</v>
      </c>
      <c r="C61" s="76">
        <v>2536.9</v>
      </c>
      <c r="D61" s="29">
        <f t="shared" si="0"/>
        <v>2.9903704064565551E-2</v>
      </c>
      <c r="E61" s="76"/>
      <c r="F61" s="76">
        <v>24323.85</v>
      </c>
      <c r="G61" s="29">
        <f t="shared" si="1"/>
        <v>1.3046321208133094E-2</v>
      </c>
      <c r="H61" s="52"/>
      <c r="I61" s="76"/>
      <c r="K61" s="52"/>
      <c r="M61" s="76"/>
      <c r="N61" s="29"/>
    </row>
    <row r="62" spans="2:14" x14ac:dyDescent="0.25">
      <c r="B62" s="81">
        <v>45466</v>
      </c>
      <c r="C62" s="76">
        <v>2463.2399999999998</v>
      </c>
      <c r="D62" s="29">
        <f t="shared" si="0"/>
        <v>1.3003676561304855E-2</v>
      </c>
      <c r="E62" s="76"/>
      <c r="F62" s="76">
        <v>24010.6</v>
      </c>
      <c r="G62" s="29">
        <f t="shared" si="1"/>
        <v>2.1679836262983532E-2</v>
      </c>
      <c r="H62" s="52"/>
      <c r="I62" s="76"/>
      <c r="K62" s="52"/>
      <c r="M62" s="76"/>
      <c r="N62" s="29"/>
    </row>
    <row r="63" spans="2:14" x14ac:dyDescent="0.25">
      <c r="B63" s="81">
        <v>45459</v>
      </c>
      <c r="C63" s="76">
        <v>2431.62</v>
      </c>
      <c r="D63" s="29">
        <f t="shared" si="0"/>
        <v>-1.550657511174458E-2</v>
      </c>
      <c r="E63" s="76"/>
      <c r="F63" s="76">
        <v>23501.1</v>
      </c>
      <c r="G63" s="29">
        <f t="shared" si="1"/>
        <v>1.5128528569481325E-3</v>
      </c>
      <c r="H63" s="52"/>
      <c r="I63" s="76"/>
      <c r="K63" s="52"/>
      <c r="M63" s="76"/>
      <c r="N63" s="29"/>
    </row>
    <row r="64" spans="2:14" x14ac:dyDescent="0.25">
      <c r="B64" s="81">
        <v>45452</v>
      </c>
      <c r="C64" s="76">
        <v>2469.92</v>
      </c>
      <c r="D64" s="29">
        <f t="shared" si="0"/>
        <v>-3.8035815826575892E-2</v>
      </c>
      <c r="E64" s="76"/>
      <c r="F64" s="76">
        <v>23465.599999999999</v>
      </c>
      <c r="G64" s="29">
        <f t="shared" si="1"/>
        <v>7.5332275661599279E-3</v>
      </c>
      <c r="H64" s="52"/>
      <c r="I64" s="76"/>
      <c r="K64" s="52"/>
      <c r="M64" s="76"/>
      <c r="N64" s="29"/>
    </row>
    <row r="65" spans="2:14" x14ac:dyDescent="0.25">
      <c r="B65" s="81">
        <v>45445</v>
      </c>
      <c r="C65" s="76">
        <v>2567.58</v>
      </c>
      <c r="D65" s="29">
        <f t="shared" si="0"/>
        <v>0.10680616084937999</v>
      </c>
      <c r="E65" s="76"/>
      <c r="F65" s="76">
        <v>23290.15</v>
      </c>
      <c r="G65" s="29">
        <f t="shared" si="1"/>
        <v>3.3707341538434354E-2</v>
      </c>
      <c r="H65" s="52"/>
      <c r="I65" s="76"/>
      <c r="K65" s="52"/>
      <c r="M65" s="76"/>
      <c r="N65" s="29"/>
    </row>
    <row r="66" spans="2:14" x14ac:dyDescent="0.25">
      <c r="B66" s="81">
        <v>45438</v>
      </c>
      <c r="C66" s="76">
        <v>2319.81</v>
      </c>
      <c r="D66" s="29">
        <f t="shared" si="0"/>
        <v>-1.6883859894475939E-2</v>
      </c>
      <c r="E66" s="76"/>
      <c r="F66" s="76">
        <v>22530.7</v>
      </c>
      <c r="G66" s="29">
        <f t="shared" si="1"/>
        <v>-1.8573774562117951E-2</v>
      </c>
      <c r="H66" s="52"/>
      <c r="I66" s="76"/>
      <c r="K66" s="52"/>
      <c r="M66" s="76"/>
      <c r="N66" s="29"/>
    </row>
    <row r="67" spans="2:14" x14ac:dyDescent="0.25">
      <c r="B67" s="81">
        <v>45431</v>
      </c>
      <c r="C67" s="76">
        <v>2359.65</v>
      </c>
      <c r="D67" s="29">
        <f t="shared" si="0"/>
        <v>2.0985223806330167E-2</v>
      </c>
      <c r="E67" s="76"/>
      <c r="F67" s="76">
        <v>22957.1</v>
      </c>
      <c r="G67" s="29">
        <f t="shared" si="1"/>
        <v>2.1855150649200406E-2</v>
      </c>
      <c r="H67" s="52"/>
      <c r="I67" s="76"/>
      <c r="K67" s="52"/>
      <c r="M67" s="76"/>
      <c r="N67" s="29"/>
    </row>
    <row r="68" spans="2:14" x14ac:dyDescent="0.25">
      <c r="B68" s="81">
        <v>45424</v>
      </c>
      <c r="C68" s="76">
        <v>2311.15</v>
      </c>
      <c r="D68" s="29">
        <f t="shared" si="0"/>
        <v>-1.786093711488268E-2</v>
      </c>
      <c r="E68" s="76"/>
      <c r="F68" s="76">
        <v>22466.1</v>
      </c>
      <c r="G68" s="29">
        <f t="shared" si="1"/>
        <v>1.8630527041241907E-2</v>
      </c>
      <c r="H68" s="52"/>
      <c r="I68" s="76"/>
      <c r="K68" s="52"/>
      <c r="M68" s="76"/>
      <c r="N68" s="29"/>
    </row>
    <row r="69" spans="2:14" x14ac:dyDescent="0.25">
      <c r="B69" s="81">
        <v>45417</v>
      </c>
      <c r="C69" s="76">
        <v>2353.1799999999998</v>
      </c>
      <c r="D69" s="29">
        <f t="shared" si="0"/>
        <v>6.5626330232852803E-2</v>
      </c>
      <c r="E69" s="76"/>
      <c r="F69" s="76">
        <v>22055.200000000001</v>
      </c>
      <c r="G69" s="29">
        <f t="shared" si="1"/>
        <v>-1.8715643679771743E-2</v>
      </c>
      <c r="H69" s="52"/>
      <c r="I69" s="76"/>
      <c r="K69" s="52"/>
      <c r="M69" s="76"/>
      <c r="N69" s="29"/>
    </row>
    <row r="70" spans="2:14" x14ac:dyDescent="0.25">
      <c r="B70" s="81">
        <v>45410</v>
      </c>
      <c r="C70" s="76">
        <v>2208.2600000000002</v>
      </c>
      <c r="D70" s="29">
        <f t="shared" si="0"/>
        <v>-2.5160016803457141E-3</v>
      </c>
      <c r="E70" s="76"/>
      <c r="F70" s="76">
        <v>22475.85</v>
      </c>
      <c r="G70" s="29">
        <f t="shared" si="1"/>
        <v>2.4933151055197555E-3</v>
      </c>
      <c r="H70" s="52"/>
      <c r="I70" s="76"/>
      <c r="K70" s="52"/>
      <c r="M70" s="76"/>
      <c r="N70" s="29"/>
    </row>
    <row r="71" spans="2:14" x14ac:dyDescent="0.25">
      <c r="B71" s="81">
        <v>45403</v>
      </c>
      <c r="C71" s="76">
        <v>2213.83</v>
      </c>
      <c r="D71" s="29">
        <f t="shared" si="0"/>
        <v>-4.0130469013609504E-3</v>
      </c>
      <c r="E71" s="76"/>
      <c r="F71" s="76">
        <v>22419.95</v>
      </c>
      <c r="G71" s="29">
        <f t="shared" si="1"/>
        <v>1.2324468325281002E-2</v>
      </c>
      <c r="H71" s="52"/>
      <c r="I71" s="76"/>
      <c r="K71" s="52"/>
      <c r="M71" s="76"/>
      <c r="N71" s="29"/>
    </row>
    <row r="72" spans="2:14" x14ac:dyDescent="0.25">
      <c r="B72" s="81">
        <v>45396</v>
      </c>
      <c r="C72" s="76">
        <v>2222.75</v>
      </c>
      <c r="D72" s="29">
        <f t="shared" si="0"/>
        <v>-3.1482605860255752E-4</v>
      </c>
      <c r="E72" s="76"/>
      <c r="F72" s="76">
        <v>22147</v>
      </c>
      <c r="G72" s="29">
        <f t="shared" si="1"/>
        <v>-1.6536852669254087E-2</v>
      </c>
      <c r="H72" s="52"/>
      <c r="I72" s="76"/>
      <c r="K72" s="52"/>
      <c r="M72" s="76"/>
      <c r="N72" s="29"/>
    </row>
    <row r="73" spans="2:14" x14ac:dyDescent="0.25">
      <c r="B73" s="81">
        <v>45389</v>
      </c>
      <c r="C73" s="76">
        <v>2223.4499999999998</v>
      </c>
      <c r="D73" s="29">
        <f t="shared" si="0"/>
        <v>-1.5283707417314885E-2</v>
      </c>
      <c r="E73" s="76"/>
      <c r="F73" s="76">
        <v>22519.4</v>
      </c>
      <c r="G73" s="29">
        <f t="shared" si="1"/>
        <v>2.5317917534661838E-4</v>
      </c>
      <c r="H73" s="52"/>
      <c r="I73" s="76"/>
      <c r="K73" s="52"/>
      <c r="M73" s="76"/>
      <c r="N73" s="29"/>
    </row>
    <row r="74" spans="2:14" x14ac:dyDescent="0.25">
      <c r="B74" s="81">
        <v>45382</v>
      </c>
      <c r="C74" s="76">
        <v>2257.96</v>
      </c>
      <c r="D74" s="29">
        <f t="shared" si="0"/>
        <v>1.1483703339141282E-3</v>
      </c>
      <c r="E74" s="76"/>
      <c r="F74" s="76">
        <v>22513.7</v>
      </c>
      <c r="G74" s="29">
        <f t="shared" si="1"/>
        <v>8.3665891816597782E-3</v>
      </c>
      <c r="H74" s="52"/>
      <c r="I74" s="76"/>
      <c r="K74" s="52"/>
      <c r="M74" s="76"/>
      <c r="N74" s="29"/>
    </row>
    <row r="75" spans="2:14" x14ac:dyDescent="0.25">
      <c r="B75" s="81">
        <v>45375</v>
      </c>
      <c r="C75" s="76">
        <v>2255.37</v>
      </c>
      <c r="D75" s="29">
        <f t="shared" si="0"/>
        <v>3.4570208222104437E-3</v>
      </c>
      <c r="E75" s="76"/>
      <c r="F75" s="76">
        <v>22326.9</v>
      </c>
      <c r="G75" s="29">
        <f t="shared" si="1"/>
        <v>1.0415558849152129E-2</v>
      </c>
      <c r="H75" s="52"/>
      <c r="I75" s="76"/>
      <c r="K75" s="52"/>
      <c r="M75" s="76"/>
      <c r="N75" s="29"/>
    </row>
    <row r="76" spans="2:14" x14ac:dyDescent="0.25">
      <c r="B76" s="81">
        <v>45368</v>
      </c>
      <c r="C76" s="76">
        <v>2247.6</v>
      </c>
      <c r="D76" s="29">
        <f t="shared" si="0"/>
        <v>-3.0567572580192937E-2</v>
      </c>
      <c r="E76" s="76"/>
      <c r="F76" s="76">
        <v>22096.75</v>
      </c>
      <c r="G76" s="29">
        <f t="shared" si="1"/>
        <v>3.3328262957270649E-3</v>
      </c>
      <c r="H76" s="52"/>
      <c r="I76" s="76"/>
      <c r="K76" s="52"/>
      <c r="M76" s="76"/>
      <c r="N76" s="29"/>
    </row>
    <row r="77" spans="2:14" x14ac:dyDescent="0.25">
      <c r="B77" s="81">
        <v>45361</v>
      </c>
      <c r="C77" s="76">
        <v>2318.4699999999998</v>
      </c>
      <c r="D77" s="29">
        <f t="shared" ref="D77:D114" si="2">(C77/C78)-1</f>
        <v>-3.7959293761281376E-2</v>
      </c>
      <c r="E77" s="76"/>
      <c r="F77" s="76">
        <v>22023.35</v>
      </c>
      <c r="G77" s="29">
        <f t="shared" ref="G77:G114" si="3">(F77/F78)-1</f>
        <v>-2.0903770191899484E-2</v>
      </c>
      <c r="H77" s="52"/>
      <c r="I77" s="76"/>
      <c r="K77" s="52"/>
      <c r="M77" s="76"/>
      <c r="N77" s="29"/>
    </row>
    <row r="78" spans="2:14" x14ac:dyDescent="0.25">
      <c r="B78" s="81">
        <v>45354</v>
      </c>
      <c r="C78" s="76">
        <v>2409.9499999999998</v>
      </c>
      <c r="D78" s="29">
        <f t="shared" si="2"/>
        <v>4.0872615764080411E-3</v>
      </c>
      <c r="E78" s="76"/>
      <c r="F78" s="76">
        <v>22493.55</v>
      </c>
      <c r="G78" s="29">
        <f t="shared" si="3"/>
        <v>6.929662581836471E-3</v>
      </c>
      <c r="H78" s="52"/>
      <c r="I78" s="76"/>
      <c r="K78" s="52"/>
      <c r="M78" s="76"/>
      <c r="N78" s="29"/>
    </row>
    <row r="79" spans="2:14" x14ac:dyDescent="0.25">
      <c r="B79" s="81">
        <v>45347</v>
      </c>
      <c r="C79" s="76">
        <v>2400.14</v>
      </c>
      <c r="D79" s="29">
        <f t="shared" si="2"/>
        <v>6.5168162375242034E-3</v>
      </c>
      <c r="E79" s="76"/>
      <c r="F79" s="76">
        <v>22338.75</v>
      </c>
      <c r="G79" s="29">
        <f t="shared" si="3"/>
        <v>5.6746816010659895E-3</v>
      </c>
      <c r="H79" s="52"/>
      <c r="I79" s="76"/>
      <c r="K79" s="52"/>
      <c r="M79" s="76"/>
      <c r="N79" s="29"/>
    </row>
    <row r="80" spans="2:14" x14ac:dyDescent="0.25">
      <c r="B80" s="81">
        <v>45340</v>
      </c>
      <c r="C80" s="76">
        <v>2384.6</v>
      </c>
      <c r="D80" s="29">
        <f t="shared" si="2"/>
        <v>7.9337906781129508E-3</v>
      </c>
      <c r="E80" s="76"/>
      <c r="F80" s="76">
        <v>22212.7</v>
      </c>
      <c r="G80" s="29">
        <f t="shared" si="3"/>
        <v>7.8037448901351336E-3</v>
      </c>
      <c r="H80" s="52"/>
      <c r="I80" s="76"/>
      <c r="K80" s="52"/>
      <c r="M80" s="76"/>
      <c r="N80" s="29"/>
    </row>
    <row r="81" spans="2:14" x14ac:dyDescent="0.25">
      <c r="B81" s="81">
        <v>45333</v>
      </c>
      <c r="C81" s="76">
        <v>2365.83</v>
      </c>
      <c r="D81" s="29">
        <f t="shared" si="2"/>
        <v>-2.017361485003355E-2</v>
      </c>
      <c r="E81" s="76"/>
      <c r="F81" s="76">
        <v>22040.7</v>
      </c>
      <c r="G81" s="29">
        <f t="shared" si="3"/>
        <v>1.1853552163433978E-2</v>
      </c>
      <c r="H81" s="52"/>
      <c r="I81" s="76"/>
      <c r="K81" s="52"/>
      <c r="M81" s="76"/>
      <c r="N81" s="29"/>
    </row>
    <row r="82" spans="2:14" x14ac:dyDescent="0.25">
      <c r="B82" s="81">
        <v>45326</v>
      </c>
      <c r="C82" s="76">
        <v>2414.54</v>
      </c>
      <c r="D82" s="29">
        <f t="shared" si="2"/>
        <v>-1.1597014986470811E-2</v>
      </c>
      <c r="E82" s="76"/>
      <c r="F82" s="76">
        <v>21782.5</v>
      </c>
      <c r="G82" s="29">
        <f t="shared" si="3"/>
        <v>-3.2625904876955047E-3</v>
      </c>
      <c r="H82" s="52"/>
      <c r="I82" s="76"/>
      <c r="K82" s="52"/>
      <c r="M82" s="76"/>
      <c r="N82" s="29"/>
    </row>
    <row r="83" spans="2:14" x14ac:dyDescent="0.25">
      <c r="B83" s="81">
        <v>45319</v>
      </c>
      <c r="C83" s="76">
        <v>2442.87</v>
      </c>
      <c r="D83" s="29">
        <f t="shared" si="2"/>
        <v>1.0005498889885667E-2</v>
      </c>
      <c r="E83" s="76"/>
      <c r="F83" s="76">
        <v>21853.8</v>
      </c>
      <c r="G83" s="29">
        <f t="shared" si="3"/>
        <v>2.3472551352060167E-2</v>
      </c>
      <c r="H83" s="52"/>
      <c r="I83" s="76"/>
      <c r="K83" s="52"/>
      <c r="M83" s="76"/>
      <c r="N83" s="29"/>
    </row>
    <row r="84" spans="2:14" x14ac:dyDescent="0.25">
      <c r="B84" s="81">
        <v>45312</v>
      </c>
      <c r="C84" s="76">
        <v>2418.67</v>
      </c>
      <c r="D84" s="29">
        <f t="shared" si="2"/>
        <v>-5.3443329954642071E-2</v>
      </c>
      <c r="E84" s="76"/>
      <c r="F84" s="76">
        <v>21352.6</v>
      </c>
      <c r="G84" s="29">
        <f t="shared" si="3"/>
        <v>-1.2477800799171379E-2</v>
      </c>
      <c r="H84" s="52"/>
      <c r="I84" s="76"/>
      <c r="K84" s="52"/>
      <c r="M84" s="76"/>
      <c r="N84" s="29"/>
    </row>
    <row r="85" spans="2:14" x14ac:dyDescent="0.25">
      <c r="B85" s="81">
        <v>45305</v>
      </c>
      <c r="C85" s="76">
        <v>2555.23</v>
      </c>
      <c r="D85" s="29">
        <f t="shared" si="2"/>
        <v>8.4138742102126685E-3</v>
      </c>
      <c r="E85" s="76"/>
      <c r="F85" s="76">
        <v>21622.400000000001</v>
      </c>
      <c r="G85" s="29">
        <f t="shared" si="3"/>
        <v>-1.2430033958222397E-2</v>
      </c>
      <c r="H85" s="52"/>
      <c r="I85" s="76"/>
      <c r="K85" s="52"/>
      <c r="M85" s="76"/>
      <c r="N85" s="29"/>
    </row>
    <row r="86" spans="2:14" x14ac:dyDescent="0.25">
      <c r="B86" s="81">
        <v>45298</v>
      </c>
      <c r="C86" s="76">
        <v>2533.91</v>
      </c>
      <c r="D86" s="29">
        <f t="shared" si="2"/>
        <v>-2.9026769770774785E-2</v>
      </c>
      <c r="E86" s="76"/>
      <c r="F86" s="76">
        <v>21894.55</v>
      </c>
      <c r="G86" s="29">
        <f t="shared" si="3"/>
        <v>8.4635296718684749E-3</v>
      </c>
      <c r="H86" s="52"/>
      <c r="I86" s="76"/>
      <c r="K86" s="52"/>
      <c r="M86" s="76"/>
      <c r="N86" s="29"/>
    </row>
    <row r="87" spans="2:14" x14ac:dyDescent="0.25">
      <c r="B87" s="81">
        <v>45291</v>
      </c>
      <c r="C87" s="76">
        <v>2609.66</v>
      </c>
      <c r="D87" s="29">
        <f t="shared" si="2"/>
        <v>-1.6480803801928845E-2</v>
      </c>
      <c r="E87" s="76"/>
      <c r="F87" s="76">
        <v>21710.799999999999</v>
      </c>
      <c r="G87" s="29">
        <f t="shared" si="3"/>
        <v>-9.479370864280412E-4</v>
      </c>
      <c r="H87" s="52"/>
      <c r="I87" s="76"/>
      <c r="K87" s="52"/>
      <c r="M87" s="76"/>
      <c r="N87" s="29"/>
    </row>
    <row r="88" spans="2:14" x14ac:dyDescent="0.25">
      <c r="B88" s="81">
        <v>45284</v>
      </c>
      <c r="C88" s="76">
        <v>2653.39</v>
      </c>
      <c r="D88" s="29">
        <f t="shared" si="2"/>
        <v>3.4302776575881211E-2</v>
      </c>
      <c r="E88" s="76"/>
      <c r="F88" s="76">
        <v>21731.4</v>
      </c>
      <c r="G88" s="29">
        <f t="shared" si="3"/>
        <v>1.7892774504201459E-2</v>
      </c>
      <c r="H88" s="52"/>
      <c r="I88" s="76"/>
      <c r="K88" s="52"/>
      <c r="M88" s="76"/>
      <c r="N88" s="29"/>
    </row>
    <row r="89" spans="2:14" x14ac:dyDescent="0.25">
      <c r="B89" s="81">
        <v>45277</v>
      </c>
      <c r="C89" s="76">
        <v>2565.39</v>
      </c>
      <c r="D89" s="29">
        <f t="shared" si="2"/>
        <v>2.0892279407375591E-2</v>
      </c>
      <c r="E89" s="76"/>
      <c r="F89" s="76">
        <v>21349.4</v>
      </c>
      <c r="G89" s="29">
        <f t="shared" si="3"/>
        <v>-4.9984503638732525E-3</v>
      </c>
      <c r="H89" s="52"/>
      <c r="I89" s="76"/>
      <c r="K89" s="52"/>
      <c r="M89" s="76"/>
      <c r="N89" s="29"/>
    </row>
    <row r="90" spans="2:14" x14ac:dyDescent="0.25">
      <c r="B90" s="81">
        <v>45270</v>
      </c>
      <c r="C90" s="76">
        <v>2512.89</v>
      </c>
      <c r="D90" s="29">
        <f t="shared" si="2"/>
        <v>2.3484456474132109E-4</v>
      </c>
      <c r="E90" s="76"/>
      <c r="F90" s="76">
        <v>21456.65</v>
      </c>
      <c r="G90" s="29">
        <f t="shared" si="3"/>
        <v>2.3236239472755438E-2</v>
      </c>
      <c r="H90" s="52"/>
      <c r="I90" s="76"/>
      <c r="K90" s="52"/>
      <c r="M90" s="76"/>
      <c r="N90" s="29"/>
    </row>
    <row r="91" spans="2:14" x14ac:dyDescent="0.25">
      <c r="B91" s="81">
        <v>45263</v>
      </c>
      <c r="C91" s="76">
        <v>2512.3000000000002</v>
      </c>
      <c r="D91" s="29">
        <f t="shared" si="2"/>
        <v>-1.6127010981092371E-2</v>
      </c>
      <c r="E91" s="76"/>
      <c r="F91" s="76">
        <v>20969.400000000001</v>
      </c>
      <c r="G91" s="29">
        <f t="shared" si="3"/>
        <v>3.4611380557433069E-2</v>
      </c>
      <c r="H91" s="52"/>
      <c r="I91" s="76"/>
      <c r="K91" s="52"/>
      <c r="M91" s="76"/>
      <c r="N91" s="29"/>
    </row>
    <row r="92" spans="2:14" x14ac:dyDescent="0.25">
      <c r="B92" s="81">
        <v>45256</v>
      </c>
      <c r="C92" s="76">
        <v>2553.48</v>
      </c>
      <c r="D92" s="29">
        <f t="shared" si="2"/>
        <v>1.9259708689421728E-2</v>
      </c>
      <c r="E92" s="76"/>
      <c r="F92" s="76">
        <v>20267.900000000001</v>
      </c>
      <c r="G92" s="29">
        <f t="shared" si="3"/>
        <v>2.3905388816198414E-2</v>
      </c>
      <c r="H92" s="52"/>
      <c r="I92" s="76"/>
      <c r="K92" s="52"/>
      <c r="M92" s="76"/>
      <c r="N92" s="29"/>
    </row>
    <row r="93" spans="2:14" x14ac:dyDescent="0.25">
      <c r="B93" s="81">
        <v>45249</v>
      </c>
      <c r="C93" s="76">
        <v>2505.23</v>
      </c>
      <c r="D93" s="29">
        <f t="shared" si="2"/>
        <v>-5.3756396971537113E-3</v>
      </c>
      <c r="E93" s="76"/>
      <c r="F93" s="76">
        <v>19794.7</v>
      </c>
      <c r="G93" s="29">
        <f t="shared" si="3"/>
        <v>3.1877476966115648E-3</v>
      </c>
      <c r="H93" s="52"/>
      <c r="I93" s="76"/>
      <c r="K93" s="52"/>
      <c r="M93" s="76"/>
      <c r="N93" s="29"/>
    </row>
    <row r="94" spans="2:14" x14ac:dyDescent="0.25">
      <c r="B94" s="81">
        <v>45242</v>
      </c>
      <c r="C94" s="76">
        <v>2518.77</v>
      </c>
      <c r="D94" s="29">
        <f t="shared" si="2"/>
        <v>1.6990418663619611E-2</v>
      </c>
      <c r="E94" s="76"/>
      <c r="F94" s="76">
        <v>19731.8</v>
      </c>
      <c r="G94" s="29">
        <f t="shared" si="3"/>
        <v>1.5775777527818002E-2</v>
      </c>
      <c r="H94" s="52"/>
      <c r="I94" s="76"/>
      <c r="K94" s="52"/>
      <c r="M94" s="76"/>
      <c r="N94" s="29"/>
    </row>
    <row r="95" spans="2:14" x14ac:dyDescent="0.25">
      <c r="B95" s="81">
        <v>45235</v>
      </c>
      <c r="C95" s="76">
        <v>2476.69</v>
      </c>
      <c r="D95" s="29">
        <f t="shared" si="2"/>
        <v>-9.0465330292482937E-3</v>
      </c>
      <c r="E95" s="76"/>
      <c r="F95" s="76">
        <v>19425.349999999999</v>
      </c>
      <c r="G95" s="29">
        <f t="shared" si="3"/>
        <v>1.0127089118384225E-2</v>
      </c>
      <c r="H95" s="52"/>
      <c r="I95" s="76"/>
      <c r="K95" s="52"/>
      <c r="M95" s="76"/>
      <c r="N95" s="29"/>
    </row>
    <row r="96" spans="2:14" x14ac:dyDescent="0.25">
      <c r="B96" s="81">
        <v>45228</v>
      </c>
      <c r="C96" s="76">
        <v>2499.3000000000002</v>
      </c>
      <c r="D96" s="29">
        <f t="shared" si="2"/>
        <v>1.0957806982416551E-2</v>
      </c>
      <c r="E96" s="76"/>
      <c r="F96" s="76">
        <v>19230.599999999999</v>
      </c>
      <c r="G96" s="29">
        <f t="shared" si="3"/>
        <v>9.6260615049414966E-3</v>
      </c>
      <c r="H96" s="52"/>
      <c r="I96" s="76"/>
      <c r="K96" s="52"/>
      <c r="M96" s="76"/>
      <c r="N96" s="29"/>
    </row>
    <row r="97" spans="2:14" x14ac:dyDescent="0.25">
      <c r="B97" s="81">
        <v>45221</v>
      </c>
      <c r="C97" s="76">
        <v>2472.21</v>
      </c>
      <c r="D97" s="29">
        <f t="shared" si="2"/>
        <v>-5.2469570465747406E-3</v>
      </c>
      <c r="E97" s="76"/>
      <c r="F97" s="76">
        <v>19047.25</v>
      </c>
      <c r="G97" s="29">
        <f t="shared" si="3"/>
        <v>-2.5349683896503383E-2</v>
      </c>
      <c r="H97" s="52"/>
      <c r="I97" s="76"/>
      <c r="K97" s="52"/>
      <c r="M97" s="76"/>
      <c r="N97" s="29"/>
    </row>
    <row r="98" spans="2:14" x14ac:dyDescent="0.25">
      <c r="B98" s="81">
        <v>45214</v>
      </c>
      <c r="C98" s="76">
        <v>2485.25</v>
      </c>
      <c r="D98" s="29">
        <f t="shared" si="2"/>
        <v>-2.8918515508389198E-2</v>
      </c>
      <c r="E98" s="76"/>
      <c r="F98" s="76">
        <v>19542.650000000001</v>
      </c>
      <c r="G98" s="29">
        <f t="shared" si="3"/>
        <v>-1.0551337776978809E-2</v>
      </c>
      <c r="H98" s="52"/>
      <c r="I98" s="76"/>
      <c r="K98" s="52"/>
      <c r="M98" s="76"/>
      <c r="N98" s="29"/>
    </row>
    <row r="99" spans="2:14" x14ac:dyDescent="0.25">
      <c r="B99" s="81">
        <v>45207</v>
      </c>
      <c r="C99" s="76">
        <v>2559.2600000000002</v>
      </c>
      <c r="D99" s="29">
        <f t="shared" si="2"/>
        <v>2.8025820549590685E-2</v>
      </c>
      <c r="E99" s="76"/>
      <c r="F99" s="76">
        <v>19751.05</v>
      </c>
      <c r="G99" s="29">
        <f t="shared" si="3"/>
        <v>4.9634925076957881E-3</v>
      </c>
      <c r="H99" s="52"/>
      <c r="I99" s="76"/>
      <c r="K99" s="52"/>
      <c r="M99" s="76"/>
      <c r="N99" s="29"/>
    </row>
    <row r="100" spans="2:14" x14ac:dyDescent="0.25">
      <c r="B100" s="81">
        <v>45200</v>
      </c>
      <c r="C100" s="76">
        <v>2489.4899999999998</v>
      </c>
      <c r="D100" s="29">
        <f t="shared" si="2"/>
        <v>1.3710288213305333E-2</v>
      </c>
      <c r="E100" s="76"/>
      <c r="F100" s="76">
        <v>19653.5</v>
      </c>
      <c r="G100" s="29">
        <f t="shared" si="3"/>
        <v>7.7399774929598486E-4</v>
      </c>
      <c r="H100" s="52"/>
      <c r="I100" s="76"/>
      <c r="K100" s="52"/>
      <c r="M100" s="76"/>
      <c r="N100" s="29"/>
    </row>
    <row r="101" spans="2:14" x14ac:dyDescent="0.25">
      <c r="B101" s="81">
        <v>45193</v>
      </c>
      <c r="C101" s="76">
        <v>2455.8200000000002</v>
      </c>
      <c r="D101" s="29">
        <f t="shared" si="2"/>
        <v>-6.7863787106687834E-3</v>
      </c>
      <c r="E101" s="76"/>
      <c r="F101" s="76">
        <v>19638.3</v>
      </c>
      <c r="G101" s="29">
        <f t="shared" si="3"/>
        <v>-1.8272615220402688E-3</v>
      </c>
      <c r="H101" s="52"/>
      <c r="I101" s="76"/>
      <c r="K101" s="52"/>
      <c r="M101" s="76"/>
      <c r="N101" s="29"/>
    </row>
    <row r="102" spans="2:14" x14ac:dyDescent="0.25">
      <c r="B102" s="81">
        <v>45186</v>
      </c>
      <c r="C102" s="76">
        <v>2472.6</v>
      </c>
      <c r="D102" s="29">
        <f t="shared" si="2"/>
        <v>5.1587253192191262E-3</v>
      </c>
      <c r="E102" s="76"/>
      <c r="F102" s="76">
        <v>19674.25</v>
      </c>
      <c r="G102" s="29">
        <f t="shared" si="3"/>
        <v>-2.5658231954180599E-2</v>
      </c>
      <c r="H102" s="52"/>
      <c r="I102" s="76"/>
      <c r="K102" s="52"/>
      <c r="M102" s="76"/>
      <c r="N102" s="29"/>
    </row>
    <row r="103" spans="2:14" x14ac:dyDescent="0.25">
      <c r="B103" s="81">
        <v>45179</v>
      </c>
      <c r="C103" s="76">
        <v>2459.91</v>
      </c>
      <c r="D103" s="29">
        <f t="shared" si="2"/>
        <v>-1.7541126993446121E-2</v>
      </c>
      <c r="E103" s="76"/>
      <c r="F103" s="76">
        <v>20192.349999999999</v>
      </c>
      <c r="G103" s="29">
        <f t="shared" si="3"/>
        <v>1.8789149316723597E-2</v>
      </c>
      <c r="H103" s="52"/>
      <c r="I103" s="76"/>
      <c r="K103" s="52"/>
      <c r="M103" s="76"/>
      <c r="N103" s="29"/>
    </row>
    <row r="104" spans="2:14" x14ac:dyDescent="0.25">
      <c r="B104" s="81">
        <v>45172</v>
      </c>
      <c r="C104" s="76">
        <v>2503.83</v>
      </c>
      <c r="D104" s="29">
        <f t="shared" si="2"/>
        <v>3.5913694901938964E-3</v>
      </c>
      <c r="E104" s="76"/>
      <c r="F104" s="76">
        <v>19819.95</v>
      </c>
      <c r="G104" s="29">
        <f t="shared" si="3"/>
        <v>1.9791307569216876E-2</v>
      </c>
      <c r="H104" s="52"/>
      <c r="I104" s="76"/>
      <c r="K104" s="52"/>
      <c r="M104" s="76"/>
      <c r="N104" s="29"/>
    </row>
    <row r="105" spans="2:14" x14ac:dyDescent="0.25">
      <c r="B105" s="81">
        <v>45165</v>
      </c>
      <c r="C105" s="76">
        <v>2494.87</v>
      </c>
      <c r="D105" s="29">
        <f t="shared" si="2"/>
        <v>-2.2914724796152641E-2</v>
      </c>
      <c r="E105" s="76"/>
      <c r="F105" s="76">
        <v>19435.3</v>
      </c>
      <c r="G105" s="29">
        <f t="shared" si="3"/>
        <v>8.7979736112697715E-3</v>
      </c>
      <c r="H105" s="52"/>
      <c r="I105" s="76"/>
      <c r="K105" s="52"/>
      <c r="M105" s="76"/>
      <c r="N105" s="29"/>
    </row>
    <row r="106" spans="2:14" x14ac:dyDescent="0.25">
      <c r="B106" s="81">
        <v>45158</v>
      </c>
      <c r="C106" s="76">
        <v>2553.38</v>
      </c>
      <c r="D106" s="29">
        <f t="shared" si="2"/>
        <v>3.4425572384089165E-3</v>
      </c>
      <c r="E106" s="76"/>
      <c r="F106" s="76">
        <v>19265.8</v>
      </c>
      <c r="G106" s="29">
        <f t="shared" si="3"/>
        <v>-2.2967196008317758E-3</v>
      </c>
      <c r="H106" s="52"/>
      <c r="I106" s="76"/>
      <c r="K106" s="52"/>
      <c r="M106" s="76"/>
      <c r="N106" s="29"/>
    </row>
    <row r="107" spans="2:14" x14ac:dyDescent="0.25">
      <c r="B107" s="81">
        <v>45151</v>
      </c>
      <c r="C107" s="76">
        <v>2544.62</v>
      </c>
      <c r="D107" s="29">
        <f t="shared" si="2"/>
        <v>2.1164743085541726E-2</v>
      </c>
      <c r="E107" s="76"/>
      <c r="F107" s="76">
        <v>19310.150000000001</v>
      </c>
      <c r="G107" s="29">
        <f t="shared" si="3"/>
        <v>-6.0813349598265454E-3</v>
      </c>
      <c r="H107" s="52"/>
      <c r="I107" s="76"/>
      <c r="K107" s="52"/>
      <c r="M107" s="76"/>
      <c r="N107" s="29"/>
    </row>
    <row r="108" spans="2:14" x14ac:dyDescent="0.25">
      <c r="B108" s="81">
        <v>45144</v>
      </c>
      <c r="C108" s="76">
        <v>2491.88</v>
      </c>
      <c r="D108" s="29">
        <f t="shared" si="2"/>
        <v>-1.7358728656492795E-2</v>
      </c>
      <c r="E108" s="76"/>
      <c r="F108" s="76">
        <v>19428.3</v>
      </c>
      <c r="G108" s="29">
        <f t="shared" si="3"/>
        <v>-4.5447558538710409E-3</v>
      </c>
      <c r="H108" s="52"/>
      <c r="I108" s="76"/>
      <c r="K108" s="52"/>
      <c r="M108" s="76"/>
      <c r="N108" s="29"/>
    </row>
    <row r="109" spans="2:14" x14ac:dyDescent="0.25">
      <c r="B109" s="81">
        <v>45137</v>
      </c>
      <c r="C109" s="76">
        <v>2535.9</v>
      </c>
      <c r="D109" s="29">
        <f t="shared" si="2"/>
        <v>-1.4935809039174908E-2</v>
      </c>
      <c r="E109" s="76"/>
      <c r="F109" s="76">
        <v>19517</v>
      </c>
      <c r="G109" s="29">
        <f t="shared" si="3"/>
        <v>-6.568750461288575E-3</v>
      </c>
      <c r="H109" s="52"/>
      <c r="I109" s="76"/>
      <c r="K109" s="52"/>
      <c r="M109" s="76"/>
      <c r="N109" s="29"/>
    </row>
    <row r="110" spans="2:14" x14ac:dyDescent="0.25">
      <c r="B110" s="81">
        <v>45130</v>
      </c>
      <c r="C110" s="76">
        <v>2574.35</v>
      </c>
      <c r="D110" s="29">
        <f t="shared" si="2"/>
        <v>-7.4489044481372835E-3</v>
      </c>
      <c r="E110" s="76"/>
      <c r="F110" s="76">
        <v>19646.05</v>
      </c>
      <c r="G110" s="29">
        <f t="shared" si="3"/>
        <v>-5.0113952899468739E-3</v>
      </c>
      <c r="H110" s="52"/>
      <c r="I110" s="76"/>
      <c r="K110" s="52"/>
      <c r="M110" s="76"/>
      <c r="N110" s="29"/>
    </row>
    <row r="111" spans="2:14" x14ac:dyDescent="0.25">
      <c r="B111" s="81">
        <v>45123</v>
      </c>
      <c r="C111" s="76">
        <v>2593.67</v>
      </c>
      <c r="D111" s="29">
        <f t="shared" si="2"/>
        <v>-2.7232698741317507E-2</v>
      </c>
      <c r="E111" s="76"/>
      <c r="F111" s="76">
        <v>19745</v>
      </c>
      <c r="G111" s="29">
        <f t="shared" si="3"/>
        <v>9.225893838329613E-3</v>
      </c>
      <c r="H111" s="52"/>
      <c r="I111" s="76"/>
      <c r="K111" s="52"/>
      <c r="M111" s="76"/>
      <c r="N111" s="29"/>
    </row>
    <row r="112" spans="2:14" x14ac:dyDescent="0.25">
      <c r="B112" s="81">
        <v>45116</v>
      </c>
      <c r="C112" s="76">
        <v>2666.28</v>
      </c>
      <c r="D112" s="29">
        <f t="shared" si="2"/>
        <v>-7.8588970752400122E-3</v>
      </c>
      <c r="E112" s="76"/>
      <c r="F112" s="76">
        <v>19564.5</v>
      </c>
      <c r="G112" s="29">
        <f t="shared" si="3"/>
        <v>1.2037161567986399E-2</v>
      </c>
      <c r="H112" s="52"/>
      <c r="I112" s="76"/>
      <c r="K112" s="52"/>
      <c r="M112" s="76"/>
      <c r="N112" s="29"/>
    </row>
    <row r="113" spans="2:14" x14ac:dyDescent="0.25">
      <c r="B113" s="81">
        <v>45109</v>
      </c>
      <c r="C113" s="76">
        <v>2687.4</v>
      </c>
      <c r="D113" s="29">
        <f t="shared" si="2"/>
        <v>7.4488384385553719E-3</v>
      </c>
      <c r="E113" s="76"/>
      <c r="F113" s="76">
        <v>19331.8</v>
      </c>
      <c r="G113" s="29">
        <f t="shared" si="3"/>
        <v>7.4391384669902916E-3</v>
      </c>
      <c r="H113" s="52"/>
      <c r="I113" s="76"/>
      <c r="K113" s="52"/>
      <c r="M113" s="76"/>
      <c r="N113" s="29"/>
    </row>
    <row r="114" spans="2:14" x14ac:dyDescent="0.25">
      <c r="B114" s="81">
        <v>45102</v>
      </c>
      <c r="C114" s="76">
        <v>2667.53</v>
      </c>
      <c r="D114" s="29">
        <f t="shared" si="2"/>
        <v>1.3838213384414377E-2</v>
      </c>
      <c r="E114" s="76"/>
      <c r="F114" s="76">
        <v>19189.05</v>
      </c>
      <c r="G114" s="29">
        <f t="shared" si="3"/>
        <v>2.8049074495727355E-2</v>
      </c>
      <c r="H114" s="52"/>
      <c r="I114" s="76"/>
      <c r="K114" s="52"/>
      <c r="M114" s="76"/>
      <c r="N114" s="29"/>
    </row>
    <row r="115" spans="2:14" x14ac:dyDescent="0.25">
      <c r="B115" s="81">
        <v>45095</v>
      </c>
      <c r="C115" s="76">
        <v>2631.12</v>
      </c>
      <c r="D115" s="29"/>
      <c r="E115" s="76"/>
      <c r="F115" s="76">
        <v>18665.5</v>
      </c>
      <c r="G115" s="29"/>
      <c r="H115" s="52"/>
      <c r="I115" s="76"/>
      <c r="K115" s="52"/>
      <c r="M115" s="76"/>
      <c r="N115" s="29"/>
    </row>
    <row r="116" spans="2:14" x14ac:dyDescent="0.25">
      <c r="M116" s="76"/>
      <c r="N116" s="29"/>
    </row>
    <row r="117" spans="2:14" x14ac:dyDescent="0.25">
      <c r="M117" s="76"/>
      <c r="N117" s="29"/>
    </row>
    <row r="118" spans="2:14" x14ac:dyDescent="0.25">
      <c r="M118" s="76"/>
      <c r="N118" s="29"/>
    </row>
    <row r="119" spans="2:14" x14ac:dyDescent="0.25">
      <c r="M119" s="76"/>
      <c r="N119" s="29"/>
    </row>
    <row r="120" spans="2:14" x14ac:dyDescent="0.25">
      <c r="M120" s="76"/>
      <c r="N120" s="29"/>
    </row>
    <row r="121" spans="2:14" x14ac:dyDescent="0.25">
      <c r="M121" s="76"/>
      <c r="N121" s="29"/>
    </row>
    <row r="122" spans="2:14" x14ac:dyDescent="0.25">
      <c r="M122" s="76"/>
      <c r="N122" s="29"/>
    </row>
  </sheetData>
  <mergeCells count="6">
    <mergeCell ref="B5:J5"/>
    <mergeCell ref="N16:Q16"/>
    <mergeCell ref="S16:V16"/>
    <mergeCell ref="B9:D9"/>
    <mergeCell ref="I9:J9"/>
    <mergeCell ref="F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4179-39F7-41DC-97BB-54673DA6C4B5}">
  <dimension ref="B2:F29"/>
  <sheetViews>
    <sheetView showGridLines="0" workbookViewId="0">
      <selection activeCell="H13" sqref="H13"/>
    </sheetView>
  </sheetViews>
  <sheetFormatPr defaultRowHeight="15" x14ac:dyDescent="0.25"/>
  <cols>
    <col min="1" max="1" width="1.85546875" customWidth="1"/>
    <col min="2" max="2" width="11.140625" customWidth="1"/>
    <col min="3" max="3" width="13" customWidth="1"/>
    <col min="5" max="5" width="18.85546875" bestFit="1" customWidth="1"/>
  </cols>
  <sheetData>
    <row r="2" spans="2:6" x14ac:dyDescent="0.25">
      <c r="B2" s="228" t="s">
        <v>208</v>
      </c>
      <c r="C2" s="228"/>
    </row>
    <row r="4" spans="2:6" x14ac:dyDescent="0.25">
      <c r="B4" s="100" t="s">
        <v>209</v>
      </c>
      <c r="C4" s="5" t="s">
        <v>210</v>
      </c>
    </row>
    <row r="5" spans="2:6" x14ac:dyDescent="0.25">
      <c r="B5" s="83">
        <v>2000</v>
      </c>
      <c r="C5" s="29">
        <v>-0.14649999999999999</v>
      </c>
    </row>
    <row r="6" spans="2:6" x14ac:dyDescent="0.25">
      <c r="B6" s="83">
        <v>2001</v>
      </c>
      <c r="C6" s="29">
        <v>-0.1618</v>
      </c>
      <c r="E6" t="s">
        <v>211</v>
      </c>
      <c r="F6" s="52">
        <f>AVERAGE(C5:C29)</f>
        <v>0.15334799999999998</v>
      </c>
    </row>
    <row r="7" spans="2:6" x14ac:dyDescent="0.25">
      <c r="B7" s="83">
        <v>2002</v>
      </c>
      <c r="C7" s="29">
        <v>3.2500000000000001E-2</v>
      </c>
      <c r="E7" t="s">
        <v>212</v>
      </c>
      <c r="F7" s="52">
        <v>1.29E-2</v>
      </c>
    </row>
    <row r="8" spans="2:6" x14ac:dyDescent="0.25">
      <c r="B8" s="83">
        <v>2003</v>
      </c>
      <c r="C8" s="29">
        <v>0.71900000000000008</v>
      </c>
      <c r="E8" s="102" t="s">
        <v>213</v>
      </c>
      <c r="F8" s="101">
        <f>SUM(F6:F7)</f>
        <v>0.16624799999999998</v>
      </c>
    </row>
    <row r="9" spans="2:6" x14ac:dyDescent="0.25">
      <c r="B9" s="83">
        <v>2004</v>
      </c>
      <c r="C9" s="29">
        <v>0.10679999999999999</v>
      </c>
    </row>
    <row r="10" spans="2:6" x14ac:dyDescent="0.25">
      <c r="B10" s="83">
        <v>2005</v>
      </c>
      <c r="C10" s="29">
        <v>0.36340000000000006</v>
      </c>
    </row>
    <row r="11" spans="2:6" x14ac:dyDescent="0.25">
      <c r="B11" s="83">
        <v>2006</v>
      </c>
      <c r="C11" s="29">
        <v>0.39829999999999999</v>
      </c>
    </row>
    <row r="12" spans="2:6" x14ac:dyDescent="0.25">
      <c r="B12" s="83">
        <v>2007</v>
      </c>
      <c r="C12" s="29">
        <v>0.54770000000000008</v>
      </c>
    </row>
    <row r="13" spans="2:6" x14ac:dyDescent="0.25">
      <c r="B13" s="83">
        <v>2008</v>
      </c>
      <c r="C13" s="29">
        <v>-0.51790000000000003</v>
      </c>
    </row>
    <row r="14" spans="2:6" x14ac:dyDescent="0.25">
      <c r="B14" s="83">
        <v>2009</v>
      </c>
      <c r="C14" s="29">
        <v>0.75760000000000005</v>
      </c>
    </row>
    <row r="15" spans="2:6" x14ac:dyDescent="0.25">
      <c r="B15" s="83">
        <v>2010</v>
      </c>
      <c r="C15" s="29">
        <v>0.17949999999999999</v>
      </c>
    </row>
    <row r="16" spans="2:6" x14ac:dyDescent="0.25">
      <c r="B16" s="83">
        <v>2011</v>
      </c>
      <c r="C16" s="29">
        <v>-0.2462</v>
      </c>
    </row>
    <row r="17" spans="2:3" x14ac:dyDescent="0.25">
      <c r="B17" s="83">
        <v>2012</v>
      </c>
      <c r="C17" s="29">
        <v>0.27699999999999997</v>
      </c>
    </row>
    <row r="18" spans="2:3" x14ac:dyDescent="0.25">
      <c r="B18" s="83">
        <v>2013</v>
      </c>
      <c r="C18" s="29">
        <v>6.7599999999999993E-2</v>
      </c>
    </row>
    <row r="19" spans="2:3" x14ac:dyDescent="0.25">
      <c r="B19" s="83">
        <v>2014</v>
      </c>
      <c r="C19" s="29">
        <v>0.31390000000000001</v>
      </c>
    </row>
    <row r="20" spans="2:3" x14ac:dyDescent="0.25">
      <c r="B20" s="83">
        <v>2015</v>
      </c>
      <c r="C20" s="29">
        <v>-4.0599999999999997E-2</v>
      </c>
    </row>
    <row r="21" spans="2:3" x14ac:dyDescent="0.25">
      <c r="B21" s="83">
        <v>2016</v>
      </c>
      <c r="C21" s="29">
        <v>3.0099999999999998E-2</v>
      </c>
    </row>
    <row r="22" spans="2:3" x14ac:dyDescent="0.25">
      <c r="B22" s="83">
        <v>2017</v>
      </c>
      <c r="C22" s="29">
        <v>0.28649999999999998</v>
      </c>
    </row>
    <row r="23" spans="2:3" x14ac:dyDescent="0.25">
      <c r="B23" s="83">
        <v>2018</v>
      </c>
      <c r="C23" s="29">
        <v>3.15E-2</v>
      </c>
    </row>
    <row r="24" spans="2:3" x14ac:dyDescent="0.25">
      <c r="B24" s="83">
        <v>2019</v>
      </c>
      <c r="C24" s="29">
        <v>0.1202</v>
      </c>
    </row>
    <row r="25" spans="2:3" x14ac:dyDescent="0.25">
      <c r="B25" s="83">
        <v>2020</v>
      </c>
      <c r="C25" s="29">
        <v>0.14899999999999999</v>
      </c>
    </row>
    <row r="26" spans="2:3" x14ac:dyDescent="0.25">
      <c r="B26" s="83">
        <v>2021</v>
      </c>
      <c r="C26" s="29">
        <v>0.2412</v>
      </c>
    </row>
    <row r="27" spans="2:3" x14ac:dyDescent="0.25">
      <c r="B27" s="83">
        <v>2022</v>
      </c>
      <c r="C27" s="29">
        <v>4.3200000000000002E-2</v>
      </c>
    </row>
    <row r="28" spans="2:3" x14ac:dyDescent="0.25">
      <c r="B28" s="83">
        <v>2023</v>
      </c>
      <c r="C28" s="29">
        <v>0.19420000000000001</v>
      </c>
    </row>
    <row r="29" spans="2:3" x14ac:dyDescent="0.25">
      <c r="B29" s="83">
        <v>2024</v>
      </c>
      <c r="C29" s="29">
        <v>8.7499999999999994E-2</v>
      </c>
    </row>
  </sheetData>
  <mergeCells count="1"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9057-3661-40F2-82DC-694E30BBA326}">
  <sheetPr>
    <tabColor rgb="FF002060"/>
  </sheetPr>
  <dimension ref="B2:K42"/>
  <sheetViews>
    <sheetView showGridLines="0" topLeftCell="A29" zoomScaleNormal="100" workbookViewId="0">
      <selection activeCell="B5" sqref="B5:K5"/>
    </sheetView>
  </sheetViews>
  <sheetFormatPr defaultRowHeight="15" x14ac:dyDescent="0.25"/>
  <cols>
    <col min="1" max="1" width="1.85546875" customWidth="1"/>
    <col min="2" max="2" width="25.42578125" customWidth="1"/>
    <col min="5" max="5" width="10.5703125" customWidth="1"/>
    <col min="6" max="6" width="11.42578125" customWidth="1"/>
    <col min="8" max="8" width="8.140625" customWidth="1"/>
    <col min="11" max="11" width="10.7109375" bestFit="1" customWidth="1"/>
  </cols>
  <sheetData>
    <row r="2" spans="2:11" ht="26.25" x14ac:dyDescent="0.4">
      <c r="B2" s="92" t="s">
        <v>3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25">
      <c r="B3" s="93" t="s">
        <v>182</v>
      </c>
      <c r="C3" s="93" t="s">
        <v>183</v>
      </c>
      <c r="D3" s="93"/>
      <c r="E3" s="3"/>
      <c r="F3" s="3"/>
      <c r="G3" s="3"/>
      <c r="H3" s="3"/>
      <c r="I3" s="3"/>
      <c r="J3" s="3"/>
      <c r="K3" s="3"/>
    </row>
    <row r="5" spans="2:11" ht="18.75" x14ac:dyDescent="0.3">
      <c r="B5" s="230" t="s">
        <v>195</v>
      </c>
      <c r="C5" s="230"/>
      <c r="D5" s="230"/>
      <c r="E5" s="230"/>
      <c r="F5" s="230"/>
      <c r="G5" s="230"/>
      <c r="H5" s="230"/>
      <c r="I5" s="230"/>
      <c r="J5" s="230"/>
      <c r="K5" s="230"/>
    </row>
    <row r="7" spans="2:11" x14ac:dyDescent="0.25">
      <c r="B7" s="90" t="s">
        <v>193</v>
      </c>
      <c r="C7" s="2"/>
      <c r="D7" s="2"/>
      <c r="E7" s="2"/>
      <c r="F7" s="2"/>
      <c r="G7" s="2"/>
      <c r="H7" s="2"/>
      <c r="I7" s="2"/>
      <c r="J7" s="2"/>
      <c r="K7" s="2"/>
    </row>
    <row r="8" spans="2:11" x14ac:dyDescent="0.25">
      <c r="B8" s="115"/>
      <c r="C8" s="115"/>
      <c r="D8" s="115"/>
      <c r="E8" s="115"/>
      <c r="F8" s="115"/>
      <c r="G8" s="115"/>
      <c r="H8" s="115" t="s">
        <v>184</v>
      </c>
      <c r="I8" s="115" t="s">
        <v>185</v>
      </c>
      <c r="J8" s="115" t="s">
        <v>186</v>
      </c>
      <c r="K8" s="115" t="s">
        <v>187</v>
      </c>
    </row>
    <row r="9" spans="2:11" ht="17.25" x14ac:dyDescent="0.25">
      <c r="B9" s="116" t="s">
        <v>194</v>
      </c>
      <c r="C9" s="116" t="s">
        <v>188</v>
      </c>
      <c r="D9" s="116"/>
      <c r="E9" s="116" t="s">
        <v>189</v>
      </c>
      <c r="F9" s="116" t="s">
        <v>190</v>
      </c>
      <c r="G9" s="116" t="s">
        <v>237</v>
      </c>
      <c r="H9" s="116" t="s">
        <v>191</v>
      </c>
      <c r="I9" s="116" t="s">
        <v>192</v>
      </c>
      <c r="J9" s="116" t="s">
        <v>238</v>
      </c>
      <c r="K9" s="116" t="s">
        <v>239</v>
      </c>
    </row>
    <row r="10" spans="2:11" x14ac:dyDescent="0.25">
      <c r="B10" s="94" t="s">
        <v>198</v>
      </c>
      <c r="C10" s="94" t="s">
        <v>206</v>
      </c>
      <c r="D10" s="94"/>
      <c r="E10" s="94">
        <v>1648</v>
      </c>
      <c r="F10" s="112">
        <v>569423</v>
      </c>
      <c r="G10" s="95">
        <v>0.3</v>
      </c>
      <c r="H10" s="121">
        <f>E10/F10</f>
        <v>2.8941577702340793E-3</v>
      </c>
      <c r="I10" s="121">
        <f>E10/(E10+F10)</f>
        <v>2.8858057929749539E-3</v>
      </c>
      <c r="J10" s="94">
        <v>0.53</v>
      </c>
      <c r="K10" s="120">
        <f>J10/(1+(1-G10)*H10)</f>
        <v>0.52892843835516568</v>
      </c>
    </row>
    <row r="11" spans="2:11" x14ac:dyDescent="0.25">
      <c r="B11" s="94" t="s">
        <v>199</v>
      </c>
      <c r="C11" s="94" t="s">
        <v>206</v>
      </c>
      <c r="D11" s="94"/>
      <c r="E11" s="94">
        <v>284.54000000000002</v>
      </c>
      <c r="F11" s="112">
        <v>525030</v>
      </c>
      <c r="G11" s="95">
        <v>0.3</v>
      </c>
      <c r="H11" s="121">
        <f>E11/F11</f>
        <v>5.4194998381044892E-4</v>
      </c>
      <c r="I11" s="121">
        <f t="shared" ref="I11:I13" si="0">E11/(E11+F11)</f>
        <v>5.416564331152913E-4</v>
      </c>
      <c r="J11" s="94">
        <v>0.6</v>
      </c>
      <c r="K11" s="120">
        <f t="shared" ref="K11:K13" si="1">J11/(1+(1-G11)*H11)</f>
        <v>0.59977246732473033</v>
      </c>
    </row>
    <row r="12" spans="2:11" x14ac:dyDescent="0.25">
      <c r="B12" s="94" t="s">
        <v>200</v>
      </c>
      <c r="C12" s="94" t="s">
        <v>206</v>
      </c>
      <c r="D12" s="94"/>
      <c r="E12" s="94">
        <v>895.95</v>
      </c>
      <c r="F12" s="114">
        <v>6709</v>
      </c>
      <c r="G12" s="95">
        <v>0.3</v>
      </c>
      <c r="H12" s="121">
        <f>E12/F12</f>
        <v>0.13354449247279773</v>
      </c>
      <c r="I12" s="121">
        <f t="shared" si="0"/>
        <v>0.11781142545315881</v>
      </c>
      <c r="J12" s="94">
        <v>0.88</v>
      </c>
      <c r="K12" s="120">
        <f t="shared" si="1"/>
        <v>0.80476924932849792</v>
      </c>
    </row>
    <row r="13" spans="2:11" x14ac:dyDescent="0.25">
      <c r="B13" s="94" t="s">
        <v>201</v>
      </c>
      <c r="C13" s="94" t="s">
        <v>206</v>
      </c>
      <c r="D13" s="94"/>
      <c r="E13" s="94">
        <v>489.77</v>
      </c>
      <c r="F13" s="113">
        <v>1432</v>
      </c>
      <c r="G13" s="95">
        <v>0.3</v>
      </c>
      <c r="H13" s="121">
        <f>E13/F13</f>
        <v>0.342018156424581</v>
      </c>
      <c r="I13" s="121">
        <f t="shared" si="0"/>
        <v>0.25485359850554434</v>
      </c>
      <c r="J13" s="94">
        <v>0.86</v>
      </c>
      <c r="K13" s="120">
        <f t="shared" si="1"/>
        <v>0.69387702208482005</v>
      </c>
    </row>
    <row r="15" spans="2:11" x14ac:dyDescent="0.25">
      <c r="B15" s="1"/>
      <c r="C15" s="1"/>
      <c r="D15" s="1"/>
      <c r="E15" s="1"/>
      <c r="F15" s="91" t="s">
        <v>207</v>
      </c>
      <c r="G15" s="122">
        <f>AVERAGE(G9:G13)</f>
        <v>0.3</v>
      </c>
      <c r="H15" s="96">
        <f>AVERAGE(H10:H13)</f>
        <v>0.1197496891628558</v>
      </c>
      <c r="I15" s="96">
        <f t="shared" ref="I15:K15" si="2">AVERAGE(I9:I13)</f>
        <v>9.4023121546198352E-2</v>
      </c>
      <c r="J15" s="97">
        <f t="shared" si="2"/>
        <v>0.71749999999999992</v>
      </c>
      <c r="K15" s="97">
        <f t="shared" si="2"/>
        <v>0.65683679427330355</v>
      </c>
    </row>
    <row r="16" spans="2:11" x14ac:dyDescent="0.25">
      <c r="B16" s="3"/>
      <c r="C16" s="3"/>
      <c r="D16" s="3"/>
      <c r="E16" s="3"/>
      <c r="F16" s="93" t="s">
        <v>155</v>
      </c>
      <c r="G16" s="123">
        <f>MEDIAN(G9:G13)</f>
        <v>0.3</v>
      </c>
      <c r="H16" s="98">
        <f>MEDIAN(H10:H13)</f>
        <v>6.8219325121515906E-2</v>
      </c>
      <c r="I16" s="98">
        <f t="shared" ref="I16:K16" si="3">MEDIAN(I9:I13)</f>
        <v>6.0348615623066884E-2</v>
      </c>
      <c r="J16" s="99">
        <f t="shared" si="3"/>
        <v>0.73</v>
      </c>
      <c r="K16" s="99">
        <f t="shared" si="3"/>
        <v>0.64682474470477525</v>
      </c>
    </row>
    <row r="19" spans="2:11" x14ac:dyDescent="0.25">
      <c r="B19" s="117" t="s">
        <v>222</v>
      </c>
      <c r="C19" s="118"/>
      <c r="D19" s="118"/>
      <c r="E19" s="118"/>
      <c r="F19" s="106"/>
      <c r="G19" s="117" t="s">
        <v>214</v>
      </c>
      <c r="H19" s="118"/>
      <c r="I19" s="118"/>
      <c r="J19" s="118"/>
      <c r="K19" s="118"/>
    </row>
    <row r="20" spans="2:11" x14ac:dyDescent="0.25">
      <c r="F20" s="107"/>
    </row>
    <row r="21" spans="2:11" x14ac:dyDescent="0.25">
      <c r="B21" t="s">
        <v>223</v>
      </c>
      <c r="E21" s="125">
        <f>395/1648</f>
        <v>0.23968446601941748</v>
      </c>
      <c r="F21" s="108"/>
      <c r="G21" t="s">
        <v>215</v>
      </c>
      <c r="K21" s="103">
        <v>6.7900000000000002E-2</v>
      </c>
    </row>
    <row r="22" spans="2:11" x14ac:dyDescent="0.25">
      <c r="B22" t="s">
        <v>221</v>
      </c>
      <c r="E22" s="95">
        <v>0.3</v>
      </c>
      <c r="F22" s="108"/>
      <c r="G22" t="s">
        <v>216</v>
      </c>
      <c r="K22" s="104">
        <f>Rm!F8-WACC!K21</f>
        <v>9.8347999999999977E-2</v>
      </c>
    </row>
    <row r="23" spans="2:11" ht="17.25" x14ac:dyDescent="0.25">
      <c r="B23" s="126" t="s">
        <v>224</v>
      </c>
      <c r="C23" s="126"/>
      <c r="D23" s="126"/>
      <c r="E23" s="131">
        <f>E21*(1-E22)</f>
        <v>0.16777912621359223</v>
      </c>
      <c r="F23" s="60"/>
      <c r="G23" t="s">
        <v>217</v>
      </c>
      <c r="K23" s="124">
        <f>K32</f>
        <v>0.65067335193576858</v>
      </c>
    </row>
    <row r="24" spans="2:11" x14ac:dyDescent="0.25">
      <c r="G24" s="126" t="s">
        <v>214</v>
      </c>
      <c r="H24" s="126"/>
      <c r="I24" s="126"/>
      <c r="J24" s="126"/>
      <c r="K24" s="131">
        <f>K21+K22*K23</f>
        <v>0.13189242281617897</v>
      </c>
    </row>
    <row r="27" spans="2:11" x14ac:dyDescent="0.25">
      <c r="B27" s="119" t="s">
        <v>240</v>
      </c>
      <c r="C27" s="116"/>
      <c r="D27" s="116"/>
      <c r="E27" s="116"/>
      <c r="G27" s="119" t="s">
        <v>218</v>
      </c>
      <c r="H27" s="116"/>
      <c r="I27" s="116"/>
      <c r="J27" s="116"/>
      <c r="K27" s="116"/>
    </row>
    <row r="29" spans="2:11" x14ac:dyDescent="0.25">
      <c r="D29" s="93" t="s">
        <v>229</v>
      </c>
      <c r="E29" s="93" t="s">
        <v>225</v>
      </c>
      <c r="G29" t="s">
        <v>219</v>
      </c>
      <c r="K29" s="84">
        <f>K16</f>
        <v>0.64682474470477525</v>
      </c>
    </row>
    <row r="30" spans="2:11" x14ac:dyDescent="0.25">
      <c r="B30" t="s">
        <v>189</v>
      </c>
      <c r="C30" s="75">
        <v>1648</v>
      </c>
      <c r="D30" s="29">
        <f>I10</f>
        <v>2.8858057929749539E-3</v>
      </c>
      <c r="E30" s="103">
        <v>8.5000000000000006E-3</v>
      </c>
      <c r="G30" t="s">
        <v>220</v>
      </c>
      <c r="K30" s="52">
        <f>E34</f>
        <v>8.5000000000000006E-3</v>
      </c>
    </row>
    <row r="31" spans="2:11" x14ac:dyDescent="0.25">
      <c r="B31" t="s">
        <v>226</v>
      </c>
      <c r="C31" s="75">
        <f>F10</f>
        <v>569423</v>
      </c>
      <c r="D31" s="29">
        <f>D32-D30</f>
        <v>0.99711419420702507</v>
      </c>
      <c r="E31" s="52">
        <f>E32-E30</f>
        <v>0.99150000000000005</v>
      </c>
      <c r="G31" t="s">
        <v>221</v>
      </c>
      <c r="K31" s="105">
        <f>E22</f>
        <v>0.3</v>
      </c>
    </row>
    <row r="32" spans="2:11" x14ac:dyDescent="0.25">
      <c r="B32" s="126" t="s">
        <v>227</v>
      </c>
      <c r="C32" s="128">
        <f>SUM(C30:C31)</f>
        <v>571071</v>
      </c>
      <c r="D32" s="129">
        <v>1</v>
      </c>
      <c r="E32" s="130">
        <v>1</v>
      </c>
      <c r="G32" s="126" t="s">
        <v>218</v>
      </c>
      <c r="H32" s="126"/>
      <c r="I32" s="126"/>
      <c r="J32" s="126"/>
      <c r="K32" s="127">
        <f>K29*(1+(1-K31)*K30)</f>
        <v>0.65067335193576858</v>
      </c>
    </row>
    <row r="34" spans="2:11" x14ac:dyDescent="0.25">
      <c r="B34" s="132" t="s">
        <v>228</v>
      </c>
      <c r="C34" s="132"/>
      <c r="D34" s="133">
        <f>D30</f>
        <v>2.8858057929749539E-3</v>
      </c>
      <c r="E34" s="133">
        <f>E30</f>
        <v>8.5000000000000006E-3</v>
      </c>
      <c r="G34" s="119" t="s">
        <v>195</v>
      </c>
      <c r="H34" s="119"/>
      <c r="I34" s="119"/>
      <c r="J34" s="119"/>
      <c r="K34" s="119"/>
    </row>
    <row r="36" spans="2:11" x14ac:dyDescent="0.25">
      <c r="B36" s="135" t="s">
        <v>232</v>
      </c>
      <c r="C36" s="136"/>
      <c r="D36" s="136"/>
      <c r="E36" s="134"/>
      <c r="G36" t="s">
        <v>214</v>
      </c>
      <c r="J36" s="35"/>
      <c r="K36" s="125">
        <f>K24</f>
        <v>0.13189242281617897</v>
      </c>
    </row>
    <row r="37" spans="2:11" x14ac:dyDescent="0.25">
      <c r="B37" s="111" t="s">
        <v>233</v>
      </c>
      <c r="G37" t="s">
        <v>230</v>
      </c>
      <c r="J37" s="52"/>
      <c r="K37" s="52">
        <f>E31</f>
        <v>0.99150000000000005</v>
      </c>
    </row>
    <row r="38" spans="2:11" x14ac:dyDescent="0.25">
      <c r="B38" s="111" t="s">
        <v>234</v>
      </c>
    </row>
    <row r="39" spans="2:11" x14ac:dyDescent="0.25">
      <c r="B39" s="111" t="s">
        <v>235</v>
      </c>
      <c r="G39" t="s">
        <v>222</v>
      </c>
      <c r="K39" s="110">
        <f>E23</f>
        <v>0.16777912621359223</v>
      </c>
    </row>
    <row r="40" spans="2:11" x14ac:dyDescent="0.25">
      <c r="B40" s="111" t="s">
        <v>236</v>
      </c>
      <c r="G40" t="s">
        <v>231</v>
      </c>
      <c r="K40" s="52">
        <f>E30</f>
        <v>8.5000000000000006E-3</v>
      </c>
    </row>
    <row r="42" spans="2:11" x14ac:dyDescent="0.25">
      <c r="G42" s="137" t="s">
        <v>195</v>
      </c>
      <c r="H42" s="137"/>
      <c r="I42" s="137"/>
      <c r="J42" s="137"/>
      <c r="K42" s="138">
        <f>(K36*K37)+(K39*K40)</f>
        <v>0.13219745979505701</v>
      </c>
    </row>
  </sheetData>
  <mergeCells count="1">
    <mergeCell ref="B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One Pager</vt:lpstr>
      <vt:lpstr>Historical FS</vt:lpstr>
      <vt:lpstr>Cash Flow </vt:lpstr>
      <vt:lpstr>Common Size</vt:lpstr>
      <vt:lpstr>Ratio Analysis</vt:lpstr>
      <vt:lpstr>Forecasting</vt:lpstr>
      <vt:lpstr>Beta</vt:lpstr>
      <vt:lpstr>Rm</vt:lpstr>
      <vt:lpstr>WACC</vt:lpstr>
      <vt:lpstr>ROIC</vt:lpstr>
      <vt:lpstr>DCF</vt:lpstr>
      <vt:lpstr>Relative Valuation</vt:lpstr>
      <vt:lpstr>VaR</vt:lpstr>
      <vt:lpstr>Sheet2</vt:lpstr>
      <vt:lpstr>Data Sheet</vt:lpstr>
      <vt:lpstr>Peer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Banka</dc:creator>
  <cp:lastModifiedBy>Harshit Banka</cp:lastModifiedBy>
  <cp:lastPrinted>2025-07-10T11:40:45Z</cp:lastPrinted>
  <dcterms:created xsi:type="dcterms:W3CDTF">2025-06-13T08:18:11Z</dcterms:created>
  <dcterms:modified xsi:type="dcterms:W3CDTF">2025-07-17T13:37:09Z</dcterms:modified>
</cp:coreProperties>
</file>