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<sst xmlns="http://schemas.openxmlformats.org/spreadsheetml/2006/main" uniqueCount="139">
  <si>
    <t>COTIZACION Nº20240000001</t>
  </si>
  <si>
    <t>NOMBRE:</t>
  </si>
  <si>
    <t>Edison Benicio Mayhualla</t>
  </si>
  <si>
    <t>CESAR ANTONIO ORTIZ OCAMPO</t>
  </si>
  <si>
    <t>SERVICIO:</t>
  </si>
  <si>
    <t>CARGA CONSOLIDADA</t>
  </si>
  <si>
    <t>N° CAJAS:</t>
  </si>
  <si>
    <t>DNI/RUC:</t>
  </si>
  <si>
    <t>FECHA:</t>
  </si>
  <si>
    <t>PESO:</t>
  </si>
  <si>
    <t>1.227 Tn</t>
  </si>
  <si>
    <t>CORREO:</t>
  </si>
  <si>
    <t>ORIGEN:</t>
  </si>
  <si>
    <t>CHINA</t>
  </si>
  <si>
    <t>MEDIDA</t>
  </si>
  <si>
    <t>TELEFONO:</t>
  </si>
  <si>
    <t>51 997 412 500</t>
  </si>
  <si>
    <t>CLIENTE:</t>
  </si>
  <si>
    <t>NUEVO</t>
  </si>
  <si>
    <t>MANUAL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</si>
  <si>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</si>
  <si>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</si>
  <si>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</si>
  <si>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</si>
  <si>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</si>
  <si>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</si>
  <si>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</si>
  <si>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</si>
  <si>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</si>
  <si>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</si>
  <si>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</si>
  <si>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</si>
  <si>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CESAR ANTONIO ORTIZ OCAMPO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</si>
  <si>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</si>
  <si>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</si>
  <si>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24. Concepto no facturable: Advalorem, Percepción, Anti-Dumping o Gestión de Compra</t>
  </si>
  <si>
    <t>23. La factura o boleta se emitirá con base al valor CIF de la cotización final.</t>
  </si>
  <si>
    <t>22. El cliente tendra un plazo de 24 horas despues de la entrega para presentar algun tipo de reclamo.</t>
  </si>
  <si>
    <t>21.Se emitirá comprobante (boleta o Factura) de su importación en base a la estrategia de declaración realizada.</t>
  </si>
  <si>
    <t>20.Las mercancías son declaradas a nombre de la empresa Grupo Pro Business.</t>
  </si>
  <si>
    <t>19.La fecha de entrega es aproximada, está sujeto a variaciones de linea naviera o aduanas.</t>
  </si>
  <si>
    <t>18.No somos responsable de las mermas o faltante de la carga (entregamos su pedido tal cual el proveedor envío).</t>
  </si>
  <si>
    <t>17.Los ajustes de valor que aplique la aduana serán asumidos por el cliente.</t>
  </si>
  <si>
    <t>16.Si el cliente no paga los tributos o gastos administrativos de su cotización, Pro Business será dueño total de la carga.</t>
  </si>
  <si>
    <t xml:space="preserve">15.El cliente estará sujeto a pagar mayor el ad- valorem en caso aduanas aplique cambios de partida. </t>
  </si>
  <si>
    <t>se procederá a realizar las acciones legales del caso.</t>
  </si>
  <si>
    <t xml:space="preserve">14.En caso el cliente esté importando una carga que no sea legal y la empresa Pro Business se vea perjudicada, </t>
  </si>
  <si>
    <t>de acogerse a un beneficio arancelario (C.O) o pueda tener perdida en aduanas por informacion incompleta.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</si>
  <si>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</si>
  <si>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12.No se aceptan productos restringido que no cuenten con permiso.</t>
  </si>
  <si>
    <t>11. El costo por metro cubico incluye: Flete – Ag. Aduana – Costos en destino.</t>
  </si>
  <si>
    <t>10. Si el cliente quiere cambiar la salida de su carga debera informar 4 día antes de la fecha de cierre.</t>
  </si>
  <si>
    <t>9.No hay opción de reembolso.</t>
  </si>
  <si>
    <t>coordinador  logístico la tarifa.</t>
  </si>
  <si>
    <t>8. Las cargas mayores a 200 kg x bulto tendrán un costo adicional por manipuleo, consultar con el</t>
  </si>
  <si>
    <t>Costo: desde s/20.00</t>
  </si>
  <si>
    <t>7.Los envíos a provincia se realizan a través de la agencia Marvisur o Shalom, con previo pago de flete interno.</t>
  </si>
  <si>
    <t>6.Se procederá a cobrar S/.30 x día de almacenaje si el cliente no recoge su pedido en el plazo acordado.</t>
  </si>
  <si>
    <t>5.Los pagos realizados fuera de fecha están sujetos a un recargo de S/.30 por día.</t>
  </si>
  <si>
    <t>En caso contrario, asumirá el costo de  almacenaje $30 y será embarcado en la próxima salida.</t>
  </si>
  <si>
    <t>4. La carga deberá llegar al almacén –Yiwu en el rango de fecha indicado por su asesor.</t>
  </si>
  <si>
    <t>3. No somos responsables de retraso del proveedor para entregar la carga.</t>
  </si>
  <si>
    <t xml:space="preserve"> No se aceptan marcas con medidas  de frontera. </t>
  </si>
  <si>
    <t>2.Todas las marcas de los productos deben ser verificadas por el cliente,</t>
  </si>
  <si>
    <t xml:space="preserve">1. Todos los pagos se realizan en dólares. </t>
  </si>
  <si>
    <t>TÉRMINOS Y CONDICIONES: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</si>
  <si>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</si>
  <si>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</si>
  <si>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</si>
  <si>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</si>
  <si>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t>Incluye Valor de Carga + Servicio de Consolidado + Pago de Impuestos</t>
  </si>
  <si>
    <t>INVERSION TOTAL</t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</si>
  <si>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</si>
  <si>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</si>
  <si>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Pago de Impuestos antes del Arribo 13/08</t>
  </si>
  <si>
    <t>SEGUNDO PAGO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</si>
  <si>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</si>
  <si>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Servicio de Consolidado antes de la Fecha de Corte 30/06</t>
  </si>
  <si>
    <t>PRIMER PAGO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</si>
  <si>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</si>
  <si>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NOTAS:</t>
  </si>
  <si>
    <t>FECHAS:</t>
  </si>
  <si>
    <t>RESUMEN DE PAGOS DE SERVICIO DE IMPORTACIÓN</t>
  </si>
  <si>
    <t>TOTAL</t>
  </si>
  <si>
    <t>CINTURON PARA LEVANTAMIENTO DE PESO</t>
  </si>
  <si>
    <t>ZAPATILLAS PARA HALTEROFILIA</t>
  </si>
  <si>
    <t>ZAPATILLAS PARA BOXEO</t>
  </si>
  <si>
    <t>VALOR PERU SOLES</t>
  </si>
  <si>
    <t>VALOR PERU USD</t>
  </si>
  <si>
    <t>VALOR CHINA USD</t>
  </si>
  <si>
    <t>NOMBRE PRODUCTO</t>
  </si>
  <si>
    <t># ITEM</t>
  </si>
  <si>
    <t>MUÑEQUERAS PARA LEVANTAMIENTO DE PESAS</t>
  </si>
  <si>
    <t>RESUMEN DE COSTOS UNITARIOS</t>
  </si>
  <si>
    <t>MONTO TOTAL</t>
  </si>
  <si>
    <t>IMPUESTOS</t>
  </si>
  <si>
    <t>SERVICIO DE IMPORTACIÓN  (ORIGEN -FLETE - DESTINO)</t>
  </si>
  <si>
    <t>VALOR DE CARGA (PAGO AL PROVEEDOR)</t>
  </si>
  <si>
    <t>RESUMEN DE COTIZACIÓN</t>
  </si>
  <si>
    <t>3.5%</t>
  </si>
  <si>
    <t>PERCEPCIÓN</t>
  </si>
  <si>
    <t>SUB TOTAL</t>
  </si>
  <si>
    <t>ANTIDUMPING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</si>
  <si>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</si>
  <si>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</si>
  <si>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</si>
  <si>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</si>
  <si>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</si>
  <si>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</si>
  <si>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</si>
  <si>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</si>
  <si>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</si>
  <si>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</si>
  <si>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</si>
  <si>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</si>
  <si>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</si>
  <si>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</si>
  <si>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</si>
  <si>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</si>
  <si>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MALETIN PARA GIMNASIO</t>
  </si>
  <si>
    <t>MOCHILA PARA GIMNASIO</t>
  </si>
  <si>
    <t>ZAPATILLA PARA GIMNASIO</t>
  </si>
  <si>
    <t>RODILLERAS PARA HALTEROFILIA</t>
  </si>
  <si>
    <t>BARRA OLÍMPICA PARA GIMNASIO</t>
  </si>
  <si>
    <t>KIT DE DISCOS PARA PESAS</t>
  </si>
  <si>
    <t>RACK PARA ALZAR PESAS JK-01</t>
  </si>
  <si>
    <t>MÁQUINA DE GIMNASIO PARA SENTADILLAS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</si>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</sst>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&quot;$&quot;#,##0_-"/>
    <numFmt numFmtId="175" formatCode="0.00&quot; tn&quot;"/>
    <numFmt numFmtId="176" formatCode="&quot;S/.&quot; #,##0.00_-"/>
    <numFmt numFmtId="177" formatCode="_-[$$-409]* #,##0.0_ ;_-[$$-409]* \-#,##0.0\ ;_-[$$-409]* &quot;-&quot;??_ ;_-@_ 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  <fill>
      <patternFill patternType="solid">
        <fgColor rgb="FFFFFF33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1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3" applyFont="1" applyNumberFormat="1" applyFill="1" applyBorder="1" applyAlignment="1">
      <alignment horizontal="center" vertical="center" textRotation="0" wrapText="tru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4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4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5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4" fillId="0" borderId="9" applyFont="1" applyNumberFormat="1" applyFill="0" applyBorder="1" applyAlignment="0"/>
    <xf xfId="0" fontId="0" numFmtId="176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2" numFmtId="0" fillId="13" borderId="0" applyFont="1" applyNumberFormat="0" applyFill="1" applyBorder="0" applyAlignment="0"/>
    <xf xfId="0" fontId="0" numFmtId="9" fillId="13" borderId="0" applyFont="0" applyNumberFormat="1" applyFill="1" applyBorder="0" applyAlignment="1">
      <alignment horizontal="center" vertical="bottom" textRotation="0" wrapText="false" shrinkToFit="false"/>
    </xf>
    <xf xfId="0" fontId="2" numFmtId="166" fillId="13" borderId="0" applyFont="1" applyNumberFormat="1" applyFill="1" applyBorder="0" applyAlignment="1">
      <alignment horizontal="center" vertical="bottom" textRotation="0" wrapText="false" shrinkToFit="false"/>
    </xf>
    <xf xfId="0" fontId="2" numFmtId="0" fillId="13" borderId="0" applyFont="1" applyNumberFormat="0" applyFill="1" applyBorder="0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0"/>
    <xf xfId="0" fontId="7" numFmtId="0" fillId="5" borderId="9" applyFont="1" applyNumberFormat="0" applyFill="1" applyBorder="1" applyAlignment="1">
      <alignment horizontal="center" vertical="bottom" textRotation="0" wrapText="false" shrinkToFit="false"/>
    </xf>
    <xf xfId="0" fontId="7" numFmtId="174" fillId="5" borderId="9" applyFont="1" applyNumberFormat="1" applyFill="1" applyBorder="1" applyAlignment="1">
      <alignment horizontal="center" vertical="bottom" textRotation="0" wrapText="false" shrinkToFit="false"/>
    </xf>
    <xf xfId="0" fontId="7" numFmtId="176" fillId="5" borderId="9" applyFont="1" applyNumberFormat="1" applyFill="1" applyBorder="1" applyAlignment="1">
      <alignment horizontal="center" vertical="bottom" textRotation="0" wrapText="false" shrinkToFit="false"/>
    </xf>
    <xf xfId="0" fontId="8" numFmtId="174" fillId="5" borderId="9" applyFont="1" applyNumberFormat="1" applyFill="1" applyBorder="1" applyAlignment="1">
      <alignment horizontal="center" vertical="bottom" textRotation="0" wrapText="false" shrinkToFit="false"/>
    </xf>
    <xf xfId="0" fontId="8" numFmtId="176" fillId="5" borderId="9" applyFont="1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0"/>
    <xf xfId="0" fontId="9" numFmtId="174" fillId="2" borderId="9" applyFont="1" applyNumberFormat="1" applyFill="1" applyBorder="1" applyAlignment="0"/>
    <xf xfId="0" fontId="5" numFmtId="174" fillId="2" borderId="9" applyFont="1" applyNumberFormat="1" applyFill="1" applyBorder="1" applyAlignment="1">
      <alignment horizontal="right" vertical="bottom" textRotation="0" wrapText="false" shrinkToFit="false"/>
    </xf>
    <xf xfId="0" fontId="25" numFmtId="176" fillId="5" borderId="9" applyFont="1" applyNumberFormat="1" applyFill="1" applyBorder="1" applyAlignment="1">
      <alignment horizontal="left" vertical="bottom" textRotation="0" wrapText="false" shrinkToFit="false"/>
    </xf>
    <xf xfId="0" fontId="9" numFmtId="177" fillId="2" borderId="9" applyFont="1" applyNumberFormat="1" applyFill="1" applyBorder="1" applyAlignment="0"/>
    <xf xfId="0" fontId="9" numFmtId="2" fillId="2" borderId="9" applyFont="1" applyNumberFormat="1" applyFill="1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25</xdr:row>
      <xdr:rowOff>190500</xdr:rowOff>
    </xdr:from>
    <xdr:to>
      <xdr:col>7</xdr:col>
      <xdr:colOff>19050</xdr:colOff>
      <xdr:row>55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49</xdr:row>
      <xdr:rowOff>171450</xdr:rowOff>
    </xdr:from>
    <xdr:to>
      <xdr:col>2</xdr:col>
      <xdr:colOff>85725</xdr:colOff>
      <xdr:row>56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76200</xdr:rowOff>
    </xdr:from>
    <xdr:to>
      <xdr:col>6</xdr:col>
      <xdr:colOff>171450</xdr:colOff>
      <xdr:row>95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97</xdr:row>
      <xdr:rowOff>161925</xdr:rowOff>
    </xdr:from>
    <xdr:to>
      <xdr:col>4</xdr:col>
      <xdr:colOff>276225</xdr:colOff>
      <xdr:row>113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4"/>
  <sheetViews>
    <sheetView tabSelected="0" workbookViewId="0" zoomScale="70" zoomScaleNormal="70" showGridLines="false" showRowColHeaders="1" topLeftCell="A25">
      <selection activeCell="J40" sqref="J40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2"/>
      <c r="G3" s="62"/>
      <c r="H3" s="62"/>
      <c r="I3" s="62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3"/>
      <c r="G4" s="63"/>
      <c r="H4" s="63"/>
      <c r="I4" s="63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4" t="s">
        <v>0</v>
      </c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2" t="s">
        <v>3</v>
      </c>
      <c r="D8" s="9" t="s">
        <v>4</v>
      </c>
      <c r="E8" s="10" t="s">
        <v>5</v>
      </c>
      <c r="F8" s="11"/>
      <c r="G8" s="3"/>
      <c r="H8" s="1" t="s">
        <v>6</v>
      </c>
      <c r="I8" s="65" t="str">
        <f>+'2'!D5</f>
        <v>ZAPATILLAS PARA BOXEO</v>
      </c>
      <c r="J8" s="65"/>
      <c r="K8" s="65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6">
        <f>+TODAY()</f>
        <v>45917</v>
      </c>
      <c r="F9" s="67"/>
      <c r="G9" s="3"/>
      <c r="H9" s="1" t="s">
        <v>9</v>
      </c>
      <c r="I9" s="68">
        <f>+'2'!D6</f>
        <v>0</v>
      </c>
      <c r="J9" s="68" t="s">
        <v>10</v>
      </c>
      <c r="K9" s="68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41842422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19</v>
      </c>
      <c r="G11" s="1"/>
      <c r="H11" s="1" t="s">
        <v>20</v>
      </c>
      <c r="I11" s="69" t="s">
        <v>21</v>
      </c>
      <c r="J11" s="113">
        <f>'2'!N7</f>
        <v>0</v>
      </c>
      <c r="K11" s="69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0" t="s">
        <v>22</v>
      </c>
      <c r="B13" s="70"/>
      <c r="C13" s="70"/>
      <c r="D13" s="70"/>
      <c r="E13" s="70"/>
      <c r="F13" s="21"/>
      <c r="G13" s="21"/>
      <c r="H13" s="22"/>
      <c r="I13" s="22"/>
      <c r="J13" s="23" t="s">
        <v>23</v>
      </c>
      <c r="K13" s="23" t="s">
        <v>24</v>
      </c>
      <c r="L13" s="1"/>
      <c r="M13" s="1"/>
      <c r="N13" s="1"/>
      <c r="O13" s="1"/>
      <c r="P13" s="1"/>
      <c r="Q13" s="1"/>
    </row>
    <row r="14" spans="1:17">
      <c r="A14" s="71" t="s">
        <v>25</v>
      </c>
      <c r="B14" s="71"/>
      <c r="C14" s="71"/>
      <c r="D14" s="3"/>
      <c r="E14" s="3"/>
      <c r="F14" s="3"/>
      <c r="G14" s="3"/>
      <c r="H14" s="1"/>
      <c r="I14" s="1"/>
      <c r="J14" s="25">
        <f>'2'!D18</f>
        <v>590.72846983544</v>
      </c>
      <c r="K14" s="26">
        <f>'2'!N11</f>
        <v>180</v>
      </c>
      <c r="L14" s="1"/>
      <c r="M14" s="1"/>
      <c r="N14" s="1"/>
      <c r="O14" s="1"/>
      <c r="P14" s="1"/>
      <c r="Q14" s="1"/>
    </row>
    <row r="15" spans="1:17">
      <c r="A15" s="72" t="s">
        <v>26</v>
      </c>
      <c r="B15" s="72"/>
      <c r="C15" s="72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'2'!N14 + '2'!N17</f>
        <v>32.237773593571</v>
      </c>
      <c r="L15" s="1"/>
      <c r="M15" s="1"/>
      <c r="N15" s="1"/>
      <c r="O15" s="1"/>
      <c r="P15" s="1"/>
      <c r="Q15" s="1"/>
    </row>
    <row r="16" spans="1:17">
      <c r="A16" s="7" t="s">
        <v>27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28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0" t="s">
        <v>29</v>
      </c>
      <c r="B19" s="70"/>
      <c r="C19" s="70"/>
      <c r="D19" s="70"/>
      <c r="E19" s="70"/>
      <c r="F19" s="21"/>
      <c r="G19" s="21"/>
      <c r="H19" s="21"/>
      <c r="I19" s="23" t="s">
        <v>30</v>
      </c>
      <c r="J19" s="23" t="s">
        <v>23</v>
      </c>
      <c r="K19" s="23" t="s">
        <v>24</v>
      </c>
      <c r="L19" s="1"/>
      <c r="M19" s="1"/>
      <c r="N19" s="1"/>
      <c r="O19" s="1"/>
      <c r="P19" s="1"/>
      <c r="Q19" s="1"/>
    </row>
    <row r="20" spans="1:17">
      <c r="A20" s="3" t="s">
        <v>31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'2'!N28</f>
        <v>0</v>
      </c>
      <c r="L20" s="1"/>
      <c r="M20" s="1"/>
      <c r="N20" s="30" t="s">
        <v>32</v>
      </c>
      <c r="O20" s="1"/>
      <c r="P20" s="1"/>
      <c r="Q20" s="1"/>
    </row>
    <row r="21" spans="1:17">
      <c r="A21" s="3" t="s">
        <v>33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'2'!N29</f>
        <v>33.958043774971</v>
      </c>
      <c r="L21" s="1"/>
      <c r="M21" s="1"/>
      <c r="N21" s="31" t="e">
        <f>J32/I11</f>
        <v>#VALUE!</v>
      </c>
      <c r="O21" s="1"/>
      <c r="P21" s="1"/>
      <c r="Q21" s="1"/>
    </row>
    <row r="22" spans="1:17">
      <c r="A22" s="3" t="s">
        <v>34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'2'!N30</f>
        <v>4.2447554718714</v>
      </c>
      <c r="L22" s="1"/>
      <c r="M22" s="1"/>
      <c r="N22" s="1"/>
      <c r="O22" s="1"/>
      <c r="P22" s="1"/>
      <c r="Q22" s="1"/>
    </row>
    <row r="23" spans="1:17">
      <c r="A23" s="3"/>
      <c r="B23" s="114" t="s">
        <v>102</v>
      </c>
      <c r="C23" s="114"/>
      <c r="D23" s="114"/>
      <c r="E23" s="114"/>
      <c r="F23" s="114"/>
      <c r="G23" s="114"/>
      <c r="H23" s="114"/>
      <c r="I23" s="115"/>
      <c r="J23" s="116"/>
      <c r="K23" s="117">
        <v>127.26</v>
      </c>
      <c r="L23" s="118"/>
      <c r="M23" s="1"/>
      <c r="N23" s="1"/>
      <c r="O23" s="1"/>
      <c r="P23" s="1"/>
      <c r="Q23" s="1"/>
    </row>
    <row r="24" spans="1:17">
      <c r="A24" s="18" t="s">
        <v>102</v>
      </c>
      <c r="B24" s="18"/>
      <c r="C24" s="18"/>
      <c r="D24" s="18"/>
      <c r="E24" s="18"/>
      <c r="F24" s="18"/>
      <c r="G24" s="18"/>
      <c r="H24" s="18"/>
      <c r="I24" s="32">
        <f>MAX('2'!C30:C30)</f>
        <v>0.15705595245924</v>
      </c>
      <c r="J24" s="27">
        <f>'2'!D31</f>
        <v>27.080765242666</v>
      </c>
      <c r="K24" s="28">
        <f>SUM(K20:K23)</f>
        <v>165.46279924684</v>
      </c>
      <c r="L24" s="1"/>
      <c r="M24" s="1"/>
      <c r="N24" s="1"/>
      <c r="O24" s="1"/>
      <c r="P24" s="1"/>
      <c r="Q24" s="1"/>
    </row>
    <row r="25" spans="1:17">
      <c r="A25" s="7" t="s">
        <v>101</v>
      </c>
      <c r="B25" s="3"/>
      <c r="C25" s="3"/>
      <c r="D25" s="3"/>
      <c r="E25" s="3"/>
      <c r="F25" s="3"/>
      <c r="G25" s="3"/>
      <c r="H25" s="3"/>
      <c r="I25" s="26"/>
      <c r="J25" s="25">
        <f>SUM(J20:J24)</f>
        <v>27.080765242666</v>
      </c>
      <c r="K25" s="26" t="s">
        <v>28</v>
      </c>
      <c r="L25" s="33"/>
      <c r="M25" s="1"/>
      <c r="N25" s="1"/>
      <c r="O25" s="1"/>
      <c r="P25" s="1"/>
      <c r="Q25" s="1"/>
    </row>
    <row r="26" spans="1:17">
      <c r="A26" s="3"/>
      <c r="B26" s="3"/>
      <c r="C26" s="3"/>
      <c r="D26" s="3"/>
      <c r="E26" s="3"/>
      <c r="F26" s="3"/>
      <c r="G26" s="3"/>
      <c r="H26" s="3"/>
      <c r="I26" s="34"/>
      <c r="J26" s="35"/>
      <c r="K26" s="26">
        <f>'2'!N31</f>
        <v>8.7654200494145</v>
      </c>
      <c r="L26" s="1"/>
      <c r="M26" s="1"/>
      <c r="N26" s="1"/>
      <c r="O26" s="1"/>
      <c r="P26" s="1"/>
      <c r="Q26" s="1"/>
    </row>
    <row r="27" spans="1:17">
      <c r="A27" s="18" t="s">
        <v>100</v>
      </c>
      <c r="B27" s="18"/>
      <c r="C27" s="18"/>
      <c r="D27" s="18"/>
      <c r="E27" s="18"/>
      <c r="F27" s="18"/>
      <c r="G27" s="18"/>
      <c r="H27" s="18"/>
      <c r="I27" s="36" t="s">
        <v>99</v>
      </c>
      <c r="J27" s="27">
        <f>'2'!D37</f>
        <v/>
      </c>
      <c r="K27" s="28" t="s">
        <v>28</v>
      </c>
      <c r="L27" s="1"/>
      <c r="M27" s="1"/>
      <c r="N27" s="1"/>
      <c r="O27" s="1"/>
      <c r="P27" s="1"/>
      <c r="Q27" s="1"/>
    </row>
    <row r="28" spans="1:17">
      <c r="A28" s="7" t="s">
        <v>83</v>
      </c>
      <c r="B28" s="3"/>
      <c r="C28" s="3"/>
      <c r="D28" s="3"/>
      <c r="E28" s="3"/>
      <c r="F28" s="3"/>
      <c r="G28" s="3"/>
      <c r="H28" s="3"/>
      <c r="I28" s="1"/>
      <c r="J28" s="25">
        <f>J25+J27</f>
        <v>27.080765242666</v>
      </c>
      <c r="K28" s="26" t="s">
        <v>28</v>
      </c>
      <c r="L28" s="1"/>
      <c r="M28" s="1"/>
      <c r="N28" s="1"/>
      <c r="O28" s="1"/>
      <c r="P28" s="1"/>
      <c r="Q28" s="1"/>
    </row>
    <row r="29" spans="1:1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customHeight="1" ht="15.6">
      <c r="A30" s="61" t="s">
        <v>98</v>
      </c>
      <c r="B30" s="61"/>
      <c r="C30" s="61"/>
      <c r="D30" s="61"/>
      <c r="E30" s="61"/>
      <c r="F30" s="37"/>
      <c r="G30" s="37"/>
      <c r="H30" s="38"/>
      <c r="I30" s="38"/>
      <c r="J30" s="38" t="s">
        <v>23</v>
      </c>
      <c r="K30" s="38">
        <f>K14</f>
        <v>180</v>
      </c>
      <c r="L30" s="1"/>
      <c r="M30" s="1"/>
      <c r="N30" s="1"/>
      <c r="O30" s="1"/>
      <c r="P30" s="1"/>
      <c r="Q30" s="1"/>
    </row>
    <row r="31" spans="1:17">
      <c r="A31" s="3" t="s">
        <v>97</v>
      </c>
      <c r="B31" s="3"/>
      <c r="C31" s="3"/>
      <c r="D31" s="3"/>
      <c r="E31" s="3"/>
      <c r="F31" s="3"/>
      <c r="G31" s="3"/>
      <c r="H31" s="25"/>
      <c r="I31" s="25"/>
      <c r="J31" s="25">
        <f>J14</f>
        <v>590.72846983544</v>
      </c>
      <c r="K31" s="26">
        <f>IF(J11&lt;1, 343.87, 343.87*J11)</f>
        <v>343.87</v>
      </c>
      <c r="L31" s="1"/>
      <c r="M31" s="1"/>
      <c r="N31" s="1"/>
      <c r="O31" s="1"/>
      <c r="P31" s="1"/>
      <c r="Q31" s="1"/>
    </row>
    <row r="32" spans="1:17">
      <c r="A32" s="3" t="s">
        <v>96</v>
      </c>
      <c r="B32" s="3"/>
      <c r="C32" s="3"/>
      <c r="D32" s="3"/>
      <c r="E32" s="3"/>
      <c r="F32" s="3"/>
      <c r="G32" s="3"/>
      <c r="H32" s="25"/>
      <c r="I32" s="25"/>
      <c r="J32" s="25" t="e">
        <f>IF(I11&lt;1,T16,T16*I11)</f>
        <v>#VALUE!</v>
      </c>
      <c r="K32" s="26" t="e">
        <f>K20+K21+K22+K23+K25</f>
        <v>#VALUE!</v>
      </c>
      <c r="L32" s="30" t="s">
        <v>23</v>
      </c>
      <c r="M32" s="1"/>
      <c r="N32" s="1"/>
      <c r="O32" s="1"/>
      <c r="P32" s="1"/>
      <c r="Q32" s="1"/>
    </row>
    <row r="33" spans="1:17">
      <c r="A33" s="18" t="s">
        <v>95</v>
      </c>
      <c r="B33" s="18"/>
      <c r="C33" s="18"/>
      <c r="D33" s="18"/>
      <c r="E33" s="18"/>
      <c r="F33" s="18"/>
      <c r="G33" s="18"/>
      <c r="H33" s="27"/>
      <c r="I33" s="27"/>
      <c r="J33" s="27">
        <f>J28</f>
        <v>27.080765242666</v>
      </c>
      <c r="K33" s="28" t="e">
        <f>K30+K31+K32</f>
        <v>#VALUE!</v>
      </c>
      <c r="L33" s="1"/>
      <c r="M33" s="1"/>
      <c r="N33" s="34"/>
      <c r="O33" s="1"/>
      <c r="P33" s="1"/>
      <c r="Q33" s="1"/>
    </row>
    <row r="34" spans="1:17">
      <c r="A34" s="7" t="s">
        <v>94</v>
      </c>
      <c r="B34" s="3"/>
      <c r="C34" s="3"/>
      <c r="D34" s="3"/>
      <c r="E34" s="3"/>
      <c r="F34" s="3"/>
      <c r="G34" s="3"/>
      <c r="H34" s="25"/>
      <c r="I34" s="25"/>
      <c r="J34" s="25" t="e">
        <f>SUM(J31:J33)</f>
        <v>#VALUE!</v>
      </c>
      <c r="K34" s="26" t="s">
        <v>28</v>
      </c>
      <c r="L34" s="1"/>
      <c r="M34" s="75" t="s">
        <v>93</v>
      </c>
      <c r="N34" s="75"/>
      <c r="O34" s="75"/>
      <c r="P34" s="75"/>
      <c r="Q34" s="75"/>
    </row>
    <row r="35" spans="1:17">
      <c r="A35" s="7"/>
      <c r="B35" s="3"/>
      <c r="C35" s="3"/>
      <c r="D35" s="3"/>
      <c r="E35" s="3"/>
      <c r="F35" s="3"/>
      <c r="G35" s="3"/>
      <c r="H35" s="35"/>
      <c r="I35" s="35"/>
      <c r="J35" s="35"/>
      <c r="K35" s="26"/>
      <c r="L35" s="1"/>
      <c r="M35" s="76"/>
      <c r="N35" s="76"/>
      <c r="O35" s="76"/>
      <c r="P35" s="76"/>
      <c r="Q35" s="76"/>
    </row>
    <row r="36" spans="1:17">
      <c r="A36" s="77"/>
      <c r="B36" s="119">
        <v>1</v>
      </c>
      <c r="C36" s="119" t="s">
        <v>92</v>
      </c>
      <c r="D36" s="119"/>
      <c r="E36" s="119"/>
      <c r="F36" s="119">
        <f>'2'!C10</f>
        <v>2</v>
      </c>
      <c r="G36" s="120">
        <f>'2'!C8</f>
        <v>3</v>
      </c>
      <c r="H36" s="119"/>
      <c r="I36" s="120">
        <f>'2'!C46</f>
        <v>5.0897247069616</v>
      </c>
      <c r="J36" s="120">
        <f>'2'!C44</f>
        <v>10.179449413923</v>
      </c>
      <c r="K36" s="121">
        <f>'2'!C47</f>
        <v>18.831981415758</v>
      </c>
      <c r="L36" s="42"/>
      <c r="M36" s="78" t="s">
        <v>91</v>
      </c>
      <c r="N36" s="80" t="s">
        <v>90</v>
      </c>
      <c r="O36" s="82" t="s">
        <v>89</v>
      </c>
      <c r="P36" s="84" t="s">
        <v>88</v>
      </c>
      <c r="Q36" s="86" t="s">
        <v>87</v>
      </c>
    </row>
    <row r="37" spans="1:17">
      <c r="A37" s="39"/>
      <c r="B37" s="41">
        <v>2</v>
      </c>
      <c r="C37" s="41" t="s">
        <v>86</v>
      </c>
      <c r="D37" s="41"/>
      <c r="E37" s="41"/>
      <c r="F37" s="41">
        <f>'2'!D10</f>
        <v>25</v>
      </c>
      <c r="G37" s="124">
        <f>'2'!D8</f>
        <v>20.04</v>
      </c>
      <c r="H37" s="42"/>
      <c r="I37" s="124">
        <f>'2'!D46</f>
        <v>34.629361042504</v>
      </c>
      <c r="J37" s="122">
        <f>'2'!D44</f>
        <v>865.73402606259</v>
      </c>
      <c r="K37" s="123">
        <f>'2'!D47</f>
        <v>128.12863585726</v>
      </c>
      <c r="L37" s="42"/>
      <c r="M37" s="79"/>
      <c r="N37" s="81"/>
      <c r="O37" s="83"/>
      <c r="P37" s="85"/>
      <c r="Q37" s="87"/>
    </row>
    <row r="38" spans="1:17">
      <c r="A38" s="39"/>
      <c r="B38" s="41">
        <v>3</v>
      </c>
      <c r="C38" s="41" t="s">
        <v>85</v>
      </c>
      <c r="D38" s="41"/>
      <c r="E38" s="41"/>
      <c r="F38" s="59">
        <f>'2'!E10</f>
        <v>16</v>
      </c>
      <c r="G38" s="124">
        <f>'2'!E8</f>
        <v>16.875</v>
      </c>
      <c r="H38" s="58"/>
      <c r="I38" s="125">
        <f>'2'!E46</f>
        <v>29.259701476659</v>
      </c>
      <c r="J38" s="122">
        <f>'2'!E44</f>
        <v>468.15522362655</v>
      </c>
      <c r="K38" s="123">
        <f>'2'!E47</f>
        <v>108.26089546364</v>
      </c>
      <c r="L38" s="42"/>
      <c r="M38" s="39">
        <v>1</v>
      </c>
      <c r="N38" s="40">
        <f>+B38</f>
        <v>3</v>
      </c>
      <c r="O38" s="43">
        <f>+F38</f>
        <v>16</v>
      </c>
      <c r="P38" s="44">
        <f>+H38</f>
        <v/>
      </c>
      <c r="Q38" s="45">
        <f>P38*3.8</f>
        <v>0</v>
      </c>
    </row>
    <row r="39" spans="1:17" customHeight="1" ht="15.6">
      <c r="A39" s="46"/>
      <c r="B39" s="41">
        <v>4</v>
      </c>
      <c r="C39" s="41" t="s">
        <v>84</v>
      </c>
      <c r="D39" s="41"/>
      <c r="E39" s="60"/>
      <c r="F39" s="41">
        <f>'2'!F10</f>
        <v>2</v>
      </c>
      <c r="G39" s="124">
        <f>'2'!F8</f>
        <v>30</v>
      </c>
      <c r="H39" s="42"/>
      <c r="I39" s="126">
        <f>'2'!F46</f>
        <v>48.737197128868</v>
      </c>
      <c r="J39" s="127">
        <f>'2'!F44</f>
        <v>97.474394257735</v>
      </c>
      <c r="K39" s="128">
        <f>'2'!F47</f>
        <v>180.32762937681</v>
      </c>
      <c r="L39" s="41"/>
      <c r="M39" s="1"/>
      <c r="N39" s="1"/>
      <c r="O39" s="1"/>
      <c r="P39" s="1"/>
      <c r="Q39" s="1"/>
    </row>
    <row r="40" spans="1:17" customHeight="1" ht="15.6">
      <c r="A40" s="46"/>
      <c r="B40" s="60" t="s">
        <v>83</v>
      </c>
      <c r="C40" s="41"/>
      <c r="D40" s="41"/>
      <c r="E40" s="60"/>
      <c r="F40" s="60">
        <f>SUM(F36:F39)</f>
        <v>45</v>
      </c>
      <c r="G40" s="41"/>
      <c r="H40" s="42"/>
      <c r="I40" s="129"/>
      <c r="J40" s="127">
        <f>SUM(J36:J39)</f>
        <v>1441.5430933608</v>
      </c>
      <c r="K40" s="130"/>
      <c r="L40" s="42"/>
      <c r="M40" s="88" t="s">
        <v>82</v>
      </c>
      <c r="N40" s="88"/>
      <c r="O40" s="88"/>
      <c r="P40" s="89" t="s">
        <v>81</v>
      </c>
      <c r="Q40" s="90"/>
    </row>
    <row r="41" spans="1:17" customHeight="1" ht="18">
      <c r="A41" s="48" t="s">
        <v>80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88"/>
      <c r="N41" s="88"/>
      <c r="O41" s="88"/>
      <c r="P41" s="91"/>
      <c r="Q41" s="92"/>
    </row>
    <row r="42" spans="1:17" customHeight="1" ht="21">
      <c r="A42" s="49" t="s">
        <v>79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3" t="s">
        <v>78</v>
      </c>
      <c r="N42" s="74"/>
      <c r="O42" s="50" t="e">
        <f>+J32</f>
        <v>#VALUE!</v>
      </c>
      <c r="P42" s="51" t="s">
        <v>77</v>
      </c>
      <c r="Q42" s="1"/>
    </row>
    <row r="43" spans="1:17" customHeight="1" ht="21">
      <c r="A43" s="49" t="s">
        <v>76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73" t="s">
        <v>75</v>
      </c>
      <c r="N43" s="74"/>
      <c r="O43" s="50">
        <f>+J33</f>
        <v>27.080765242666</v>
      </c>
      <c r="P43" s="51" t="s">
        <v>74</v>
      </c>
      <c r="Q43" s="1"/>
    </row>
    <row r="44" spans="1:17" customHeight="1" ht="18">
      <c r="A44" s="49" t="s">
        <v>73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"/>
      <c r="N44" s="1"/>
      <c r="O44" s="1"/>
      <c r="P44" s="1"/>
      <c r="Q44" s="1"/>
    </row>
    <row r="45" spans="1:17" customHeight="1" ht="18">
      <c r="A45" s="49" t="s">
        <v>72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3" t="s">
        <v>71</v>
      </c>
      <c r="N45" s="93"/>
      <c r="O45" s="94" t="e">
        <f>+O42+O43+J14</f>
        <v>#VALUE!</v>
      </c>
      <c r="P45" s="96" t="s">
        <v>70</v>
      </c>
      <c r="Q45" s="97"/>
    </row>
    <row r="46" spans="1:17" customHeight="1" ht="18">
      <c r="A46" s="49" t="s">
        <v>69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93"/>
      <c r="N46" s="93"/>
      <c r="O46" s="95"/>
      <c r="P46" s="96"/>
      <c r="Q46" s="97"/>
    </row>
    <row r="47" spans="1:17" customHeight="1" ht="18">
      <c r="A47" s="49" t="s">
        <v>68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9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 customHeight="1" ht="18">
      <c r="A49" s="49" t="s">
        <v>66</v>
      </c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3"/>
      <c r="B50" s="3"/>
      <c r="C50" s="3"/>
      <c r="D50" s="3"/>
      <c r="E50" s="3"/>
      <c r="F50" s="3"/>
      <c r="G50" s="3"/>
      <c r="H50" s="3"/>
      <c r="I50" s="3"/>
      <c r="J50" s="3"/>
      <c r="K50" s="1"/>
      <c r="L50" s="1"/>
      <c r="M50" s="1"/>
      <c r="N50" s="1"/>
      <c r="O50" s="1"/>
      <c r="P50" s="1"/>
      <c r="Q50" s="1"/>
    </row>
    <row r="51" spans="1:1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 customHeight="1" ht="18">
      <c r="A53" s="1"/>
      <c r="B53" s="1"/>
      <c r="C53" s="1"/>
      <c r="D53" s="1"/>
      <c r="E53" s="1"/>
      <c r="F53" s="1"/>
      <c r="G53" s="1"/>
      <c r="H53" s="2"/>
      <c r="I53" s="2"/>
      <c r="J53" s="2"/>
      <c r="K53" s="3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5"/>
      <c r="I55" s="5"/>
      <c r="J55" s="5"/>
      <c r="K55" s="1"/>
      <c r="L55" s="1"/>
      <c r="M55" s="1"/>
      <c r="N55" s="1"/>
      <c r="O55" s="1"/>
      <c r="P55" s="1"/>
      <c r="Q55" s="1"/>
    </row>
    <row r="56" spans="1:1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customHeight="1" ht="21">
      <c r="A57" s="98" t="s">
        <v>65</v>
      </c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2" t="s">
        <v>64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52" t="s">
        <v>63</v>
      </c>
      <c r="B62" s="3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3" t="s">
        <v>62</v>
      </c>
      <c r="B63" s="1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2" t="s">
        <v>61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52" t="s">
        <v>60</v>
      </c>
      <c r="B65" s="3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3" t="s">
        <v>59</v>
      </c>
      <c r="B66" s="1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2" t="s">
        <v>58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2" t="s">
        <v>57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2" t="s">
        <v>56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2" t="s">
        <v>55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2" t="s">
        <v>54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2" t="s">
        <v>53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2" t="s">
        <v>52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52" t="s">
        <v>51</v>
      </c>
      <c r="B74" s="3"/>
      <c r="C74" s="3"/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>
      <c r="A78" s="52" t="s">
        <v>50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3" t="s">
        <v>49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2" t="s">
        <v>48</v>
      </c>
      <c r="B80" s="3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4" t="s">
        <v>47</v>
      </c>
      <c r="B81" s="1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52" t="s">
        <v>46</v>
      </c>
      <c r="B82" s="3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24" t="s">
        <v>45</v>
      </c>
      <c r="B83" s="1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2" t="s">
        <v>44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2" t="s">
        <v>43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2" t="s">
        <v>42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2" t="s">
        <v>41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52" t="s">
        <v>40</v>
      </c>
      <c r="B88" s="3"/>
      <c r="C88" s="3"/>
      <c r="D88" s="3"/>
      <c r="E88" s="3"/>
      <c r="F88" s="3"/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2" t="s">
        <v>39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2" t="s">
        <v>38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5" t="s">
        <v>37</v>
      </c>
      <c r="B94" s="3"/>
      <c r="C94" s="3"/>
      <c r="D94" s="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5" t="s">
        <v>36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55" t="s">
        <v>35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>
      <c r="A101" s="1"/>
      <c r="B101" s="55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customHeight="1" ht="15.6">
      <c r="A103" s="1"/>
      <c r="B103" s="5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47"/>
      <c r="D106" s="1"/>
      <c r="E106" s="1"/>
      <c r="F106" s="1"/>
      <c r="G106" s="1"/>
      <c r="H106" s="47"/>
      <c r="I106" s="47"/>
      <c r="J106" s="47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34"/>
      <c r="D108" s="1"/>
      <c r="E108" s="1"/>
      <c r="F108" s="1"/>
      <c r="G108" s="1"/>
      <c r="H108" s="34"/>
      <c r="I108" s="34"/>
      <c r="J108" s="34"/>
      <c r="K108" s="1"/>
      <c r="L108" s="1"/>
      <c r="M108" s="1"/>
      <c r="N108" s="1"/>
      <c r="O108" s="1"/>
      <c r="P108" s="1"/>
      <c r="Q108" s="1"/>
    </row>
    <row r="109" spans="1:1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customHeight="1" ht="15.6">
      <c r="A110" s="1"/>
      <c r="B110" s="57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</sheetData>
  <mergeCells>
    <mergeCell ref="M43:N43"/>
    <mergeCell ref="M45:N46"/>
    <mergeCell ref="O45:O46"/>
    <mergeCell ref="P45:Q46"/>
    <mergeCell ref="A57:K57"/>
    <mergeCell ref="M42:N42"/>
    <mergeCell ref="M34:Q35"/>
    <mergeCell ref="A36:K36"/>
    <mergeCell ref="M36:M37"/>
    <mergeCell ref="N36:N37"/>
    <mergeCell ref="O36:O37"/>
    <mergeCell ref="P36:P37"/>
    <mergeCell ref="Q36:Q37"/>
    <mergeCell ref="B37:D37"/>
    <mergeCell ref="F37:G37"/>
    <mergeCell ref="J37:K37"/>
    <mergeCell ref="B38:D38"/>
    <mergeCell ref="F38:G38"/>
    <mergeCell ref="J38:K38"/>
    <mergeCell ref="M40:O41"/>
    <mergeCell ref="P40:Q41"/>
    <mergeCell ref="A30:E30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47"/>
  <sheetViews>
    <sheetView tabSelected="1" workbookViewId="0" showGridLines="true" showRowColHeaders="1">
      <selection activeCell="B40" sqref="B40:P47"/>
    </sheetView>
  </sheetViews>
  <sheetFormatPr defaultRowHeight="14.4" outlineLevelRow="0" outlineLevelCol="0"/>
  <cols>
    <col min="2" max="2" width="24.708" bestFit="true" customWidth="true" style="0"/>
    <col min="3" max="3" width="45.846" bestFit="true" customWidth="true" style="0"/>
    <col min="4" max="4" width="25.851" bestFit="true" customWidth="true" style="0"/>
    <col min="5" max="5" width="34.135" bestFit="true" customWidth="true" style="0"/>
    <col min="6" max="6" width="42.418" bestFit="true" customWidth="true" style="0"/>
    <col min="7" max="7" width="25.851" bestFit="true" customWidth="true" style="0"/>
    <col min="8" max="8" width="25.851" bestFit="true" customWidth="true" style="0"/>
    <col min="9" max="9" width="28.136" bestFit="true" customWidth="true" style="0"/>
    <col min="10" max="10" width="34.135" bestFit="true" customWidth="true" style="0"/>
    <col min="11" max="11" width="34.135" bestFit="true" customWidth="true" style="0"/>
    <col min="12" max="12" width="29.421" bestFit="true" customWidth="true" style="0"/>
    <col min="13" max="13" width="32.992" bestFit="true" customWidth="true" style="0"/>
    <col min="14" max="14" width="43.561" bestFit="true" customWidth="true" style="0"/>
  </cols>
  <sheetData>
    <row r="3" spans="1:19">
      <c r="B3" s="100" t="s">
        <v>103</v>
      </c>
      <c r="C3" s="99"/>
      <c r="D3" s="99"/>
      <c r="E3" s="99"/>
      <c r="F3" s="99"/>
      <c r="G3" s="99"/>
    </row>
    <row r="5" spans="1:19">
      <c r="B5" s="103" t="s">
        <v>104</v>
      </c>
      <c r="C5" s="105" t="s">
        <v>92</v>
      </c>
      <c r="D5" s="105" t="s">
        <v>86</v>
      </c>
      <c r="E5" s="105" t="s">
        <v>85</v>
      </c>
      <c r="F5" s="105" t="s">
        <v>84</v>
      </c>
      <c r="G5" s="105" t="s">
        <v>119</v>
      </c>
      <c r="H5" s="105" t="s">
        <v>120</v>
      </c>
      <c r="I5" s="105" t="s">
        <v>121</v>
      </c>
      <c r="J5" s="105" t="s">
        <v>122</v>
      </c>
      <c r="K5" s="105" t="s">
        <v>123</v>
      </c>
      <c r="L5" s="105" t="s">
        <v>124</v>
      </c>
      <c r="M5" s="105" t="s">
        <v>125</v>
      </c>
      <c r="N5" s="105" t="s">
        <v>126</v>
      </c>
      <c r="O5" s="105" t="s">
        <v>127</v>
      </c>
      <c r="P5" s="99"/>
    </row>
    <row r="6" spans="1:19">
      <c r="B6" s="99" t="s">
        <v>105</v>
      </c>
      <c r="C6" s="99">
        <v>0</v>
      </c>
      <c r="D6" s="99">
        <v>0</v>
      </c>
      <c r="E6" s="99">
        <v>0</v>
      </c>
      <c r="F6" s="99">
        <v>0</v>
      </c>
      <c r="G6" s="99">
        <v>0</v>
      </c>
      <c r="H6" s="99">
        <v>0</v>
      </c>
      <c r="I6" s="99">
        <v>0</v>
      </c>
      <c r="J6" s="99">
        <v>0</v>
      </c>
      <c r="K6" s="99">
        <v>0</v>
      </c>
      <c r="L6" s="99">
        <v>0</v>
      </c>
      <c r="M6" s="99">
        <v>0</v>
      </c>
      <c r="N6" s="99">
        <v>0</v>
      </c>
      <c r="O6" s="108">
        <v>1.23</v>
      </c>
      <c r="P6" s="99"/>
      <c r="R6" t="s">
        <v>128</v>
      </c>
      <c r="S6" t="s">
        <v>129</v>
      </c>
    </row>
    <row r="7" spans="1:19">
      <c r="B7" s="99" t="s">
        <v>106</v>
      </c>
      <c r="C7" s="99">
        <v>0</v>
      </c>
      <c r="D7" s="99">
        <v>0</v>
      </c>
      <c r="E7" s="99">
        <v>0</v>
      </c>
      <c r="F7" s="99">
        <v>0</v>
      </c>
      <c r="G7" s="99">
        <v>0</v>
      </c>
      <c r="H7" s="99">
        <v>0</v>
      </c>
      <c r="I7" s="99">
        <v>0</v>
      </c>
      <c r="J7" s="99">
        <v>0</v>
      </c>
      <c r="K7" s="99">
        <v>0</v>
      </c>
      <c r="L7" s="99">
        <v>0</v>
      </c>
      <c r="M7" s="99">
        <v>0</v>
      </c>
      <c r="N7" s="99">
        <v>0</v>
      </c>
      <c r="O7" s="109">
        <v>3.16</v>
      </c>
      <c r="P7" s="99"/>
      <c r="R7" t="s">
        <v>19</v>
      </c>
      <c r="S7">
        <v>343.87</v>
      </c>
    </row>
    <row r="8" spans="1:19">
      <c r="B8" s="99" t="s">
        <v>107</v>
      </c>
      <c r="C8" s="106">
        <v>3.0</v>
      </c>
      <c r="D8" s="106">
        <v>20.04</v>
      </c>
      <c r="E8" s="106">
        <v>16.875</v>
      </c>
      <c r="F8" s="106">
        <v>30.0</v>
      </c>
      <c r="G8" s="106">
        <v>5.0</v>
      </c>
      <c r="H8" s="106">
        <v>30.0</v>
      </c>
      <c r="I8" s="106">
        <v>8.4658385093168</v>
      </c>
      <c r="J8" s="106">
        <v>9.0</v>
      </c>
      <c r="K8" s="106">
        <v>50.0</v>
      </c>
      <c r="L8" s="106">
        <v>17.015625</v>
      </c>
      <c r="M8" s="106">
        <v>300.0</v>
      </c>
      <c r="N8" s="106">
        <v>180.0</v>
      </c>
      <c r="O8" s="99"/>
      <c r="P8" s="99"/>
    </row>
    <row r="9" spans="1:19">
      <c r="B9" s="104" t="s">
        <v>108</v>
      </c>
      <c r="C9" s="106">
        <v>0.0</v>
      </c>
      <c r="D9" s="106">
        <v>0.0</v>
      </c>
      <c r="E9" s="106">
        <v>0.0</v>
      </c>
      <c r="F9" s="106">
        <v>0.0</v>
      </c>
      <c r="G9" s="106">
        <v>0.0</v>
      </c>
      <c r="H9" s="106">
        <v>0.0</v>
      </c>
      <c r="I9" s="106">
        <v>0.0</v>
      </c>
      <c r="J9" s="106">
        <v>0.0</v>
      </c>
      <c r="K9" s="106">
        <v>0.0</v>
      </c>
      <c r="L9" s="106">
        <v>0.0</v>
      </c>
      <c r="M9" s="106">
        <v>0.0</v>
      </c>
      <c r="N9" s="106">
        <v>0.0</v>
      </c>
      <c r="O9" s="99"/>
      <c r="P9" s="99"/>
    </row>
    <row r="10" spans="1:19">
      <c r="B10" s="99" t="s">
        <v>109</v>
      </c>
      <c r="C10" s="99">
        <v>2.0</v>
      </c>
      <c r="D10" s="99">
        <v>25.0</v>
      </c>
      <c r="E10" s="99">
        <v>16.0</v>
      </c>
      <c r="F10" s="99">
        <v>2.0</v>
      </c>
      <c r="G10" s="99">
        <v>20.0</v>
      </c>
      <c r="H10" s="99">
        <v>2.0</v>
      </c>
      <c r="I10" s="99">
        <v>161.0</v>
      </c>
      <c r="J10" s="99">
        <v>15.0</v>
      </c>
      <c r="K10" s="99">
        <v>8.0</v>
      </c>
      <c r="L10" s="99">
        <v>32.0</v>
      </c>
      <c r="M10" s="99">
        <v>1.0</v>
      </c>
      <c r="N10" s="99">
        <v>1.0</v>
      </c>
      <c r="O10" s="99">
        <f>SUM(C10:N10)</f>
        <v>285</v>
      </c>
      <c r="P10" s="99"/>
    </row>
    <row r="11" spans="1:19">
      <c r="B11" s="99" t="s">
        <v>110</v>
      </c>
      <c r="C11" s="106">
        <f>C8*C10</f>
        <v>6</v>
      </c>
      <c r="D11" s="106">
        <f>D8*D10</f>
        <v>501</v>
      </c>
      <c r="E11" s="106">
        <f>E8*E10</f>
        <v>270</v>
      </c>
      <c r="F11" s="106">
        <f>F8*F10</f>
        <v>60</v>
      </c>
      <c r="G11" s="106">
        <f>G8*G10</f>
        <v>100</v>
      </c>
      <c r="H11" s="106">
        <f>H8*H10</f>
        <v>60</v>
      </c>
      <c r="I11" s="106">
        <f>I8*I10</f>
        <v>1363</v>
      </c>
      <c r="J11" s="106">
        <f>J8*J10</f>
        <v>135</v>
      </c>
      <c r="K11" s="106">
        <f>K8*K10</f>
        <v>400</v>
      </c>
      <c r="L11" s="106">
        <f>L8*L10</f>
        <v>544.5</v>
      </c>
      <c r="M11" s="106">
        <f>M8*M10</f>
        <v>300</v>
      </c>
      <c r="N11" s="106">
        <f>N8*N10</f>
        <v>180</v>
      </c>
      <c r="O11" s="99">
        <f>SUM(C11:N11)</f>
        <v>3919.5</v>
      </c>
      <c r="P11" s="99"/>
    </row>
    <row r="12" spans="1:19">
      <c r="B12" s="104" t="s">
        <v>111</v>
      </c>
      <c r="C12" s="106">
        <f>C10*C9</f>
        <v>0</v>
      </c>
      <c r="D12" s="106">
        <f>D10*D9</f>
        <v>0</v>
      </c>
      <c r="E12" s="106">
        <f>E10*E9</f>
        <v>0</v>
      </c>
      <c r="F12" s="106">
        <f>F10*F9</f>
        <v>0</v>
      </c>
      <c r="G12" s="106">
        <f>G10*G9</f>
        <v>0</v>
      </c>
      <c r="H12" s="106">
        <f>H10*H9</f>
        <v>0</v>
      </c>
      <c r="I12" s="106">
        <f>I10*I9</f>
        <v>0</v>
      </c>
      <c r="J12" s="106">
        <f>J10*J9</f>
        <v>0</v>
      </c>
      <c r="K12" s="106">
        <f>K10*K9</f>
        <v>0</v>
      </c>
      <c r="L12" s="106">
        <f>L10*L9</f>
        <v>0</v>
      </c>
      <c r="M12" s="106">
        <f>M10*M9</f>
        <v>0</v>
      </c>
      <c r="N12" s="106">
        <f>N10*N9</f>
        <v>0</v>
      </c>
      <c r="O12" s="99"/>
      <c r="P12" s="99"/>
    </row>
    <row r="13" spans="1:19">
      <c r="B13" s="99" t="s">
        <v>112</v>
      </c>
      <c r="C13" s="107">
        <f>C11/O11</f>
        <v>0.0015308075009568</v>
      </c>
      <c r="D13" s="107">
        <f>D11/O11</f>
        <v>0.12782242632989</v>
      </c>
      <c r="E13" s="107">
        <f>E11/O11</f>
        <v>0.068886337543054</v>
      </c>
      <c r="F13" s="107">
        <f>F11/O11</f>
        <v>0.015308075009568</v>
      </c>
      <c r="G13" s="107">
        <f>G11/O11</f>
        <v>0.025513458349279</v>
      </c>
      <c r="H13" s="107">
        <f>H11/O11</f>
        <v>0.015308075009568</v>
      </c>
      <c r="I13" s="107">
        <f>I11/O11</f>
        <v>0.34774843730068</v>
      </c>
      <c r="J13" s="107">
        <f>J11/O11</f>
        <v>0.034443168771527</v>
      </c>
      <c r="K13" s="107">
        <f>K11/O11</f>
        <v>0.10205383339712</v>
      </c>
      <c r="L13" s="107">
        <f>L11/O11</f>
        <v>0.13892078071183</v>
      </c>
      <c r="M13" s="107">
        <f>M11/O11</f>
        <v>0.076540375047838</v>
      </c>
      <c r="N13" s="107">
        <f>N11/O11</f>
        <v>0.045924225028703</v>
      </c>
      <c r="O13" s="99"/>
      <c r="P13" s="99"/>
    </row>
    <row r="14" spans="1:19">
      <c r="B14" s="99" t="s">
        <v>113</v>
      </c>
      <c r="C14" s="106">
        <f>O14*C13</f>
        <v>0.99805207807118</v>
      </c>
      <c r="D14" s="106">
        <f>O14*D13</f>
        <v>83.337348518944</v>
      </c>
      <c r="E14" s="106">
        <f>O14*E13</f>
        <v>44.912343513203</v>
      </c>
      <c r="F14" s="106">
        <f>O14*F13</f>
        <v>9.9805207807118</v>
      </c>
      <c r="G14" s="106">
        <f>O14*G13</f>
        <v>16.634201301186</v>
      </c>
      <c r="H14" s="106">
        <f>O14*H13</f>
        <v>9.9805207807118</v>
      </c>
      <c r="I14" s="106">
        <f>O14*I13</f>
        <v>226.72416373517</v>
      </c>
      <c r="J14" s="106">
        <f>O14*J13</f>
        <v>22.456171756602</v>
      </c>
      <c r="K14" s="106">
        <f>O14*K13</f>
        <v>66.536805204745</v>
      </c>
      <c r="L14" s="106">
        <f>O14*L13</f>
        <v>90.57322608496</v>
      </c>
      <c r="M14" s="106">
        <f>O14*M13</f>
        <v>49.902603903559</v>
      </c>
      <c r="N14" s="106">
        <f>O14*N13</f>
        <v>29.941562342135</v>
      </c>
      <c r="O14" s="99">
        <f>IF(O7&lt;1, S7*0.6, S7*0.6*O7)</f>
        <v>651.97752</v>
      </c>
      <c r="P14" s="99"/>
    </row>
    <row r="15" spans="1:19">
      <c r="B15" s="99" t="s">
        <v>114</v>
      </c>
      <c r="C15" s="106">
        <f>C11+C14</f>
        <v>6.9980520780712</v>
      </c>
      <c r="D15" s="106">
        <f>D11+D14</f>
        <v>584.33734851894</v>
      </c>
      <c r="E15" s="106">
        <f>E11+E14</f>
        <v>314.9123435132</v>
      </c>
      <c r="F15" s="106">
        <f>F11+F14</f>
        <v>69.980520780712</v>
      </c>
      <c r="G15" s="106">
        <f>G11+G14</f>
        <v>116.63420130119</v>
      </c>
      <c r="H15" s="106">
        <f>H11+H14</f>
        <v>69.980520780712</v>
      </c>
      <c r="I15" s="106">
        <f>I11+I14</f>
        <v>1589.7241637352</v>
      </c>
      <c r="J15" s="106">
        <f>J11+J14</f>
        <v>157.4561717566</v>
      </c>
      <c r="K15" s="106">
        <f>K11+K14</f>
        <v>466.53680520475</v>
      </c>
      <c r="L15" s="106">
        <f>L11+L14</f>
        <v>635.07322608496</v>
      </c>
      <c r="M15" s="106">
        <f>M11+M14</f>
        <v>349.90260390356</v>
      </c>
      <c r="N15" s="106">
        <f>N11+N14</f>
        <v>209.94156234214</v>
      </c>
      <c r="O15" s="110">
        <f>SUM(C15:N15)</f>
        <v>4571.47752</v>
      </c>
      <c r="P15" s="99"/>
    </row>
    <row r="16" spans="1:19">
      <c r="B16" s="104" t="s">
        <v>115</v>
      </c>
      <c r="C16" s="106">
        <f>C12+C14</f>
        <v>0.99805207807118</v>
      </c>
      <c r="D16" s="106">
        <f>D12+D14</f>
        <v>83.337348518944</v>
      </c>
      <c r="E16" s="106">
        <f>E12+E14</f>
        <v>44.912343513203</v>
      </c>
      <c r="F16" s="106">
        <f>F12+F14</f>
        <v>9.9805207807118</v>
      </c>
      <c r="G16" s="106">
        <f>G12+G14</f>
        <v>16.634201301186</v>
      </c>
      <c r="H16" s="106">
        <f>H12+H14</f>
        <v>9.9805207807118</v>
      </c>
      <c r="I16" s="106">
        <f>I12+I14</f>
        <v>226.72416373517</v>
      </c>
      <c r="J16" s="106">
        <f>J12+J14</f>
        <v>22.456171756602</v>
      </c>
      <c r="K16" s="106">
        <f>K12+K14</f>
        <v>66.536805204745</v>
      </c>
      <c r="L16" s="106">
        <f>L12+L14</f>
        <v>90.57322608496</v>
      </c>
      <c r="M16" s="106">
        <f>M12+M14</f>
        <v>49.902603903559</v>
      </c>
      <c r="N16" s="106">
        <f>N12+N14</f>
        <v>29.941562342135</v>
      </c>
      <c r="O16" s="99"/>
      <c r="P16" s="99"/>
    </row>
    <row r="17" spans="1:19">
      <c r="B17" s="99" t="s">
        <v>116</v>
      </c>
      <c r="C17" s="106">
        <f>IF(O11&gt;5000,100*C13,50*C13)</f>
        <v>0.076540375047838</v>
      </c>
      <c r="D17" s="106">
        <f>IF(O11&gt;5000,100*D13,50*D13)</f>
        <v>6.3911213164944</v>
      </c>
      <c r="E17" s="106">
        <f>IF(O11&gt;5000,100*E13,50*E13)</f>
        <v>3.4443168771527</v>
      </c>
      <c r="F17" s="106">
        <f>IF(O11&gt;5000,100*F13,50*F13)</f>
        <v>0.76540375047838</v>
      </c>
      <c r="G17" s="106">
        <f>IF(O11&gt;5000,100*G13,50*G13)</f>
        <v>1.275672917464</v>
      </c>
      <c r="H17" s="106">
        <f>IF(O11&gt;5000,100*H13,50*H13)</f>
        <v>0.76540375047838</v>
      </c>
      <c r="I17" s="106">
        <f>IF(O11&gt;5000,100*I13,50*I13)</f>
        <v>17.387421865034</v>
      </c>
      <c r="J17" s="106">
        <f>IF(O11&gt;5000,100*J13,50*J13)</f>
        <v>1.7221584385763</v>
      </c>
      <c r="K17" s="106">
        <f>IF(O11&gt;5000,100*K13,50*K13)</f>
        <v>5.1026916698558</v>
      </c>
      <c r="L17" s="106">
        <f>IF(O11&gt;5000,100*L13,50*L13)</f>
        <v>6.9460390355913</v>
      </c>
      <c r="M17" s="106">
        <f>IF(O11&gt;5000,100*M13,50*M13)</f>
        <v>3.8270187523919</v>
      </c>
      <c r="N17" s="106">
        <f>IF(O11&gt;5000,100*N13,50*N13)</f>
        <v>2.2962112514351</v>
      </c>
      <c r="O17" s="99"/>
      <c r="P17" s="99"/>
    </row>
    <row r="18" spans="1:19">
      <c r="B18" s="99" t="s">
        <v>117</v>
      </c>
      <c r="C18" s="106">
        <f>C15+C17</f>
        <v>7.074592453119</v>
      </c>
      <c r="D18" s="106">
        <f>D15+D17</f>
        <v>590.72846983544</v>
      </c>
      <c r="E18" s="106">
        <f>E15+E17</f>
        <v>318.35666039036</v>
      </c>
      <c r="F18" s="106">
        <f>F15+F17</f>
        <v>70.74592453119</v>
      </c>
      <c r="G18" s="106">
        <f>G15+G17</f>
        <v>117.90987421865</v>
      </c>
      <c r="H18" s="106">
        <f>H15+H17</f>
        <v>70.74592453119</v>
      </c>
      <c r="I18" s="106">
        <f>I15+I17</f>
        <v>1607.1115856002</v>
      </c>
      <c r="J18" s="106">
        <f>J15+J17</f>
        <v>159.17833019518</v>
      </c>
      <c r="K18" s="106">
        <f>K15+K17</f>
        <v>471.6394968746</v>
      </c>
      <c r="L18" s="106">
        <f>L15+L17</f>
        <v>642.01926512055</v>
      </c>
      <c r="M18" s="106">
        <f>M15+M17</f>
        <v>353.72962265595</v>
      </c>
      <c r="N18" s="106">
        <f>N15+N17</f>
        <v>212.23777359357</v>
      </c>
      <c r="O18" s="99"/>
      <c r="P18" s="99"/>
    </row>
    <row r="19" spans="1:19">
      <c r="B19" s="104" t="s">
        <v>118</v>
      </c>
      <c r="C19" s="106">
        <f>C16+C17</f>
        <v>1.074592453119</v>
      </c>
      <c r="D19" s="106">
        <f>D16+D17</f>
        <v>89.728469835438</v>
      </c>
      <c r="E19" s="106">
        <f>E16+E17</f>
        <v>48.356660390356</v>
      </c>
      <c r="F19" s="106">
        <f>F16+F17</f>
        <v>10.74592453119</v>
      </c>
      <c r="G19" s="106">
        <f>G16+G17</f>
        <v>17.90987421865</v>
      </c>
      <c r="H19" s="106">
        <f>H16+H17</f>
        <v>10.74592453119</v>
      </c>
      <c r="I19" s="106">
        <f>I16+I17</f>
        <v>244.1115856002</v>
      </c>
      <c r="J19" s="106">
        <f>J16+J17</f>
        <v>24.178330195178</v>
      </c>
      <c r="K19" s="106">
        <f>K16+K17</f>
        <v>71.639496874601</v>
      </c>
      <c r="L19" s="106">
        <f>L16+L17</f>
        <v>97.519265120551</v>
      </c>
      <c r="M19" s="106">
        <f>M16+M17</f>
        <v>53.729622655951</v>
      </c>
      <c r="N19" s="106">
        <f>N16+N17</f>
        <v>32.237773593571</v>
      </c>
      <c r="O19" s="99"/>
      <c r="P19" s="99"/>
    </row>
    <row r="23" spans="1:19">
      <c r="B23" s="100" t="s">
        <v>130</v>
      </c>
      <c r="C23" s="99"/>
      <c r="D23" s="99"/>
      <c r="E23" s="99"/>
    </row>
    <row r="26" spans="1:19">
      <c r="B26" t="s">
        <v>102</v>
      </c>
      <c r="C26" s="101">
        <v>0</v>
      </c>
      <c r="D26" s="101">
        <f>D10*0.63</f>
        <v>15.75</v>
      </c>
      <c r="E26" s="101">
        <f>E10*0.63</f>
        <v>10.08</v>
      </c>
      <c r="F26" s="101">
        <v>0</v>
      </c>
      <c r="G26" s="101">
        <v>0</v>
      </c>
      <c r="H26" s="101">
        <v>0</v>
      </c>
      <c r="I26" s="101">
        <f>I10*0.63</f>
        <v>101.43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f>SUM(C26:N26)</f>
        <v>127.26</v>
      </c>
    </row>
    <row r="27" spans="1:19">
      <c r="C27" s="102">
        <v>0.11</v>
      </c>
      <c r="D27" s="102">
        <v>0.11</v>
      </c>
      <c r="E27" s="102">
        <v>0.11</v>
      </c>
      <c r="F27" s="102">
        <v>0.06</v>
      </c>
      <c r="G27" s="102">
        <v>0.0</v>
      </c>
      <c r="H27" s="102">
        <v>0.06</v>
      </c>
      <c r="I27" s="102">
        <v>0.11</v>
      </c>
      <c r="J27" s="102">
        <v>0.11</v>
      </c>
      <c r="K27" s="102">
        <v>0.0</v>
      </c>
      <c r="L27" s="102">
        <v>0.0</v>
      </c>
      <c r="M27" s="102">
        <v>0.0</v>
      </c>
      <c r="N27" s="102">
        <v>0.0</v>
      </c>
    </row>
    <row r="28" spans="1:19">
      <c r="B28" s="99" t="s">
        <v>131</v>
      </c>
      <c r="C28" s="106">
        <f>MAX(C19,C18)*C27</f>
        <v>0.77820516984309</v>
      </c>
      <c r="D28" s="106">
        <f>MAX(D19,D18)*D27</f>
        <v>64.980131681898</v>
      </c>
      <c r="E28" s="106">
        <f>MAX(E19,E18)*E27</f>
        <v>35.019232642939</v>
      </c>
      <c r="F28" s="106">
        <f>MAX(F19,F18)*F27</f>
        <v>4.2447554718714</v>
      </c>
      <c r="G28" s="106">
        <f>MAX(G19,G18)*G27</f>
        <v>0</v>
      </c>
      <c r="H28" s="106">
        <f>MAX(H19,H18)*H27</f>
        <v>4.2447554718714</v>
      </c>
      <c r="I28" s="106">
        <f>MAX(I19,I18)*I27</f>
        <v>176.78227441602</v>
      </c>
      <c r="J28" s="106">
        <f>MAX(J19,J18)*J27</f>
        <v>17.50961632147</v>
      </c>
      <c r="K28" s="106">
        <f>MAX(K19,K18)*K27</f>
        <v>0</v>
      </c>
      <c r="L28" s="106">
        <f>MAX(L19,L18)*L27</f>
        <v>0</v>
      </c>
      <c r="M28" s="106">
        <f>MAX(M19,M18)*M27</f>
        <v>0</v>
      </c>
      <c r="N28" s="106">
        <f>MAX(N19,N18)*N27</f>
        <v>0</v>
      </c>
      <c r="O28" s="106">
        <f>SUM(C28:N28)</f>
        <v>303.55897117592</v>
      </c>
      <c r="P28" s="99"/>
    </row>
    <row r="29" spans="1:19">
      <c r="B29" s="99" t="s">
        <v>33</v>
      </c>
      <c r="C29" s="106">
        <f>0.16*(MAX(C19,C18)+C28)</f>
        <v>1.2564476196739</v>
      </c>
      <c r="D29" s="106">
        <f>0.16*(MAX(D19,D18)+D28)</f>
        <v>104.91337624277</v>
      </c>
      <c r="E29" s="106">
        <f>0.16*(MAX(E19,E18)+E28)</f>
        <v>56.540142885327</v>
      </c>
      <c r="F29" s="106">
        <f>0.16*(MAX(F19,F18)+F28)</f>
        <v>11.99850880049</v>
      </c>
      <c r="G29" s="106">
        <f>0.16*(MAX(G19,G18)+G28)</f>
        <v>18.865579874984</v>
      </c>
      <c r="H29" s="106">
        <f>0.16*(MAX(H19,H18)+H28)</f>
        <v>11.99850880049</v>
      </c>
      <c r="I29" s="106">
        <f>0.16*(MAX(I19,I18)+I28)</f>
        <v>285.4230176026</v>
      </c>
      <c r="J29" s="106">
        <f>0.16*(MAX(J19,J18)+J28)</f>
        <v>28.270071442664</v>
      </c>
      <c r="K29" s="106">
        <f>0.16*(MAX(K19,K18)+K28)</f>
        <v>75.462319499936</v>
      </c>
      <c r="L29" s="106">
        <f>0.16*(MAX(L19,L18)+L28)</f>
        <v>102.72308241929</v>
      </c>
      <c r="M29" s="106">
        <f>0.16*(MAX(M19,M18)+M28)</f>
        <v>56.596739624952</v>
      </c>
      <c r="N29" s="106">
        <f>0.16*(MAX(N19,N18)+N28)</f>
        <v>33.958043774971</v>
      </c>
      <c r="O29" s="106">
        <f>SUM(C29:N29)</f>
        <v>788.00583858815</v>
      </c>
      <c r="P29" s="99"/>
    </row>
    <row r="30" spans="1:19">
      <c r="B30" s="99" t="s">
        <v>34</v>
      </c>
      <c r="C30" s="106">
        <f>0.02*(MAX(C19,C18)+C28)</f>
        <v>0.15705595245924</v>
      </c>
      <c r="D30" s="106">
        <f>0.02*(MAX(D19,D18)+D28)</f>
        <v>13.114172030347</v>
      </c>
      <c r="E30" s="106">
        <f>0.02*(MAX(E19,E18)+E28)</f>
        <v>7.0675178606659</v>
      </c>
      <c r="F30" s="106">
        <f>0.02*(MAX(F19,F18)+F28)</f>
        <v>1.4998136000612</v>
      </c>
      <c r="G30" s="106">
        <f>0.02*(MAX(G19,G18)+G28)</f>
        <v>2.358197484373</v>
      </c>
      <c r="H30" s="106">
        <f>0.02*(MAX(H19,H18)+H28)</f>
        <v>1.4998136000612</v>
      </c>
      <c r="I30" s="106">
        <f>0.02*(MAX(I19,I18)+I28)</f>
        <v>35.677877200325</v>
      </c>
      <c r="J30" s="106">
        <f>0.02*(MAX(J19,J18)+J28)</f>
        <v>3.5337589303329</v>
      </c>
      <c r="K30" s="106">
        <f>0.02*(MAX(K19,K18)+K28)</f>
        <v>9.432789937492</v>
      </c>
      <c r="L30" s="106">
        <f>0.02*(MAX(L19,L18)+L28)</f>
        <v>12.840385302411</v>
      </c>
      <c r="M30" s="106">
        <f>0.02*(MAX(M19,M18)+M28)</f>
        <v>7.074592453119</v>
      </c>
      <c r="N30" s="106">
        <f>0.02*(MAX(N19,N18)+N28)</f>
        <v>4.2447554718714</v>
      </c>
      <c r="O30" s="106">
        <f>SUM(C30:N30)</f>
        <v>98.500729823518</v>
      </c>
      <c r="P30" s="99"/>
    </row>
    <row r="31" spans="1:19">
      <c r="B31" s="99" t="s">
        <v>132</v>
      </c>
      <c r="C31" s="106">
        <f>0.035*(MAX(C18,C19) +C28+C29+C30)</f>
        <v>0.32432054182834</v>
      </c>
      <c r="D31" s="106">
        <f>0.035*(MAX(D18,D19) +D28+D29+D30)</f>
        <v>27.080765242666</v>
      </c>
      <c r="E31" s="106">
        <f>0.035*(MAX(E18,E19) +E28+E29+E30)</f>
        <v>14.594424382275</v>
      </c>
      <c r="F31" s="106">
        <f>0.035*(MAX(F18,F19) +F28+F29+F30)</f>
        <v>3.0971150841264</v>
      </c>
      <c r="G31" s="106">
        <f>0.035*(MAX(G18,G19) +G28+G29+G30)</f>
        <v>4.8696778052303</v>
      </c>
      <c r="H31" s="106">
        <f>0.035*(MAX(H18,H19) +H28+H29+H30)</f>
        <v>3.0971150841264</v>
      </c>
      <c r="I31" s="106">
        <f>0.035*(MAX(I18,I19) +I28+I29+I30)</f>
        <v>73.67481641867</v>
      </c>
      <c r="J31" s="106">
        <f>0.035*(MAX(J18,J19) +J28+J29+J30)</f>
        <v>7.2972121911375</v>
      </c>
      <c r="K31" s="106">
        <f>0.035*(MAX(K18,K19) +K28+K29+K30)</f>
        <v>19.478711220921</v>
      </c>
      <c r="L31" s="106">
        <f>0.035*(MAX(L18,L19) +L28+L29+L30)</f>
        <v>26.515395649479</v>
      </c>
      <c r="M31" s="106">
        <f>0.035*(MAX(M18,M19) +M28+M29+M30)</f>
        <v>14.609033415691</v>
      </c>
      <c r="N31" s="106">
        <f>0.035*(MAX(N18,N19) +N28+N29+N30)</f>
        <v>8.7654200494145</v>
      </c>
      <c r="O31" s="106">
        <f>SUM(C31:N31)</f>
        <v>203.40400708557</v>
      </c>
      <c r="P31" s="99"/>
    </row>
    <row r="32" spans="1:19">
      <c r="B32" s="99" t="s">
        <v>83</v>
      </c>
      <c r="C32" s="106">
        <f>SUM(C28:C31)</f>
        <v>2.5160292838046</v>
      </c>
      <c r="D32" s="106">
        <f>SUM(D28:D31)</f>
        <v>210.08844519768</v>
      </c>
      <c r="E32" s="106">
        <f>SUM(E28:E31)</f>
        <v>113.22131777121</v>
      </c>
      <c r="F32" s="106">
        <f>SUM(F28:F31)</f>
        <v>20.840192956549</v>
      </c>
      <c r="G32" s="106">
        <f>SUM(G28:G31)</f>
        <v>26.093455164587</v>
      </c>
      <c r="H32" s="106">
        <f>SUM(H28:H31)</f>
        <v>20.840192956549</v>
      </c>
      <c r="I32" s="106">
        <f>SUM(I28:I31)</f>
        <v>571.55798563762</v>
      </c>
      <c r="J32" s="106">
        <f>SUM(J28:J31)</f>
        <v>56.610658885604</v>
      </c>
      <c r="K32" s="106">
        <f>SUM(K28:K31)</f>
        <v>104.37382065835</v>
      </c>
      <c r="L32" s="106">
        <f>SUM(L28:L31)</f>
        <v>142.07886337118</v>
      </c>
      <c r="M32" s="106">
        <f>SUM(M28:M31)</f>
        <v>78.280365493762</v>
      </c>
      <c r="N32" s="106">
        <f>SUM(N28:N31)</f>
        <v>46.968219296257</v>
      </c>
      <c r="O32" s="106">
        <f>SUM(O28:O31)</f>
        <v>1393.4695466731</v>
      </c>
      <c r="P32" s="99"/>
    </row>
    <row r="37" spans="1:19">
      <c r="B37" s="100" t="s">
        <v>133</v>
      </c>
      <c r="C37" s="99"/>
      <c r="D37" s="99"/>
      <c r="E37" s="99"/>
    </row>
    <row r="40" spans="1:19">
      <c r="B40" s="99" t="s">
        <v>134</v>
      </c>
      <c r="C40" s="106">
        <f>C13*O40</f>
        <v>0.66536805204745</v>
      </c>
      <c r="D40" s="106">
        <f>D13*O40</f>
        <v>55.558232345962</v>
      </c>
      <c r="E40" s="106">
        <f>E13*O40</f>
        <v>29.941562342135</v>
      </c>
      <c r="F40" s="106">
        <f>F13*O40</f>
        <v>6.6536805204745</v>
      </c>
      <c r="G40" s="106">
        <f>G13*O40</f>
        <v>11.089467534124</v>
      </c>
      <c r="H40" s="106">
        <f>H13*O40</f>
        <v>6.6536805204745</v>
      </c>
      <c r="I40" s="106">
        <f>I13*O40</f>
        <v>151.14944249011</v>
      </c>
      <c r="J40" s="106">
        <f>J13*O40</f>
        <v>14.970781171068</v>
      </c>
      <c r="K40" s="106">
        <f>K13*O40</f>
        <v>44.357870136497</v>
      </c>
      <c r="L40" s="106">
        <f>L13*O40</f>
        <v>60.382150723306</v>
      </c>
      <c r="M40" s="106">
        <f>M13*O40</f>
        <v>33.268402602373</v>
      </c>
      <c r="N40" s="106">
        <f>N13*O40</f>
        <v>19.961041561424</v>
      </c>
      <c r="O40" s="99">
        <f>IF(O7&lt;1, S7*0.4, S7*0.4*O7)</f>
        <v>434.65168</v>
      </c>
      <c r="P40" s="99"/>
    </row>
    <row r="41" spans="1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1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1:19">
      <c r="B43" s="99" t="s">
        <v>134</v>
      </c>
      <c r="C43" s="99" t="s">
        <v>92</v>
      </c>
      <c r="D43" s="99" t="s">
        <v>86</v>
      </c>
      <c r="E43" s="99" t="s">
        <v>85</v>
      </c>
      <c r="F43" s="99" t="s">
        <v>84</v>
      </c>
      <c r="G43" s="99" t="s">
        <v>119</v>
      </c>
      <c r="H43" s="99" t="s">
        <v>120</v>
      </c>
      <c r="I43" s="99" t="s">
        <v>121</v>
      </c>
      <c r="J43" s="99" t="s">
        <v>122</v>
      </c>
      <c r="K43" s="99" t="s">
        <v>123</v>
      </c>
      <c r="L43" s="99" t="s">
        <v>124</v>
      </c>
      <c r="M43" s="99" t="s">
        <v>125</v>
      </c>
      <c r="N43" s="99" t="s">
        <v>126</v>
      </c>
      <c r="O43" s="99" t="s">
        <v>127</v>
      </c>
      <c r="P43" s="99"/>
    </row>
    <row r="44" spans="1:19">
      <c r="B44" s="99" t="s">
        <v>135</v>
      </c>
      <c r="C44" s="106">
        <f>SUM(C15,C40,C32,(C26))</f>
        <v>10.179449413923</v>
      </c>
      <c r="D44" s="106">
        <f>SUM(D15,D40,D32,(D26))</f>
        <v>865.73402606259</v>
      </c>
      <c r="E44" s="106">
        <f>SUM(E15,E40,E32,(E26))</f>
        <v>468.15522362655</v>
      </c>
      <c r="F44" s="106">
        <f>SUM(F15,F40,F32,(F26))</f>
        <v>97.474394257735</v>
      </c>
      <c r="G44" s="106">
        <f>SUM(G15,G40,G32,(G26))</f>
        <v>153.8171239999</v>
      </c>
      <c r="H44" s="106">
        <f>SUM(H15,H40,H32,(H26))</f>
        <v>97.474394257735</v>
      </c>
      <c r="I44" s="106">
        <f>SUM(I15,I40,I32,(I26))</f>
        <v>2413.8615918629</v>
      </c>
      <c r="J44" s="106">
        <f>SUM(J15,J40,J32,(J26))</f>
        <v>229.03761181327</v>
      </c>
      <c r="K44" s="106">
        <f>SUM(K15,K40,K32,(K26))</f>
        <v>615.26849599959</v>
      </c>
      <c r="L44" s="106">
        <f>SUM(L15,L40,L32,(L26))</f>
        <v>837.53424017944</v>
      </c>
      <c r="M44" s="106">
        <f>SUM(M15,M40,M32,(M26))</f>
        <v>461.45137199969</v>
      </c>
      <c r="N44" s="106">
        <f>SUM(N15,N40,N32,(N26))</f>
        <v>276.87082319982</v>
      </c>
      <c r="O44" s="106">
        <f>SUM(C44:N44)</f>
        <v>6526.8587466732</v>
      </c>
      <c r="P44" s="99"/>
    </row>
    <row r="45" spans="1:19">
      <c r="B45" s="99" t="s">
        <v>136</v>
      </c>
      <c r="C45" s="99">
        <v>2.0</v>
      </c>
      <c r="D45" s="99">
        <v>25.0</v>
      </c>
      <c r="E45" s="99">
        <v>16.0</v>
      </c>
      <c r="F45" s="99">
        <v>2.0</v>
      </c>
      <c r="G45" s="99">
        <v>20.0</v>
      </c>
      <c r="H45" s="99">
        <v>2.0</v>
      </c>
      <c r="I45" s="99">
        <v>161.0</v>
      </c>
      <c r="J45" s="99">
        <v>15.0</v>
      </c>
      <c r="K45" s="99">
        <v>8.0</v>
      </c>
      <c r="L45" s="99">
        <v>32.0</v>
      </c>
      <c r="M45" s="99">
        <v>1.0</v>
      </c>
      <c r="N45" s="99">
        <v>1.0</v>
      </c>
      <c r="O45" s="99"/>
      <c r="P45" s="99"/>
    </row>
    <row r="46" spans="1:19">
      <c r="B46" s="99" t="s">
        <v>137</v>
      </c>
      <c r="C46" s="106">
        <f>SUM(C44/C45)</f>
        <v>5.0897247069616</v>
      </c>
      <c r="D46" s="106">
        <f>SUM(D44/D45)</f>
        <v>34.629361042504</v>
      </c>
      <c r="E46" s="106">
        <f>SUM(E44/E45)</f>
        <v>29.259701476659</v>
      </c>
      <c r="F46" s="106">
        <f>SUM(F44/F45)</f>
        <v>48.737197128868</v>
      </c>
      <c r="G46" s="106">
        <f>SUM(G44/G45)</f>
        <v>7.6908561999949</v>
      </c>
      <c r="H46" s="106">
        <f>SUM(H44/H45)</f>
        <v>48.737197128868</v>
      </c>
      <c r="I46" s="106">
        <f>SUM(I44/I45)</f>
        <v>14.992929142006</v>
      </c>
      <c r="J46" s="106">
        <f>SUM(J44/J45)</f>
        <v>15.269174120885</v>
      </c>
      <c r="K46" s="106">
        <f>SUM(K44/K45)</f>
        <v>76.908561999949</v>
      </c>
      <c r="L46" s="106">
        <f>SUM(L44/L45)</f>
        <v>26.172945005608</v>
      </c>
      <c r="M46" s="106">
        <f>SUM(M44/M45)</f>
        <v>461.45137199969</v>
      </c>
      <c r="N46" s="106">
        <f>SUM(N44/N45)</f>
        <v>276.87082319982</v>
      </c>
      <c r="O46" s="99"/>
      <c r="P46" s="99"/>
    </row>
    <row r="47" spans="1:19">
      <c r="B47" s="99" t="s">
        <v>138</v>
      </c>
      <c r="C47" s="111">
        <f>C46*3.7</f>
        <v>18.831981415758</v>
      </c>
      <c r="D47" s="111">
        <f>D46*3.7</f>
        <v>128.12863585726</v>
      </c>
      <c r="E47" s="111">
        <f>E46*3.7</f>
        <v>108.26089546364</v>
      </c>
      <c r="F47" s="111">
        <f>F46*3.7</f>
        <v>180.32762937681</v>
      </c>
      <c r="G47" s="111">
        <f>G46*3.7</f>
        <v>28.456167939981</v>
      </c>
      <c r="H47" s="111">
        <f>H46*3.7</f>
        <v>180.32762937681</v>
      </c>
      <c r="I47" s="111">
        <f>I46*3.7</f>
        <v>55.473837825421</v>
      </c>
      <c r="J47" s="111">
        <f>J46*3.7</f>
        <v>56.495944247274</v>
      </c>
      <c r="K47" s="111">
        <f>K46*3.7</f>
        <v>284.56167939981</v>
      </c>
      <c r="L47" s="111">
        <f>L46*3.7</f>
        <v>96.839896520748</v>
      </c>
      <c r="M47" s="111">
        <f>M46*3.7</f>
        <v>1707.3700763989</v>
      </c>
      <c r="N47" s="111">
        <f>N46*3.7</f>
        <v>1024.4220458393</v>
      </c>
      <c r="O47" s="99"/>
      <c r="P47" s="99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