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<sst xmlns="http://schemas.openxmlformats.org/spreadsheetml/2006/main" uniqueCount="135">
  <si>
    <t>COTIZACION Nº20240000001</t>
  </si>
  <si>
    <t>NOMBRE:</t>
  </si>
  <si>
    <t>Edison Benicio Mayhualla</t>
  </si>
  <si>
    <t>CHRISTOPHER ARBAIZA SOLIS</t>
  </si>
  <si>
    <t>SERVICIO:</t>
  </si>
  <si>
    <t>CARGA CONSOLIDADA</t>
  </si>
  <si>
    <t>N° CAJAS:</t>
  </si>
  <si>
    <t>DNI/RUC:</t>
  </si>
  <si>
    <t>FECHA:</t>
  </si>
  <si>
    <t>PESO:</t>
  </si>
  <si>
    <t>669.4 Kg</t>
  </si>
  <si>
    <t>CORREO:</t>
  </si>
  <si>
    <t>ORIGEN:</t>
  </si>
  <si>
    <t>CHINA</t>
  </si>
  <si>
    <t>MEDIDA</t>
  </si>
  <si>
    <t>TELEFONO:</t>
  </si>
  <si>
    <t>51 972263251</t>
  </si>
  <si>
    <t>CLIENTE:</t>
  </si>
  <si>
    <t>NUEVO</t>
  </si>
  <si>
    <t>ANTIGUO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</si>
  <si>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</si>
  <si>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</si>
  <si>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</si>
  <si>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</si>
  <si>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</si>
  <si>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</si>
  <si>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</si>
  <si>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</si>
  <si>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</si>
  <si>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</si>
  <si>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</si>
  <si>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</si>
  <si>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CHRISTOPHER ARBAIZA SOLIS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</si>
  <si>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</si>
  <si>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</si>
  <si>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</si>
  <si>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</si>
  <si>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</si>
  <si>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</si>
  <si>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</si>
  <si>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</si>
  <si>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</si>
  <si>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</si>
  <si>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</si>
  <si>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</si>
  <si>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</si>
  <si>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</si>
  <si>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</si>
  <si>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</si>
  <si>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</si>
  <si>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</si>
  <si>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</si>
  <si>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CINTA DECORATIVA SATINADA</t>
  </si>
  <si>
    <t>CINTA DECORATIVA</t>
  </si>
  <si>
    <t>CINTA DECORATIVA ESTILO ESCARCHADO</t>
  </si>
  <si>
    <t>BOLSA DECORATIVA GRANDE PARA FLORES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</si>
  <si>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</si>
  <si>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</si>
  <si>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</si>
  <si>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</si>
  <si>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</si>
  <si>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</si>
  <si>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</si>
  <si>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</si>
  <si>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</si>
  <si>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</si>
  <si>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</si>
  <si>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</si>
  <si>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</si>
  <si>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</si>
  <si>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</si>
  <si>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</si>
  <si>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</si>
  <si>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</si>
  <si>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</si>
  <si>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</si>
  <si>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</si>
  <si>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</si>
  <si>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</si>
  <si>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</si>
  <si>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</si>
  <si>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</si>
  <si>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</si>
  <si>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</si>
  <si>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</si>
  <si>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</si>
  <si>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</si>
  <si>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</si>
  <si>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</si>
  <si>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</si>
  <si>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</si>
  <si>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</si>
  <si>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</si>
  <si>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</si>
  <si>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</si>
  <si>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</si>
  <si>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</si>
  <si>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</si>
  <si>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</si>
  <si>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</si>
  <si>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</si>
  <si>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</si>
  <si>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</si>
  <si>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</si>
  <si>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</si>
  <si>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</si>
  <si>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</si>
  <si>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</si>
  <si>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</si>
  <si>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</si>
  <si>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</si>
  <si>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</si>
  <si>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</si>
  <si>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</si>
  <si>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</si>
  <si>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</si>
  <si>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</si>
  <si>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</si>
  <si>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</si>
  <si>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</si>
  <si>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BOLSA DE DECORACION PARA REGALO</t>
  </si>
  <si>
    <t>BOLSA DE REGALO PARA FLORES</t>
  </si>
  <si>
    <t>BOLSA DE REGALO CON ASAS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</si>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</sst>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3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&quot;$&quot;#,##0_-"/>
    <numFmt numFmtId="175" formatCode="0.00&quot; Kg&quot;"/>
    <numFmt numFmtId="176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4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4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5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4" fillId="0" borderId="9" applyFont="1" applyNumberFormat="1" applyFill="0" applyBorder="1" applyAlignment="0"/>
    <xf xfId="0" fontId="0" numFmtId="176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4" fillId="5" borderId="9" applyFont="1" applyNumberFormat="1" applyFill="1" applyBorder="1" applyAlignment="1">
      <alignment horizontal="center" vertical="bottom" textRotation="0" wrapText="false" shrinkToFit="false"/>
    </xf>
    <xf xfId="0" fontId="8" numFmtId="176" fillId="5" borderId="9" applyFont="1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0"/>
    <xf xfId="0" fontId="9" numFmtId="174" fillId="2" borderId="9" applyFont="1" applyNumberFormat="1" applyFill="1" applyBorder="1" applyAlignment="0"/>
    <xf xfId="0" fontId="5" numFmtId="174" fillId="2" borderId="9" applyFont="1" applyNumberFormat="1" applyFill="1" applyBorder="1" applyAlignment="1">
      <alignment horizontal="right" vertical="bottom" textRotation="0" wrapText="false" shrinkToFit="false"/>
    </xf>
    <xf xfId="0" fontId="25" numFmtId="176" fillId="5" borderId="9" applyFont="1" applyNumberFormat="1" applyFill="1" applyBorder="1" applyAlignment="1">
      <alignment horizontal="left" vertical="bottom" textRotation="0" wrapText="false" shrinkToFit="false"/>
    </xf>
    <xf xfId="0" fontId="2" numFmtId="0" fillId="2" borderId="9" applyFont="1" applyNumberFormat="0" applyFill="1" applyBorder="1" applyAlignment="0"/>
    <xf xfId="0" fontId="4" numFmtId="0" fillId="2" borderId="9" applyFont="1" applyNumberFormat="0" applyFill="1" applyBorder="1" applyAlignment="0"/>
    <xf xfId="0" fontId="4" numFmtId="174" fillId="2" borderId="9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40" sqref="J40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2"/>
      <c r="G3" s="62"/>
      <c r="H3" s="62"/>
      <c r="I3" s="62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3"/>
      <c r="G4" s="63"/>
      <c r="H4" s="63"/>
      <c r="I4" s="63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4" t="s">
        <v>0</v>
      </c>
      <c r="E7" s="64"/>
      <c r="F7" s="64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4" t="s">
        <v>3</v>
      </c>
      <c r="D8" s="9" t="s">
        <v>4</v>
      </c>
      <c r="E8" s="10" t="s">
        <v>5</v>
      </c>
      <c r="F8" s="11"/>
      <c r="G8" s="3"/>
      <c r="H8" s="1" t="s">
        <v>6</v>
      </c>
      <c r="I8" s="65" t="str">
        <f>+'2'!D5</f>
        <v>CINTA DECORATIVA</v>
      </c>
      <c r="J8" s="65"/>
      <c r="K8" s="65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6">
        <f>+TODAY()</f>
        <v>45917</v>
      </c>
      <c r="F9" s="67"/>
      <c r="G9" s="3"/>
      <c r="H9" s="1" t="s">
        <v>9</v>
      </c>
      <c r="I9" s="68">
        <f>+'2'!D6</f>
        <v>0</v>
      </c>
      <c r="J9" s="68" t="s">
        <v>10</v>
      </c>
      <c r="K9" s="68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71889152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19</v>
      </c>
      <c r="G11" s="1"/>
      <c r="H11" s="1" t="s">
        <v>20</v>
      </c>
      <c r="I11" s="69" t="s">
        <v>21</v>
      </c>
      <c r="J11" s="115">
        <f>'2'!I7</f>
        <v>0</v>
      </c>
      <c r="K11" s="69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0" t="s">
        <v>22</v>
      </c>
      <c r="B13" s="70"/>
      <c r="C13" s="70"/>
      <c r="D13" s="70"/>
      <c r="E13" s="70"/>
      <c r="F13" s="21"/>
      <c r="G13" s="21"/>
      <c r="H13" s="22"/>
      <c r="I13" s="22"/>
      <c r="J13" s="23" t="s">
        <v>23</v>
      </c>
      <c r="K13" s="23" t="s">
        <v>24</v>
      </c>
      <c r="L13" s="1"/>
      <c r="M13" s="1"/>
      <c r="N13" s="1"/>
      <c r="O13" s="1"/>
      <c r="P13" s="1"/>
      <c r="Q13" s="1"/>
    </row>
    <row r="14" spans="1:17">
      <c r="A14" s="71" t="s">
        <v>25</v>
      </c>
      <c r="B14" s="71"/>
      <c r="C14" s="71"/>
      <c r="D14" s="3"/>
      <c r="E14" s="3"/>
      <c r="F14" s="3"/>
      <c r="G14" s="3"/>
      <c r="H14" s="1"/>
      <c r="I14" s="1"/>
      <c r="J14" s="25">
        <f>'2'!D18</f>
        <v>1392.5569237119</v>
      </c>
      <c r="K14" s="26">
        <f>'2'!I11</f>
        <v>506</v>
      </c>
      <c r="L14" s="1"/>
      <c r="M14" s="1"/>
      <c r="N14" s="1"/>
      <c r="O14" s="1"/>
      <c r="P14" s="1"/>
      <c r="Q14" s="1"/>
    </row>
    <row r="15" spans="1:17">
      <c r="A15" s="72" t="s">
        <v>26</v>
      </c>
      <c r="B15" s="72"/>
      <c r="C15" s="72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'2'!I14 + '2'!I17</f>
        <v>81.194836165188</v>
      </c>
      <c r="L15" s="1"/>
      <c r="M15" s="1"/>
      <c r="N15" s="1"/>
      <c r="O15" s="1"/>
      <c r="P15" s="1"/>
      <c r="Q15" s="1"/>
    </row>
    <row r="16" spans="1:17">
      <c r="A16" s="7" t="s">
        <v>27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28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0" t="s">
        <v>29</v>
      </c>
      <c r="B19" s="70"/>
      <c r="C19" s="70"/>
      <c r="D19" s="70"/>
      <c r="E19" s="70"/>
      <c r="F19" s="21"/>
      <c r="G19" s="21"/>
      <c r="H19" s="21"/>
      <c r="I19" s="23" t="s">
        <v>30</v>
      </c>
      <c r="J19" s="23" t="s">
        <v>23</v>
      </c>
      <c r="K19" s="23" t="s">
        <v>24</v>
      </c>
      <c r="L19" s="1"/>
      <c r="M19" s="1"/>
      <c r="N19" s="1"/>
      <c r="O19" s="1"/>
      <c r="P19" s="1"/>
      <c r="Q19" s="1"/>
    </row>
    <row r="20" spans="1:17">
      <c r="A20" s="3" t="s">
        <v>31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'2'!I28</f>
        <v>0</v>
      </c>
      <c r="L20" s="1"/>
      <c r="M20" s="1"/>
      <c r="N20" s="30" t="s">
        <v>32</v>
      </c>
      <c r="O20" s="1"/>
      <c r="P20" s="1"/>
      <c r="Q20" s="1"/>
    </row>
    <row r="21" spans="1:17">
      <c r="A21" s="3" t="s">
        <v>33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'2'!I29</f>
        <v>93.95117378643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34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'2'!I30</f>
        <v>11.743896723304</v>
      </c>
      <c r="L22" s="1"/>
      <c r="M22" s="1"/>
      <c r="N22" s="1"/>
      <c r="O22" s="1"/>
      <c r="P22" s="1"/>
      <c r="Q22" s="1"/>
    </row>
    <row r="23" spans="1:17">
      <c r="A23" s="18" t="s">
        <v>35</v>
      </c>
      <c r="B23" s="18"/>
      <c r="C23" s="18"/>
      <c r="D23" s="18"/>
      <c r="E23" s="18"/>
      <c r="F23" s="18"/>
      <c r="G23" s="18"/>
      <c r="H23" s="18"/>
      <c r="I23" s="32">
        <f>MAX('2'!C30:C30)</f>
        <v>16.745497007636</v>
      </c>
      <c r="J23" s="27">
        <f>'2'!D31</f>
        <v>57.512600949302</v>
      </c>
      <c r="K23" s="28" t="s">
        <v>28</v>
      </c>
      <c r="L23" s="1"/>
      <c r="M23" s="1"/>
      <c r="N23" s="1"/>
      <c r="O23" s="1"/>
      <c r="P23" s="1"/>
      <c r="Q23" s="1"/>
    </row>
    <row r="24" spans="1:17">
      <c r="A24" s="7" t="s">
        <v>36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57.512600949302</v>
      </c>
      <c r="K24" s="26" t="s">
        <v>28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'2'!I31</f>
        <v>24.251146733622</v>
      </c>
      <c r="L25" s="1"/>
      <c r="M25" s="1"/>
      <c r="N25" s="1"/>
      <c r="O25" s="1"/>
      <c r="P25" s="1"/>
      <c r="Q25" s="1"/>
    </row>
    <row r="26" spans="1:17">
      <c r="A26" s="18" t="s">
        <v>37</v>
      </c>
      <c r="B26" s="18"/>
      <c r="C26" s="18"/>
      <c r="D26" s="18"/>
      <c r="E26" s="18"/>
      <c r="F26" s="18"/>
      <c r="G26" s="18"/>
      <c r="H26" s="18"/>
      <c r="I26" s="36" t="s">
        <v>38</v>
      </c>
      <c r="J26" s="27">
        <f>'2'!D37</f>
        <v/>
      </c>
      <c r="K26" s="28" t="s">
        <v>28</v>
      </c>
      <c r="L26" s="1"/>
      <c r="M26" s="1"/>
      <c r="N26" s="1"/>
      <c r="O26" s="1"/>
      <c r="P26" s="1"/>
      <c r="Q26" s="1"/>
    </row>
    <row r="27" spans="1:17">
      <c r="A27" s="7" t="s">
        <v>39</v>
      </c>
      <c r="B27" s="3"/>
      <c r="C27" s="3"/>
      <c r="D27" s="3"/>
      <c r="E27" s="3"/>
      <c r="F27" s="3"/>
      <c r="G27" s="3"/>
      <c r="H27" s="3"/>
      <c r="I27" s="1"/>
      <c r="J27" s="25">
        <f>J24+J26</f>
        <v>57.512600949302</v>
      </c>
      <c r="K27" s="26" t="s">
        <v>28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1" t="s">
        <v>40</v>
      </c>
      <c r="B29" s="61"/>
      <c r="C29" s="61"/>
      <c r="D29" s="61"/>
      <c r="E29" s="61"/>
      <c r="F29" s="37"/>
      <c r="G29" s="37"/>
      <c r="H29" s="38"/>
      <c r="I29" s="38"/>
      <c r="J29" s="38" t="s">
        <v>23</v>
      </c>
      <c r="K29" s="38">
        <f>K14</f>
        <v>506</v>
      </c>
      <c r="L29" s="1"/>
      <c r="M29" s="1"/>
      <c r="N29" s="1"/>
      <c r="O29" s="1"/>
      <c r="P29" s="1"/>
      <c r="Q29" s="1"/>
    </row>
    <row r="30" spans="1:17">
      <c r="A30" s="3" t="s">
        <v>41</v>
      </c>
      <c r="B30" s="3"/>
      <c r="C30" s="3"/>
      <c r="D30" s="3"/>
      <c r="E30" s="3"/>
      <c r="F30" s="3"/>
      <c r="G30" s="3"/>
      <c r="H30" s="25"/>
      <c r="I30" s="25"/>
      <c r="J30" s="25">
        <f>J14</f>
        <v>1392.5569237119</v>
      </c>
      <c r="K30" s="26">
        <f>IF(J11&lt;1, 300, 300*J11)</f>
        <v>300</v>
      </c>
      <c r="L30" s="1"/>
      <c r="M30" s="1"/>
      <c r="N30" s="1"/>
      <c r="O30" s="1"/>
      <c r="P30" s="1"/>
      <c r="Q30" s="1"/>
    </row>
    <row r="31" spans="1:17">
      <c r="A31" s="3" t="s">
        <v>42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129.94621724336</v>
      </c>
      <c r="L31" s="30" t="s">
        <v>23</v>
      </c>
      <c r="M31" s="1"/>
      <c r="N31" s="1"/>
      <c r="O31" s="1"/>
      <c r="P31" s="1"/>
      <c r="Q31" s="1"/>
    </row>
    <row r="32" spans="1:17">
      <c r="A32" s="18" t="s">
        <v>43</v>
      </c>
      <c r="B32" s="18"/>
      <c r="C32" s="18"/>
      <c r="D32" s="18"/>
      <c r="E32" s="18"/>
      <c r="F32" s="18"/>
      <c r="G32" s="18"/>
      <c r="H32" s="27"/>
      <c r="I32" s="27"/>
      <c r="J32" s="27">
        <f>J27</f>
        <v>57.512600949302</v>
      </c>
      <c r="K32" s="28">
        <f>K29+K30+K31</f>
        <v>935.94621724336</v>
      </c>
      <c r="L32" s="1"/>
      <c r="M32" s="1"/>
      <c r="N32" s="34"/>
      <c r="O32" s="1"/>
      <c r="P32" s="1"/>
      <c r="Q32" s="1"/>
    </row>
    <row r="33" spans="1:17">
      <c r="A33" s="7" t="s">
        <v>44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28</v>
      </c>
      <c r="L33" s="1"/>
      <c r="M33" s="75" t="s">
        <v>45</v>
      </c>
      <c r="N33" s="75"/>
      <c r="O33" s="75"/>
      <c r="P33" s="75"/>
      <c r="Q33" s="75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6"/>
      <c r="N34" s="76"/>
      <c r="O34" s="76"/>
      <c r="P34" s="76"/>
      <c r="Q34" s="76"/>
    </row>
    <row r="35" spans="1:17">
      <c r="A35" s="77" t="s">
        <v>46</v>
      </c>
      <c r="B35" s="78"/>
      <c r="C35" s="78"/>
      <c r="D35" s="78"/>
      <c r="E35" s="78"/>
      <c r="F35" s="78"/>
      <c r="G35" s="78"/>
      <c r="H35" s="78"/>
      <c r="I35" s="78"/>
      <c r="J35" s="78"/>
      <c r="K35" s="79"/>
      <c r="L35" s="1"/>
      <c r="M35" s="80" t="s">
        <v>47</v>
      </c>
      <c r="N35" s="82" t="s">
        <v>48</v>
      </c>
      <c r="O35" s="84" t="s">
        <v>49</v>
      </c>
      <c r="P35" s="86" t="s">
        <v>50</v>
      </c>
      <c r="Q35" s="88" t="s">
        <v>51</v>
      </c>
    </row>
    <row r="36" spans="1:17">
      <c r="A36" s="39"/>
      <c r="B36" s="41">
        <v>1</v>
      </c>
      <c r="C36" s="41" t="s">
        <v>52</v>
      </c>
      <c r="D36" s="41"/>
      <c r="E36" s="41"/>
      <c r="F36" s="41">
        <f>'2'!C10</f>
        <v>390</v>
      </c>
      <c r="G36" s="118">
        <f>'2'!C8</f>
        <v>1.85</v>
      </c>
      <c r="H36" s="42"/>
      <c r="I36" s="118">
        <f>'2'!C46</f>
        <v>2.7845137154617</v>
      </c>
      <c r="J36" s="116">
        <f>'2'!C44</f>
        <v>1085.9603490301</v>
      </c>
      <c r="K36" s="117">
        <f>'2'!C47</f>
        <v>10.302700747208</v>
      </c>
      <c r="L36" s="42"/>
      <c r="M36" s="81"/>
      <c r="N36" s="83"/>
      <c r="O36" s="85"/>
      <c r="P36" s="87"/>
      <c r="Q36" s="89"/>
    </row>
    <row r="37" spans="1:17">
      <c r="A37" s="39"/>
      <c r="B37" s="41">
        <v>2</v>
      </c>
      <c r="C37" s="41" t="s">
        <v>53</v>
      </c>
      <c r="D37" s="41"/>
      <c r="E37" s="41"/>
      <c r="F37" s="59">
        <f>'2'!D10</f>
        <v>1500</v>
      </c>
      <c r="G37" s="118">
        <f>'2'!D8</f>
        <v>0.8</v>
      </c>
      <c r="H37" s="58"/>
      <c r="I37" s="119">
        <f>'2'!D46</f>
        <v>1.2041140391186</v>
      </c>
      <c r="J37" s="116">
        <f>'2'!D44</f>
        <v>1806.1710586779</v>
      </c>
      <c r="K37" s="117">
        <f>'2'!D47</f>
        <v>4.4552219447387</v>
      </c>
      <c r="L37" s="42"/>
      <c r="M37" s="39">
        <v>1</v>
      </c>
      <c r="N37" s="40">
        <f>+B37</f>
        <v>2</v>
      </c>
      <c r="O37" s="43">
        <f>+F37</f>
        <v>1500</v>
      </c>
      <c r="P37" s="44">
        <f>+H37</f>
        <v/>
      </c>
      <c r="Q37" s="45">
        <f>P37*3.8</f>
        <v>0</v>
      </c>
    </row>
    <row r="38" spans="1:17" customHeight="1" ht="15.6">
      <c r="A38" s="46"/>
      <c r="B38" s="41">
        <v>3</v>
      </c>
      <c r="C38" s="41" t="s">
        <v>54</v>
      </c>
      <c r="D38" s="41"/>
      <c r="E38" s="60"/>
      <c r="F38" s="41">
        <f>'2'!E10</f>
        <v>590</v>
      </c>
      <c r="G38" s="118">
        <f>'2'!E8</f>
        <v>1.54</v>
      </c>
      <c r="H38" s="42"/>
      <c r="I38" s="120">
        <f>'2'!E46</f>
        <v>2.3179195253032</v>
      </c>
      <c r="J38" s="121">
        <f>'2'!E44</f>
        <v>1367.5725199289</v>
      </c>
      <c r="K38" s="122">
        <f>'2'!E47</f>
        <v>8.576302243622</v>
      </c>
      <c r="L38" s="41"/>
      <c r="M38" s="1"/>
      <c r="N38" s="1"/>
      <c r="O38" s="1"/>
      <c r="P38" s="1"/>
      <c r="Q38" s="1"/>
    </row>
    <row r="39" spans="1:17" customHeight="1" ht="15.6">
      <c r="A39" s="46"/>
      <c r="B39" s="41">
        <v>4</v>
      </c>
      <c r="C39" s="41" t="s">
        <v>55</v>
      </c>
      <c r="D39" s="41"/>
      <c r="E39" s="60"/>
      <c r="F39" s="41">
        <f>'2'!F10</f>
        <v>600</v>
      </c>
      <c r="G39" s="118">
        <f>'2'!F8</f>
        <v>0.47666666666667</v>
      </c>
      <c r="H39" s="42"/>
      <c r="I39" s="120">
        <f>'2'!F46</f>
        <v>0.75798534118197</v>
      </c>
      <c r="J39" s="121">
        <f>'2'!F44</f>
        <v>454.79120470918</v>
      </c>
      <c r="K39" s="122">
        <f>'2'!F47</f>
        <v>2.8045457623733</v>
      </c>
      <c r="L39" s="42"/>
      <c r="M39" s="90" t="s">
        <v>56</v>
      </c>
      <c r="N39" s="90"/>
      <c r="O39" s="90"/>
      <c r="P39" s="91" t="s">
        <v>57</v>
      </c>
      <c r="Q39" s="92"/>
    </row>
    <row r="40" spans="1:17" customHeight="1" ht="18">
      <c r="A40" s="48" t="s">
        <v>58</v>
      </c>
      <c r="B40" s="124" t="s">
        <v>39</v>
      </c>
      <c r="C40" s="123"/>
      <c r="D40" s="123"/>
      <c r="E40" s="123"/>
      <c r="F40" s="124">
        <f>SUM(F36:F39)</f>
        <v>3080</v>
      </c>
      <c r="G40" s="123"/>
      <c r="H40" s="123"/>
      <c r="I40" s="123"/>
      <c r="J40" s="125">
        <f>SUM(J36:J39)</f>
        <v>4714.495132346</v>
      </c>
      <c r="K40" s="42"/>
      <c r="L40" s="42"/>
      <c r="M40" s="90"/>
      <c r="N40" s="90"/>
      <c r="O40" s="90"/>
      <c r="P40" s="93"/>
      <c r="Q40" s="94"/>
    </row>
    <row r="41" spans="1:17" customHeight="1" ht="21">
      <c r="A41" s="49" t="s">
        <v>59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3" t="s">
        <v>60</v>
      </c>
      <c r="N41" s="74"/>
      <c r="O41" s="50" t="e">
        <f>+J31</f>
        <v>#VALUE!</v>
      </c>
      <c r="P41" s="51" t="s">
        <v>61</v>
      </c>
      <c r="Q41" s="1"/>
    </row>
    <row r="42" spans="1:17" customHeight="1" ht="21">
      <c r="A42" s="49" t="s">
        <v>62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3" t="s">
        <v>63</v>
      </c>
      <c r="N42" s="74"/>
      <c r="O42" s="50">
        <f>+J32</f>
        <v>57.512600949302</v>
      </c>
      <c r="P42" s="51" t="s">
        <v>64</v>
      </c>
      <c r="Q42" s="1"/>
    </row>
    <row r="43" spans="1:17" customHeight="1" ht="18">
      <c r="A43" s="49" t="s">
        <v>65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9" t="s">
        <v>66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5" t="s">
        <v>67</v>
      </c>
      <c r="N44" s="95"/>
      <c r="O44" s="96" t="e">
        <f>+O41+O42+J14</f>
        <v>#VALUE!</v>
      </c>
      <c r="P44" s="98" t="s">
        <v>68</v>
      </c>
      <c r="Q44" s="99"/>
    </row>
    <row r="45" spans="1:17" customHeight="1" ht="18">
      <c r="A45" s="49" t="s">
        <v>69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5"/>
      <c r="N45" s="95"/>
      <c r="O45" s="97"/>
      <c r="P45" s="98"/>
      <c r="Q45" s="99"/>
    </row>
    <row r="46" spans="1:17" customHeight="1" ht="18">
      <c r="A46" s="49" t="s">
        <v>70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9" t="s">
        <v>71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9" t="s">
        <v>72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0" t="s">
        <v>73</v>
      </c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2" t="s">
        <v>74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2" t="s">
        <v>75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76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2" t="s">
        <v>77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2" t="s">
        <v>78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79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2" t="s">
        <v>80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2" t="s">
        <v>81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2" t="s">
        <v>82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2" t="s">
        <v>83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2" t="s">
        <v>84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2" t="s">
        <v>85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2" t="s">
        <v>86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2" t="s">
        <v>87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2" t="s">
        <v>88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3" t="s">
        <v>89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2" t="s">
        <v>90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4" t="s">
        <v>91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2" t="s">
        <v>92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93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2" t="s">
        <v>94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2" t="s">
        <v>95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2" t="s">
        <v>96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2" t="s">
        <v>97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2" t="s">
        <v>98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2" t="s">
        <v>99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2" t="s">
        <v>100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5" t="s">
        <v>101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5" t="s">
        <v>102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5" t="s">
        <v>103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47"/>
  <sheetViews>
    <sheetView tabSelected="1" workbookViewId="0" showGridLines="true" showRowColHeaders="1">
      <selection activeCell="B40" sqref="B40:K47"/>
    </sheetView>
  </sheetViews>
  <sheetFormatPr defaultRowHeight="14.4" outlineLevelRow="0" outlineLevelCol="0"/>
  <cols>
    <col min="2" max="2" width="24.708" bestFit="true" customWidth="true" style="0"/>
    <col min="3" max="3" width="30.564" bestFit="true" customWidth="true" style="0"/>
    <col min="4" max="4" width="19.995" bestFit="true" customWidth="true" style="0"/>
    <col min="5" max="5" width="41.133" bestFit="true" customWidth="true" style="0"/>
    <col min="6" max="6" width="42.418" bestFit="true" customWidth="true" style="0"/>
    <col min="7" max="7" width="37.705" bestFit="true" customWidth="true" style="0"/>
    <col min="8" max="8" width="32.992" bestFit="true" customWidth="true" style="0"/>
    <col min="9" max="9" width="29.421" bestFit="true" customWidth="true" style="0"/>
  </cols>
  <sheetData>
    <row r="3" spans="1:14">
      <c r="B3" s="102" t="s">
        <v>104</v>
      </c>
      <c r="C3" s="101"/>
      <c r="D3" s="101"/>
      <c r="E3" s="101"/>
      <c r="F3" s="101"/>
      <c r="G3" s="101"/>
    </row>
    <row r="5" spans="1:14">
      <c r="B5" s="105" t="s">
        <v>105</v>
      </c>
      <c r="C5" s="107" t="s">
        <v>52</v>
      </c>
      <c r="D5" s="107" t="s">
        <v>53</v>
      </c>
      <c r="E5" s="107" t="s">
        <v>54</v>
      </c>
      <c r="F5" s="107" t="s">
        <v>55</v>
      </c>
      <c r="G5" s="107" t="s">
        <v>120</v>
      </c>
      <c r="H5" s="107" t="s">
        <v>121</v>
      </c>
      <c r="I5" s="107" t="s">
        <v>122</v>
      </c>
      <c r="J5" s="107" t="s">
        <v>123</v>
      </c>
      <c r="K5" s="101"/>
    </row>
    <row r="6" spans="1:14">
      <c r="B6" s="101" t="s">
        <v>106</v>
      </c>
      <c r="C6" s="101">
        <v>0</v>
      </c>
      <c r="D6" s="101">
        <v>0</v>
      </c>
      <c r="E6" s="101">
        <v>0</v>
      </c>
      <c r="F6" s="101">
        <v>0</v>
      </c>
      <c r="G6" s="101">
        <v>0</v>
      </c>
      <c r="H6" s="101">
        <v>0</v>
      </c>
      <c r="I6" s="101">
        <v>0</v>
      </c>
      <c r="J6" s="110">
        <v>669.4</v>
      </c>
      <c r="K6" s="101"/>
      <c r="M6" t="s">
        <v>124</v>
      </c>
      <c r="N6" t="s">
        <v>125</v>
      </c>
    </row>
    <row r="7" spans="1:14">
      <c r="B7" s="101" t="s">
        <v>107</v>
      </c>
      <c r="C7" s="101">
        <v>0</v>
      </c>
      <c r="D7" s="101">
        <v>0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11">
        <v>3.61</v>
      </c>
      <c r="K7" s="101"/>
      <c r="M7" t="s">
        <v>19</v>
      </c>
      <c r="N7">
        <v>300</v>
      </c>
    </row>
    <row r="8" spans="1:14">
      <c r="B8" s="101" t="s">
        <v>108</v>
      </c>
      <c r="C8" s="108">
        <v>1.85</v>
      </c>
      <c r="D8" s="108">
        <v>0.8</v>
      </c>
      <c r="E8" s="108">
        <v>1.54</v>
      </c>
      <c r="F8" s="108">
        <v>0.47666666666667</v>
      </c>
      <c r="G8" s="108">
        <v>0.29</v>
      </c>
      <c r="H8" s="108">
        <v>0.25</v>
      </c>
      <c r="I8" s="108">
        <v>0.23</v>
      </c>
      <c r="J8" s="101"/>
      <c r="K8" s="101"/>
    </row>
    <row r="9" spans="1:14">
      <c r="B9" s="106" t="s">
        <v>109</v>
      </c>
      <c r="C9" s="108">
        <v>0.0</v>
      </c>
      <c r="D9" s="108">
        <v>0.0</v>
      </c>
      <c r="E9" s="108">
        <v>0.0</v>
      </c>
      <c r="F9" s="108">
        <v>0.0</v>
      </c>
      <c r="G9" s="108">
        <v>0.0</v>
      </c>
      <c r="H9" s="108">
        <v>0.0</v>
      </c>
      <c r="I9" s="108">
        <v>0.0</v>
      </c>
      <c r="J9" s="101"/>
      <c r="K9" s="101"/>
    </row>
    <row r="10" spans="1:14">
      <c r="B10" s="101" t="s">
        <v>110</v>
      </c>
      <c r="C10" s="101">
        <v>390.0</v>
      </c>
      <c r="D10" s="101">
        <v>1500.0</v>
      </c>
      <c r="E10" s="101">
        <v>590.0</v>
      </c>
      <c r="F10" s="101">
        <v>600.0</v>
      </c>
      <c r="G10" s="101">
        <v>1600.0</v>
      </c>
      <c r="H10" s="101">
        <v>1100.0</v>
      </c>
      <c r="I10" s="101">
        <v>2200.0</v>
      </c>
      <c r="J10" s="101">
        <f>SUM(C10:I10)</f>
        <v>7980</v>
      </c>
      <c r="K10" s="101"/>
    </row>
    <row r="11" spans="1:14">
      <c r="B11" s="101" t="s">
        <v>111</v>
      </c>
      <c r="C11" s="108">
        <f>C8*C10</f>
        <v>721.5</v>
      </c>
      <c r="D11" s="108">
        <f>D8*D10</f>
        <v>1200</v>
      </c>
      <c r="E11" s="108">
        <f>E8*E10</f>
        <v>908.6</v>
      </c>
      <c r="F11" s="108">
        <f>F8*F10</f>
        <v>286</v>
      </c>
      <c r="G11" s="108">
        <f>G8*G10</f>
        <v>464</v>
      </c>
      <c r="H11" s="108">
        <f>H8*H10</f>
        <v>275</v>
      </c>
      <c r="I11" s="108">
        <f>I8*I10</f>
        <v>506</v>
      </c>
      <c r="J11" s="101">
        <f>SUM(C11:I11)</f>
        <v>4361.1</v>
      </c>
      <c r="K11" s="101"/>
    </row>
    <row r="12" spans="1:14">
      <c r="B12" s="106" t="s">
        <v>112</v>
      </c>
      <c r="C12" s="108">
        <f>C10*C9</f>
        <v>0</v>
      </c>
      <c r="D12" s="108">
        <f>D10*D9</f>
        <v>0</v>
      </c>
      <c r="E12" s="108">
        <f>E10*E9</f>
        <v>0</v>
      </c>
      <c r="F12" s="108">
        <f>F10*F9</f>
        <v>0</v>
      </c>
      <c r="G12" s="108">
        <f>G10*G9</f>
        <v>0</v>
      </c>
      <c r="H12" s="108">
        <f>H10*H9</f>
        <v>0</v>
      </c>
      <c r="I12" s="108">
        <f>I10*I9</f>
        <v>0</v>
      </c>
      <c r="J12" s="101"/>
      <c r="K12" s="101"/>
    </row>
    <row r="13" spans="1:14">
      <c r="B13" s="101" t="s">
        <v>113</v>
      </c>
      <c r="C13" s="109">
        <f>C11/J11</f>
        <v>0.16543991194882</v>
      </c>
      <c r="D13" s="109">
        <f>D11/J11</f>
        <v>0.27515993671321</v>
      </c>
      <c r="E13" s="109">
        <f>E11/J11</f>
        <v>0.20834193208136</v>
      </c>
      <c r="F13" s="109">
        <f>F11/J11</f>
        <v>0.06557978491665</v>
      </c>
      <c r="G13" s="109">
        <f>G11/J11</f>
        <v>0.10639517552911</v>
      </c>
      <c r="H13" s="109">
        <f>H11/J11</f>
        <v>0.063057485496778</v>
      </c>
      <c r="I13" s="109">
        <f>I11/J11</f>
        <v>0.11602577331407</v>
      </c>
      <c r="J13" s="101"/>
      <c r="K13" s="101"/>
    </row>
    <row r="14" spans="1:14">
      <c r="B14" s="101" t="s">
        <v>114</v>
      </c>
      <c r="C14" s="108">
        <f>J14*C13</f>
        <v>107.50285478434</v>
      </c>
      <c r="D14" s="108">
        <f>J14*D13</f>
        <v>178.79892687625</v>
      </c>
      <c r="E14" s="108">
        <f>J14*E13</f>
        <v>135.38058746646</v>
      </c>
      <c r="F14" s="108">
        <f>J14*F13</f>
        <v>42.613744238839</v>
      </c>
      <c r="G14" s="108">
        <f>J14*G13</f>
        <v>69.135585058815</v>
      </c>
      <c r="H14" s="108">
        <f>J14*H13</f>
        <v>40.974754075807</v>
      </c>
      <c r="I14" s="108">
        <f>J14*I13</f>
        <v>75.393547499484</v>
      </c>
      <c r="J14" s="101">
        <f>IF(J7&lt;1, N7*0.6, N7*0.6*J7)</f>
        <v>649.8</v>
      </c>
      <c r="K14" s="101"/>
    </row>
    <row r="15" spans="1:14">
      <c r="B15" s="101" t="s">
        <v>115</v>
      </c>
      <c r="C15" s="108">
        <f>C11+C14</f>
        <v>829.00285478434</v>
      </c>
      <c r="D15" s="108">
        <f>D11+D14</f>
        <v>1378.7989268762</v>
      </c>
      <c r="E15" s="108">
        <f>E11+E14</f>
        <v>1043.9805874665</v>
      </c>
      <c r="F15" s="108">
        <f>F11+F14</f>
        <v>328.61374423884</v>
      </c>
      <c r="G15" s="108">
        <f>G11+G14</f>
        <v>533.13558505882</v>
      </c>
      <c r="H15" s="108">
        <f>H11+H14</f>
        <v>315.97475407581</v>
      </c>
      <c r="I15" s="108">
        <f>I11+I14</f>
        <v>581.39354749948</v>
      </c>
      <c r="J15" s="112">
        <f>SUM(C15:I15)</f>
        <v>5010.9</v>
      </c>
      <c r="K15" s="101"/>
    </row>
    <row r="16" spans="1:14">
      <c r="B16" s="106" t="s">
        <v>116</v>
      </c>
      <c r="C16" s="108">
        <f>C12+C14</f>
        <v>107.50285478434</v>
      </c>
      <c r="D16" s="108">
        <f>D12+D14</f>
        <v>178.79892687625</v>
      </c>
      <c r="E16" s="108">
        <f>E12+E14</f>
        <v>135.38058746646</v>
      </c>
      <c r="F16" s="108">
        <f>F12+F14</f>
        <v>42.613744238839</v>
      </c>
      <c r="G16" s="108">
        <f>G12+G14</f>
        <v>69.135585058815</v>
      </c>
      <c r="H16" s="108">
        <f>H12+H14</f>
        <v>40.974754075807</v>
      </c>
      <c r="I16" s="108">
        <f>I12+I14</f>
        <v>75.393547499484</v>
      </c>
      <c r="J16" s="101"/>
      <c r="K16" s="101"/>
    </row>
    <row r="17" spans="1:14">
      <c r="B17" s="101" t="s">
        <v>117</v>
      </c>
      <c r="C17" s="108">
        <f>IF(J11&gt;5000,100*C13,50*C13)</f>
        <v>8.271995597441</v>
      </c>
      <c r="D17" s="108">
        <f>IF(J11&gt;5000,100*D13,50*D13)</f>
        <v>13.757996835661</v>
      </c>
      <c r="E17" s="108">
        <f>IF(J11&gt;5000,100*E13,50*E13)</f>
        <v>10.417096604068</v>
      </c>
      <c r="F17" s="108">
        <f>IF(J11&gt;5000,100*F13,50*F13)</f>
        <v>3.2789892458325</v>
      </c>
      <c r="G17" s="108">
        <f>IF(J11&gt;5000,100*G13,50*G13)</f>
        <v>5.3197587764555</v>
      </c>
      <c r="H17" s="108">
        <f>IF(J11&gt;5000,100*H13,50*H13)</f>
        <v>3.1528742748389</v>
      </c>
      <c r="I17" s="108">
        <f>IF(J11&gt;5000,100*I13,50*I13)</f>
        <v>5.8012886657036</v>
      </c>
      <c r="J17" s="101"/>
      <c r="K17" s="101"/>
    </row>
    <row r="18" spans="1:14">
      <c r="B18" s="101" t="s">
        <v>118</v>
      </c>
      <c r="C18" s="108">
        <f>C15+C17</f>
        <v>837.27485038178</v>
      </c>
      <c r="D18" s="108">
        <f>D15+D17</f>
        <v>1392.5569237119</v>
      </c>
      <c r="E18" s="108">
        <f>E15+E17</f>
        <v>1054.3976840705</v>
      </c>
      <c r="F18" s="108">
        <f>F15+F17</f>
        <v>331.89273348467</v>
      </c>
      <c r="G18" s="108">
        <f>G15+G17</f>
        <v>538.45534383527</v>
      </c>
      <c r="H18" s="108">
        <f>H15+H17</f>
        <v>319.12762835065</v>
      </c>
      <c r="I18" s="108">
        <f>I15+I17</f>
        <v>587.19483616519</v>
      </c>
      <c r="J18" s="101"/>
      <c r="K18" s="101"/>
    </row>
    <row r="19" spans="1:14">
      <c r="B19" s="106" t="s">
        <v>119</v>
      </c>
      <c r="C19" s="108">
        <f>C16+C17</f>
        <v>115.77485038178</v>
      </c>
      <c r="D19" s="108">
        <f>D16+D17</f>
        <v>192.55692371191</v>
      </c>
      <c r="E19" s="108">
        <f>E16+E17</f>
        <v>145.79768407053</v>
      </c>
      <c r="F19" s="108">
        <f>F16+F17</f>
        <v>45.892733484672</v>
      </c>
      <c r="G19" s="108">
        <f>G16+G17</f>
        <v>74.455343835271</v>
      </c>
      <c r="H19" s="108">
        <f>H16+H17</f>
        <v>44.127628350645</v>
      </c>
      <c r="I19" s="108">
        <f>I16+I17</f>
        <v>81.194836165188</v>
      </c>
      <c r="J19" s="101"/>
      <c r="K19" s="101"/>
    </row>
    <row r="23" spans="1:14">
      <c r="B23" s="102" t="s">
        <v>126</v>
      </c>
      <c r="C23" s="101"/>
      <c r="D23" s="101"/>
      <c r="E23" s="101"/>
    </row>
    <row r="26" spans="1:14">
      <c r="B26" t="s">
        <v>35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f>SUM(C26:I26)</f>
        <v>0</v>
      </c>
    </row>
    <row r="27" spans="1:14">
      <c r="C27" s="104">
        <v>0.0</v>
      </c>
      <c r="D27" s="104">
        <v>0.0</v>
      </c>
      <c r="E27" s="104">
        <v>0.0</v>
      </c>
      <c r="F27" s="104">
        <v>0.06</v>
      </c>
      <c r="G27" s="104">
        <v>0.0</v>
      </c>
      <c r="H27" s="104">
        <v>0.0</v>
      </c>
      <c r="I27" s="104">
        <v>0.0</v>
      </c>
    </row>
    <row r="28" spans="1:14">
      <c r="B28" s="101" t="s">
        <v>127</v>
      </c>
      <c r="C28" s="108">
        <f>MAX(C19,C18)*C27</f>
        <v>0</v>
      </c>
      <c r="D28" s="108">
        <f>MAX(D19,D18)*D27</f>
        <v>0</v>
      </c>
      <c r="E28" s="108">
        <f>MAX(E19,E18)*E27</f>
        <v>0</v>
      </c>
      <c r="F28" s="108">
        <f>MAX(F19,F18)*F27</f>
        <v>19.91356400908</v>
      </c>
      <c r="G28" s="108">
        <f>MAX(G19,G18)*G27</f>
        <v>0</v>
      </c>
      <c r="H28" s="108">
        <f>MAX(H19,H18)*H27</f>
        <v>0</v>
      </c>
      <c r="I28" s="108">
        <f>MAX(I19,I18)*I27</f>
        <v>0</v>
      </c>
      <c r="J28" s="108">
        <f>SUM(C28:I28)</f>
        <v>19.91356400908</v>
      </c>
      <c r="K28" s="101"/>
    </row>
    <row r="29" spans="1:14">
      <c r="B29" s="101" t="s">
        <v>33</v>
      </c>
      <c r="C29" s="108">
        <f>0.16*(MAX(C19,C18)+C28)</f>
        <v>133.96397606109</v>
      </c>
      <c r="D29" s="108">
        <f>0.16*(MAX(D19,D18)+D28)</f>
        <v>222.80910779391</v>
      </c>
      <c r="E29" s="108">
        <f>0.16*(MAX(E19,E18)+E28)</f>
        <v>168.70362945129</v>
      </c>
      <c r="F29" s="108">
        <f>0.16*(MAX(F19,F18)+F28)</f>
        <v>56.289007599001</v>
      </c>
      <c r="G29" s="108">
        <f>0.16*(MAX(G19,G18)+G28)</f>
        <v>86.152855013643</v>
      </c>
      <c r="H29" s="108">
        <f>0.16*(MAX(H19,H18)+H28)</f>
        <v>51.060420536103</v>
      </c>
      <c r="I29" s="108">
        <f>0.16*(MAX(I19,I18)+I28)</f>
        <v>93.95117378643</v>
      </c>
      <c r="J29" s="108">
        <f>SUM(C29:I29)</f>
        <v>812.93017024145</v>
      </c>
      <c r="K29" s="101"/>
    </row>
    <row r="30" spans="1:14">
      <c r="B30" s="101" t="s">
        <v>34</v>
      </c>
      <c r="C30" s="108">
        <f>0.02*(MAX(C19,C18)+C28)</f>
        <v>16.745497007636</v>
      </c>
      <c r="D30" s="108">
        <f>0.02*(MAX(D19,D18)+D28)</f>
        <v>27.851138474238</v>
      </c>
      <c r="E30" s="108">
        <f>0.02*(MAX(E19,E18)+E28)</f>
        <v>21.087953681411</v>
      </c>
      <c r="F30" s="108">
        <f>0.02*(MAX(F19,F18)+F28)</f>
        <v>7.0361259498751</v>
      </c>
      <c r="G30" s="108">
        <f>0.02*(MAX(G19,G18)+G28)</f>
        <v>10.769106876705</v>
      </c>
      <c r="H30" s="108">
        <f>0.02*(MAX(H19,H18)+H28)</f>
        <v>6.3825525670129</v>
      </c>
      <c r="I30" s="108">
        <f>0.02*(MAX(I19,I18)+I28)</f>
        <v>11.743896723304</v>
      </c>
      <c r="J30" s="108">
        <f>SUM(C30:I30)</f>
        <v>101.61627128018</v>
      </c>
      <c r="K30" s="101"/>
    </row>
    <row r="31" spans="1:14">
      <c r="B31" s="101" t="s">
        <v>128</v>
      </c>
      <c r="C31" s="108">
        <f>0.035*(MAX(C18,C19) +C28+C29+C30)</f>
        <v>34.579451320768</v>
      </c>
      <c r="D31" s="108">
        <f>0.035*(MAX(D18,D19) +D28+D29+D30)</f>
        <v>57.512600949302</v>
      </c>
      <c r="E31" s="108">
        <f>0.035*(MAX(E18,E19) +E28+E29+E30)</f>
        <v>43.546624352113</v>
      </c>
      <c r="F31" s="108">
        <f>0.035*(MAX(F18,F19) +F28+F29+F30)</f>
        <v>14.529600086492</v>
      </c>
      <c r="G31" s="108">
        <f>0.035*(MAX(G18,G19) +G28+G29+G30)</f>
        <v>22.238205700397</v>
      </c>
      <c r="H31" s="108">
        <f>0.035*(MAX(H18,H19) +H28+H29+H30)</f>
        <v>13.179971050882</v>
      </c>
      <c r="I31" s="108">
        <f>0.035*(MAX(I18,I19) +I28+I29+I30)</f>
        <v>24.251146733622</v>
      </c>
      <c r="J31" s="108">
        <f>SUM(C31:I31)</f>
        <v>209.83760019358</v>
      </c>
      <c r="K31" s="101"/>
    </row>
    <row r="32" spans="1:14">
      <c r="B32" s="101" t="s">
        <v>39</v>
      </c>
      <c r="C32" s="108">
        <f>SUM(C28:C31)</f>
        <v>185.28892438949</v>
      </c>
      <c r="D32" s="108">
        <f>SUM(D28:D31)</f>
        <v>308.17284721745</v>
      </c>
      <c r="E32" s="108">
        <f>SUM(E28:E31)</f>
        <v>233.33820748481</v>
      </c>
      <c r="F32" s="108">
        <f>SUM(F28:F31)</f>
        <v>97.768297644448</v>
      </c>
      <c r="G32" s="108">
        <f>SUM(G28:G31)</f>
        <v>119.16016759075</v>
      </c>
      <c r="H32" s="108">
        <f>SUM(H28:H31)</f>
        <v>70.622944153998</v>
      </c>
      <c r="I32" s="108">
        <f>SUM(I28:I31)</f>
        <v>129.94621724336</v>
      </c>
      <c r="J32" s="108">
        <f>SUM(J28:J31)</f>
        <v>1144.2976057243</v>
      </c>
      <c r="K32" s="101"/>
    </row>
    <row r="37" spans="1:14">
      <c r="B37" s="102" t="s">
        <v>129</v>
      </c>
      <c r="C37" s="101"/>
      <c r="D37" s="101"/>
      <c r="E37" s="101"/>
    </row>
    <row r="40" spans="1:14">
      <c r="B40" s="101" t="s">
        <v>130</v>
      </c>
      <c r="C40" s="108">
        <f>C13*J40</f>
        <v>71.668569856229</v>
      </c>
      <c r="D40" s="108">
        <f>D13*J40</f>
        <v>119.19928458416</v>
      </c>
      <c r="E40" s="108">
        <f>E13*J40</f>
        <v>90.253724977643</v>
      </c>
      <c r="F40" s="108">
        <f>F13*J40</f>
        <v>28.409162825893</v>
      </c>
      <c r="G40" s="108">
        <f>G13*J40</f>
        <v>46.09039003921</v>
      </c>
      <c r="H40" s="108">
        <f>H13*J40</f>
        <v>27.316502717204</v>
      </c>
      <c r="I40" s="108">
        <f>I13*J40</f>
        <v>50.262364999656</v>
      </c>
      <c r="J40" s="101">
        <f>IF(J7&lt;1, N7*0.4, N7*0.4*J7)</f>
        <v>433.2</v>
      </c>
      <c r="K40" s="101"/>
    </row>
    <row r="41" spans="1:14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1:14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1:14">
      <c r="B43" s="101" t="s">
        <v>130</v>
      </c>
      <c r="C43" s="101" t="s">
        <v>52</v>
      </c>
      <c r="D43" s="101" t="s">
        <v>53</v>
      </c>
      <c r="E43" s="101" t="s">
        <v>54</v>
      </c>
      <c r="F43" s="101" t="s">
        <v>55</v>
      </c>
      <c r="G43" s="101" t="s">
        <v>120</v>
      </c>
      <c r="H43" s="101" t="s">
        <v>121</v>
      </c>
      <c r="I43" s="101" t="s">
        <v>122</v>
      </c>
      <c r="J43" s="101" t="s">
        <v>123</v>
      </c>
      <c r="K43" s="101"/>
    </row>
    <row r="44" spans="1:14">
      <c r="B44" s="101" t="s">
        <v>131</v>
      </c>
      <c r="C44" s="108">
        <f>SUM(C15,C40,C32,(C26))</f>
        <v>1085.9603490301</v>
      </c>
      <c r="D44" s="108">
        <f>SUM(D15,D40,D32,(D26))</f>
        <v>1806.1710586779</v>
      </c>
      <c r="E44" s="108">
        <f>SUM(E15,E40,E32,(E26))</f>
        <v>1367.5725199289</v>
      </c>
      <c r="F44" s="108">
        <f>SUM(F15,F40,F32,(F26))</f>
        <v>454.79120470918</v>
      </c>
      <c r="G44" s="108">
        <f>SUM(G15,G40,G32,(G26))</f>
        <v>698.38614268877</v>
      </c>
      <c r="H44" s="108">
        <f>SUM(H15,H40,H32,(H26))</f>
        <v>413.91420094701</v>
      </c>
      <c r="I44" s="108">
        <f>SUM(I15,I40,I32,(I26))</f>
        <v>761.6021297425</v>
      </c>
      <c r="J44" s="108">
        <f>SUM(C44:I44)</f>
        <v>6588.3976057243</v>
      </c>
      <c r="K44" s="101"/>
    </row>
    <row r="45" spans="1:14">
      <c r="B45" s="101" t="s">
        <v>132</v>
      </c>
      <c r="C45" s="101">
        <v>390.0</v>
      </c>
      <c r="D45" s="101">
        <v>1500.0</v>
      </c>
      <c r="E45" s="101">
        <v>590.0</v>
      </c>
      <c r="F45" s="101">
        <v>600.0</v>
      </c>
      <c r="G45" s="101">
        <v>1600.0</v>
      </c>
      <c r="H45" s="101">
        <v>1100.0</v>
      </c>
      <c r="I45" s="101">
        <v>2200.0</v>
      </c>
      <c r="J45" s="101"/>
      <c r="K45" s="101"/>
    </row>
    <row r="46" spans="1:14">
      <c r="B46" s="101" t="s">
        <v>133</v>
      </c>
      <c r="C46" s="108">
        <f>SUM(C44/C45)</f>
        <v>2.7845137154617</v>
      </c>
      <c r="D46" s="108">
        <f>SUM(D44/D45)</f>
        <v>1.2041140391186</v>
      </c>
      <c r="E46" s="108">
        <f>SUM(E44/E45)</f>
        <v>2.3179195253032</v>
      </c>
      <c r="F46" s="108">
        <f>SUM(F44/F45)</f>
        <v>0.75798534118197</v>
      </c>
      <c r="G46" s="108">
        <f>SUM(G44/G45)</f>
        <v>0.43649133918048</v>
      </c>
      <c r="H46" s="108">
        <f>SUM(H44/H45)</f>
        <v>0.37628563722455</v>
      </c>
      <c r="I46" s="108">
        <f>SUM(I44/I45)</f>
        <v>0.34618278624659</v>
      </c>
      <c r="J46" s="101"/>
      <c r="K46" s="101"/>
    </row>
    <row r="47" spans="1:14">
      <c r="B47" s="101" t="s">
        <v>134</v>
      </c>
      <c r="C47" s="113">
        <f>C46*3.7</f>
        <v>10.302700747208</v>
      </c>
      <c r="D47" s="113">
        <f>D46*3.7</f>
        <v>4.4552219447387</v>
      </c>
      <c r="E47" s="113">
        <f>E46*3.7</f>
        <v>8.576302243622</v>
      </c>
      <c r="F47" s="113">
        <f>F46*3.7</f>
        <v>2.8045457623733</v>
      </c>
      <c r="G47" s="113">
        <f>G46*3.7</f>
        <v>1.6150179549678</v>
      </c>
      <c r="H47" s="113">
        <f>H46*3.7</f>
        <v>1.3922568577308</v>
      </c>
      <c r="I47" s="113">
        <f>I46*3.7</f>
        <v>1.2808763091124</v>
      </c>
      <c r="J47" s="101"/>
      <c r="K47" s="101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