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<sst xmlns="http://schemas.openxmlformats.org/spreadsheetml/2006/main" uniqueCount="135">
  <si>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COTIZACION Nº20240000001</t>
  </si>
  <si>
    <t>NOMBRE:</t>
  </si>
  <si>
    <t>Edison Benicio Mayhualla</t>
  </si>
  <si>
    <t>DIEGO SEBASTIAN PUENTE LARA</t>
  </si>
  <si>
    <t>SERVICIO:</t>
  </si>
  <si>
    <t>CARGA CONSOLIDADA</t>
  </si>
  <si>
    <t>N° CAJAS:</t>
  </si>
  <si>
    <t>DNI/RUC:</t>
  </si>
  <si>
    <t>FECHA:</t>
  </si>
  <si>
    <t>PESO:</t>
  </si>
  <si>
    <t>102.1 Kg</t>
  </si>
  <si>
    <t>CORREO:</t>
  </si>
  <si>
    <t>ORIGEN:</t>
  </si>
  <si>
    <t>CHINA</t>
  </si>
  <si>
    <t>MEDIDA</t>
  </si>
  <si>
    <t>TELEFONO: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</si>
  <si>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</si>
  <si>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</si>
  <si>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</si>
  <si>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</si>
  <si>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</si>
  <si>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</si>
  <si>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</si>
  <si>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</si>
  <si>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</si>
  <si>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</si>
  <si>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</si>
  <si>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</si>
  <si>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</si>
  <si>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</si>
  <si>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</si>
  <si>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DIEGO SEBASTIAN PUENTE LARA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</si>
  <si>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</si>
  <si>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</si>
  <si>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</si>
  <si>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</si>
  <si>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</si>
  <si>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</si>
  <si>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</si>
  <si>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</si>
  <si>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</si>
  <si>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</si>
  <si>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</si>
  <si>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</si>
  <si>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</si>
  <si>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</si>
  <si>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</si>
  <si>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</si>
  <si>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</si>
  <si>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</si>
  <si>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</si>
  <si>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JARRA DE VIDRIO PARA GOTEO DE CAFÉ</t>
  </si>
  <si>
    <t>GOTERO DE CAFÉ DE PLASTICO</t>
  </si>
  <si>
    <t>GOTERO DE CAFÉ DE VIDRIO</t>
  </si>
  <si>
    <t>PAQUETE DE FILTROS DE PAPEL PARA CAFÉ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</si>
  <si>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</si>
  <si>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</si>
  <si>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</si>
  <si>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</si>
  <si>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</si>
  <si>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</si>
  <si>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</si>
  <si>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</si>
  <si>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</si>
  <si>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</si>
  <si>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</si>
  <si>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</si>
  <si>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</si>
  <si>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</si>
  <si>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</si>
  <si>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</si>
  <si>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</si>
  <si>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</si>
  <si>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</si>
  <si>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</si>
  <si>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</si>
  <si>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</si>
  <si>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</si>
  <si>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</si>
  <si>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</si>
  <si>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</si>
  <si>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</si>
  <si>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</si>
  <si>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</si>
  <si>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</si>
  <si>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</si>
  <si>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</si>
  <si>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</si>
  <si>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</si>
  <si>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</si>
  <si>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</si>
  <si>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</si>
  <si>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</si>
  <si>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</si>
  <si>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</si>
  <si>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</si>
  <si>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</si>
  <si>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</si>
  <si>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</si>
  <si>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</si>
  <si>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</si>
  <si>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</si>
  <si>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</si>
  <si>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</si>
  <si>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</si>
  <si>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</si>
  <si>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</si>
  <si>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</si>
  <si>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</si>
  <si>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</si>
  <si>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</si>
  <si>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</si>
  <si>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</si>
  <si>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</si>
  <si>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</si>
  <si>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</si>
  <si>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</si>
  <si>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</si>
  <si>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</si>
  <si>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JARRA CAFETERA DE VIDRIO</t>
  </si>
  <si>
    <t>MOLINILLO MANUAL DE CAFÉ</t>
  </si>
  <si>
    <t>GOTERO DE CERAMICA PARA CAFÉ</t>
  </si>
  <si>
    <t>LLAVERO DE ESTILO CAFETERO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</si>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</sst>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GOTERO DE CAFÉ DE PLASTICO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71948173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51940136456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69" t="s">
        <v>20</v>
      </c>
      <c r="J11" s="115">
        <f>'2'!J7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82.724568568663</v>
      </c>
      <c r="K14" s="26">
        <f>'2'!J11</f>
        <v>99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'2'!J14 + '2'!J17</f>
        <v>17.996175547109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'2'!J28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'2'!J29</f>
        <v>18.719388087537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'2'!J30</f>
        <v>2.3399235109422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8.0361009466701</v>
      </c>
      <c r="J23" s="27">
        <f>'2'!D31</f>
        <v>3.6215161627989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3.6215161627989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'2'!J31</f>
        <v>4.8319420500956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3.6215161627989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99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82.724568568663</v>
      </c>
      <c r="K30" s="26">
        <f>IF(J11&lt;1, 430, 430*J11)</f>
        <v>430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25.891253648575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3.6215161627989</v>
      </c>
      <c r="K32" s="28">
        <f>K29+K30+K31</f>
        <v>554.89125364858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50</v>
      </c>
      <c r="G36" s="118">
        <f>'2'!C8</f>
        <v>6.8</v>
      </c>
      <c r="H36" s="42"/>
      <c r="I36" s="118">
        <f>'2'!C46</f>
        <v>10.304114487122</v>
      </c>
      <c r="J36" s="116">
        <f>'2'!C44</f>
        <v>515.2057243561</v>
      </c>
      <c r="K36" s="117">
        <f>'2'!C47</f>
        <v>38.125223602351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50</v>
      </c>
      <c r="G37" s="118">
        <f>'2'!D8</f>
        <v>1.4</v>
      </c>
      <c r="H37" s="58"/>
      <c r="I37" s="119">
        <f>'2'!D46</f>
        <v>2.2426731542954</v>
      </c>
      <c r="J37" s="116">
        <f>'2'!D44</f>
        <v>112.13365771477</v>
      </c>
      <c r="K37" s="117">
        <f>'2'!D47</f>
        <v>8.2978906708931</v>
      </c>
      <c r="L37" s="42"/>
      <c r="M37" s="39">
        <v>1</v>
      </c>
      <c r="N37" s="40">
        <f>+B37</f>
        <v>2</v>
      </c>
      <c r="O37" s="43">
        <f>+F37</f>
        <v>50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50</v>
      </c>
      <c r="G38" s="118">
        <f>'2'!E8</f>
        <v>4.4</v>
      </c>
      <c r="H38" s="42"/>
      <c r="I38" s="120">
        <f>'2'!E46</f>
        <v>6.6673681975495</v>
      </c>
      <c r="J38" s="121">
        <f>'2'!E44</f>
        <v>333.36840987748</v>
      </c>
      <c r="K38" s="122">
        <f>'2'!E47</f>
        <v>24.669262330933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70</v>
      </c>
      <c r="G39" s="118">
        <f>'2'!F8</f>
        <v>2.1428571428571</v>
      </c>
      <c r="H39" s="42"/>
      <c r="I39" s="120">
        <f>'2'!F46</f>
        <v>3.2470949014039</v>
      </c>
      <c r="J39" s="121">
        <f>'2'!F44</f>
        <v>227.29664309827</v>
      </c>
      <c r="K39" s="122">
        <f>'2'!F47</f>
        <v>12.014251135195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220</v>
      </c>
      <c r="G40" s="123"/>
      <c r="H40" s="123"/>
      <c r="I40" s="123"/>
      <c r="J40" s="125">
        <f>SUM(J36:J39)</f>
        <v>1188.0044350466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3.6215161627989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7"/>
  <sheetViews>
    <sheetView tabSelected="1" workbookViewId="0" showGridLines="true" showRowColHeaders="1">
      <selection activeCell="B40" sqref="B40:L47"/>
    </sheetView>
  </sheetViews>
  <sheetFormatPr defaultRowHeight="14.4" outlineLevelRow="0" outlineLevelCol="0"/>
  <cols>
    <col min="2" max="2" width="24.708" bestFit="true" customWidth="true" style="0"/>
    <col min="3" max="3" width="41.133" bestFit="true" customWidth="true" style="0"/>
    <col min="4" max="4" width="31.707" bestFit="true" customWidth="true" style="0"/>
    <col min="5" max="5" width="29.421" bestFit="true" customWidth="true" style="0"/>
    <col min="6" max="6" width="44.703" bestFit="true" customWidth="true" style="0"/>
    <col min="7" max="7" width="29.421" bestFit="true" customWidth="true" style="0"/>
    <col min="8" max="8" width="29.421" bestFit="true" customWidth="true" style="0"/>
    <col min="9" max="9" width="34.135" bestFit="true" customWidth="true" style="0"/>
    <col min="10" max="10" width="31.707" bestFit="true" customWidth="true" style="0"/>
  </cols>
  <sheetData>
    <row r="3" spans="1:15">
      <c r="B3" s="102" t="s">
        <v>103</v>
      </c>
      <c r="C3" s="101"/>
      <c r="D3" s="101"/>
      <c r="E3" s="101"/>
      <c r="F3" s="101"/>
      <c r="G3" s="101"/>
    </row>
    <row r="5" spans="1:15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7" t="s">
        <v>120</v>
      </c>
      <c r="I5" s="107" t="s">
        <v>121</v>
      </c>
      <c r="J5" s="107" t="s">
        <v>122</v>
      </c>
      <c r="K5" s="107" t="s">
        <v>123</v>
      </c>
      <c r="L5" s="101"/>
    </row>
    <row r="6" spans="1:15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10">
        <v>102.1</v>
      </c>
      <c r="L6" s="101"/>
      <c r="N6" t="s">
        <v>124</v>
      </c>
      <c r="O6" t="s">
        <v>125</v>
      </c>
    </row>
    <row r="7" spans="1:15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11">
        <v>0.96</v>
      </c>
      <c r="L7" s="101"/>
      <c r="N7" t="s">
        <v>18</v>
      </c>
      <c r="O7">
        <v>430.0</v>
      </c>
    </row>
    <row r="8" spans="1:15">
      <c r="B8" s="101" t="s">
        <v>107</v>
      </c>
      <c r="C8" s="108">
        <v>6.8</v>
      </c>
      <c r="D8" s="108">
        <v>1.4</v>
      </c>
      <c r="E8" s="108">
        <v>4.4</v>
      </c>
      <c r="F8" s="108">
        <v>2.1428571428571</v>
      </c>
      <c r="G8" s="108">
        <v>1.6</v>
      </c>
      <c r="H8" s="108">
        <v>23.99</v>
      </c>
      <c r="I8" s="108">
        <v>3.99</v>
      </c>
      <c r="J8" s="108">
        <v>0.99</v>
      </c>
      <c r="K8" s="101"/>
      <c r="L8" s="101"/>
    </row>
    <row r="9" spans="1:15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8">
        <v>0.0</v>
      </c>
      <c r="J9" s="108">
        <v>0.0</v>
      </c>
      <c r="K9" s="101"/>
      <c r="L9" s="101"/>
    </row>
    <row r="10" spans="1:15">
      <c r="B10" s="101" t="s">
        <v>109</v>
      </c>
      <c r="C10" s="101">
        <v>50.0</v>
      </c>
      <c r="D10" s="101">
        <v>50.0</v>
      </c>
      <c r="E10" s="101">
        <v>50.0</v>
      </c>
      <c r="F10" s="101">
        <v>70.0</v>
      </c>
      <c r="G10" s="101">
        <v>50.0</v>
      </c>
      <c r="H10" s="101">
        <v>24.0</v>
      </c>
      <c r="I10" s="101">
        <v>40.0</v>
      </c>
      <c r="J10" s="101">
        <v>100.0</v>
      </c>
      <c r="K10" s="101">
        <f>SUM(C10:J10)</f>
        <v>434</v>
      </c>
      <c r="L10" s="101"/>
    </row>
    <row r="11" spans="1:15">
      <c r="B11" s="101" t="s">
        <v>110</v>
      </c>
      <c r="C11" s="108">
        <f>C8*C10</f>
        <v>340</v>
      </c>
      <c r="D11" s="108">
        <f>D8*D10</f>
        <v>70</v>
      </c>
      <c r="E11" s="108">
        <f>E8*E10</f>
        <v>220</v>
      </c>
      <c r="F11" s="108">
        <f>F8*F10</f>
        <v>150</v>
      </c>
      <c r="G11" s="108">
        <f>G8*G10</f>
        <v>80</v>
      </c>
      <c r="H11" s="108">
        <f>H8*H10</f>
        <v>575.76</v>
      </c>
      <c r="I11" s="108">
        <f>I8*I10</f>
        <v>159.6</v>
      </c>
      <c r="J11" s="108">
        <f>J8*J10</f>
        <v>99</v>
      </c>
      <c r="K11" s="101">
        <f>SUM(C11:J11)</f>
        <v>1694.36</v>
      </c>
      <c r="L11" s="101"/>
    </row>
    <row r="12" spans="1:15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8">
        <f>I10*I9</f>
        <v>0</v>
      </c>
      <c r="J12" s="108">
        <f>J10*J9</f>
        <v>0</v>
      </c>
      <c r="K12" s="101"/>
      <c r="L12" s="101"/>
    </row>
    <row r="13" spans="1:15">
      <c r="B13" s="101" t="s">
        <v>112</v>
      </c>
      <c r="C13" s="109">
        <f>C11/K11</f>
        <v>0.2006657380958</v>
      </c>
      <c r="D13" s="109">
        <f>D11/K11</f>
        <v>0.041313534313841</v>
      </c>
      <c r="E13" s="109">
        <f>E11/K11</f>
        <v>0.12984253641493</v>
      </c>
      <c r="F13" s="109">
        <f>F11/K11</f>
        <v>0.088529002101087</v>
      </c>
      <c r="G13" s="109">
        <f>G11/K11</f>
        <v>0.047215467787247</v>
      </c>
      <c r="H13" s="109">
        <f>H11/K11</f>
        <v>0.33980972166482</v>
      </c>
      <c r="I13" s="109">
        <f>I11/K11</f>
        <v>0.094194858235558</v>
      </c>
      <c r="J13" s="109">
        <f>J11/K11</f>
        <v>0.058429141386718</v>
      </c>
      <c r="K13" s="101"/>
      <c r="L13" s="101"/>
    </row>
    <row r="14" spans="1:15">
      <c r="B14" s="101" t="s">
        <v>113</v>
      </c>
      <c r="C14" s="108">
        <f>K14*C13</f>
        <v>51.771760428717</v>
      </c>
      <c r="D14" s="108">
        <f>K14*D13</f>
        <v>10.658891852971</v>
      </c>
      <c r="E14" s="108">
        <f>K14*E13</f>
        <v>33.499374395052</v>
      </c>
      <c r="F14" s="108">
        <f>K14*F13</f>
        <v>22.84048254208</v>
      </c>
      <c r="G14" s="108">
        <f>K14*G13</f>
        <v>12.18159068911</v>
      </c>
      <c r="H14" s="108">
        <f>K14*H13</f>
        <v>87.670908189523</v>
      </c>
      <c r="I14" s="108">
        <f>K14*I13</f>
        <v>24.302273424774</v>
      </c>
      <c r="J14" s="108">
        <f>K14*J13</f>
        <v>15.074718477773</v>
      </c>
      <c r="K14" s="101">
        <f>IF(K7&lt;1, O7*0.6, O7*0.6*K7)</f>
        <v>258</v>
      </c>
      <c r="L14" s="101"/>
    </row>
    <row r="15" spans="1:15">
      <c r="B15" s="101" t="s">
        <v>114</v>
      </c>
      <c r="C15" s="108">
        <f>C11+C14</f>
        <v>391.77176042872</v>
      </c>
      <c r="D15" s="108">
        <f>D11+D14</f>
        <v>80.658891852971</v>
      </c>
      <c r="E15" s="108">
        <f>E11+E14</f>
        <v>253.49937439505</v>
      </c>
      <c r="F15" s="108">
        <f>F11+F14</f>
        <v>172.84048254208</v>
      </c>
      <c r="G15" s="108">
        <f>G11+G14</f>
        <v>92.18159068911</v>
      </c>
      <c r="H15" s="108">
        <f>H11+H14</f>
        <v>663.43090818952</v>
      </c>
      <c r="I15" s="108">
        <f>I11+I14</f>
        <v>183.90227342477</v>
      </c>
      <c r="J15" s="108">
        <f>J11+J14</f>
        <v>114.07471847777</v>
      </c>
      <c r="K15" s="112">
        <f>SUM(C15:J15)</f>
        <v>1952.36</v>
      </c>
      <c r="L15" s="101"/>
    </row>
    <row r="16" spans="1:15">
      <c r="B16" s="106" t="s">
        <v>115</v>
      </c>
      <c r="C16" s="108">
        <f>C12+C14</f>
        <v>51.771760428717</v>
      </c>
      <c r="D16" s="108">
        <f>D12+D14</f>
        <v>10.658891852971</v>
      </c>
      <c r="E16" s="108">
        <f>E12+E14</f>
        <v>33.499374395052</v>
      </c>
      <c r="F16" s="108">
        <f>F12+F14</f>
        <v>22.84048254208</v>
      </c>
      <c r="G16" s="108">
        <f>G12+G14</f>
        <v>12.18159068911</v>
      </c>
      <c r="H16" s="108">
        <f>H12+H14</f>
        <v>87.670908189523</v>
      </c>
      <c r="I16" s="108">
        <f>I12+I14</f>
        <v>24.302273424774</v>
      </c>
      <c r="J16" s="108">
        <f>J12+J14</f>
        <v>15.074718477773</v>
      </c>
      <c r="K16" s="101"/>
      <c r="L16" s="101"/>
    </row>
    <row r="17" spans="1:15">
      <c r="B17" s="101" t="s">
        <v>116</v>
      </c>
      <c r="C17" s="108">
        <f>IF(K11&gt;5000,100*C13,50*C13)</f>
        <v>10.03328690479</v>
      </c>
      <c r="D17" s="108">
        <f>IF(K11&gt;5000,100*D13,50*D13)</f>
        <v>2.0656767156921</v>
      </c>
      <c r="E17" s="108">
        <f>IF(K11&gt;5000,100*E13,50*E13)</f>
        <v>6.4921268207465</v>
      </c>
      <c r="F17" s="108">
        <f>IF(K11&gt;5000,100*F13,50*F13)</f>
        <v>4.4264501050543</v>
      </c>
      <c r="G17" s="108">
        <f>IF(K11&gt;5000,100*G13,50*G13)</f>
        <v>2.3607733893624</v>
      </c>
      <c r="H17" s="108">
        <f>IF(K11&gt;5000,100*H13,50*H13)</f>
        <v>16.990486083241</v>
      </c>
      <c r="I17" s="108">
        <f>IF(K11&gt;5000,100*I13,50*I13)</f>
        <v>4.7097429117779</v>
      </c>
      <c r="J17" s="108">
        <f>IF(K11&gt;5000,100*J13,50*J13)</f>
        <v>2.9214570693359</v>
      </c>
      <c r="K17" s="101"/>
      <c r="L17" s="101"/>
    </row>
    <row r="18" spans="1:15">
      <c r="B18" s="101" t="s">
        <v>117</v>
      </c>
      <c r="C18" s="108">
        <f>C15+C17</f>
        <v>401.80504733351</v>
      </c>
      <c r="D18" s="108">
        <f>D15+D17</f>
        <v>82.724568568663</v>
      </c>
      <c r="E18" s="108">
        <f>E15+E17</f>
        <v>259.9915012158</v>
      </c>
      <c r="F18" s="108">
        <f>F15+F17</f>
        <v>177.26693264713</v>
      </c>
      <c r="G18" s="108">
        <f>G15+G17</f>
        <v>94.542364078472</v>
      </c>
      <c r="H18" s="108">
        <f>H15+H17</f>
        <v>680.42139427276</v>
      </c>
      <c r="I18" s="108">
        <f>I15+I17</f>
        <v>188.61201633655</v>
      </c>
      <c r="J18" s="108">
        <f>J15+J17</f>
        <v>116.99617554711</v>
      </c>
      <c r="K18" s="101"/>
      <c r="L18" s="101"/>
    </row>
    <row r="19" spans="1:15">
      <c r="B19" s="106" t="s">
        <v>118</v>
      </c>
      <c r="C19" s="108">
        <f>C16+C17</f>
        <v>61.805047333507</v>
      </c>
      <c r="D19" s="108">
        <f>D16+D17</f>
        <v>12.724568568663</v>
      </c>
      <c r="E19" s="108">
        <f>E16+E17</f>
        <v>39.991501215798</v>
      </c>
      <c r="F19" s="108">
        <f>F16+F17</f>
        <v>27.266932647135</v>
      </c>
      <c r="G19" s="108">
        <f>G16+G17</f>
        <v>14.542364078472</v>
      </c>
      <c r="H19" s="108">
        <f>H16+H17</f>
        <v>104.66139427276</v>
      </c>
      <c r="I19" s="108">
        <f>I16+I17</f>
        <v>29.012016336552</v>
      </c>
      <c r="J19" s="108">
        <f>J16+J17</f>
        <v>17.996175547109</v>
      </c>
      <c r="K19" s="101"/>
      <c r="L19" s="101"/>
    </row>
    <row r="23" spans="1:15">
      <c r="B23" s="102" t="s">
        <v>126</v>
      </c>
      <c r="C23" s="101"/>
      <c r="D23" s="101"/>
      <c r="E23" s="101"/>
    </row>
    <row r="26" spans="1:15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f>SUM(C26:J26)</f>
        <v>0</v>
      </c>
    </row>
    <row r="27" spans="1:15">
      <c r="C27" s="104">
        <v>0.0</v>
      </c>
      <c r="D27" s="104">
        <v>0.06</v>
      </c>
      <c r="E27" s="104">
        <v>0.0</v>
      </c>
      <c r="F27" s="104">
        <v>0.0</v>
      </c>
      <c r="G27" s="104">
        <v>0.0</v>
      </c>
      <c r="H27" s="104">
        <v>0.0</v>
      </c>
      <c r="I27" s="104">
        <v>0.0</v>
      </c>
      <c r="J27" s="104">
        <v>0.0</v>
      </c>
    </row>
    <row r="28" spans="1:15">
      <c r="B28" s="101" t="s">
        <v>127</v>
      </c>
      <c r="C28" s="108">
        <f>MAX(C19,C18)*C27</f>
        <v>0</v>
      </c>
      <c r="D28" s="108">
        <f>MAX(D19,D18)*D27</f>
        <v>4.9634741141198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MAX(H19,H18)*H27</f>
        <v>0</v>
      </c>
      <c r="I28" s="108">
        <f>MAX(I19,I18)*I27</f>
        <v>0</v>
      </c>
      <c r="J28" s="108">
        <f>MAX(J19,J18)*J27</f>
        <v>0</v>
      </c>
      <c r="K28" s="108">
        <f>SUM(C28:J28)</f>
        <v>4.9634741141198</v>
      </c>
      <c r="L28" s="101"/>
    </row>
    <row r="29" spans="1:15">
      <c r="B29" s="101" t="s">
        <v>32</v>
      </c>
      <c r="C29" s="108">
        <f>0.16*(MAX(C19,C18)+C28)</f>
        <v>64.288807573361</v>
      </c>
      <c r="D29" s="108">
        <f>0.16*(MAX(D19,D18)+D28)</f>
        <v>14.030086829245</v>
      </c>
      <c r="E29" s="108">
        <f>0.16*(MAX(E19,E18)+E28)</f>
        <v>41.598640194528</v>
      </c>
      <c r="F29" s="108">
        <f>0.16*(MAX(F19,F18)+F28)</f>
        <v>28.362709223541</v>
      </c>
      <c r="G29" s="108">
        <f>0.16*(MAX(G19,G18)+G28)</f>
        <v>15.126778252556</v>
      </c>
      <c r="H29" s="108">
        <f>0.16*(MAX(H19,H18)+H28)</f>
        <v>108.86742308364</v>
      </c>
      <c r="I29" s="108">
        <f>0.16*(MAX(I19,I18)+I28)</f>
        <v>30.177922613848</v>
      </c>
      <c r="J29" s="108">
        <f>0.16*(MAX(J19,J18)+J28)</f>
        <v>18.719388087537</v>
      </c>
      <c r="K29" s="108">
        <f>SUM(C29:J29)</f>
        <v>321.17175585826</v>
      </c>
      <c r="L29" s="101"/>
    </row>
    <row r="30" spans="1:15">
      <c r="B30" s="101" t="s">
        <v>33</v>
      </c>
      <c r="C30" s="108">
        <f>0.02*(MAX(C19,C18)+C28)</f>
        <v>8.0361009466701</v>
      </c>
      <c r="D30" s="108">
        <f>0.02*(MAX(D19,D18)+D28)</f>
        <v>1.7537608536557</v>
      </c>
      <c r="E30" s="108">
        <f>0.02*(MAX(E19,E18)+E28)</f>
        <v>5.199830024316</v>
      </c>
      <c r="F30" s="108">
        <f>0.02*(MAX(F19,F18)+F28)</f>
        <v>3.5453386529426</v>
      </c>
      <c r="G30" s="108">
        <f>0.02*(MAX(G19,G18)+G28)</f>
        <v>1.8908472815694</v>
      </c>
      <c r="H30" s="108">
        <f>0.02*(MAX(H19,H18)+H28)</f>
        <v>13.608427885455</v>
      </c>
      <c r="I30" s="108">
        <f>0.02*(MAX(I19,I18)+I28)</f>
        <v>3.772240326731</v>
      </c>
      <c r="J30" s="108">
        <f>0.02*(MAX(J19,J18)+J28)</f>
        <v>2.3399235109422</v>
      </c>
      <c r="K30" s="108">
        <f>SUM(C30:J30)</f>
        <v>40.146469482282</v>
      </c>
      <c r="L30" s="101"/>
    </row>
    <row r="31" spans="1:15">
      <c r="B31" s="101" t="s">
        <v>128</v>
      </c>
      <c r="C31" s="108">
        <f>0.035*(MAX(C18,C19) +C28+C29+C30)</f>
        <v>16.594548454874</v>
      </c>
      <c r="D31" s="108">
        <f>0.035*(MAX(D18,D19) +D28+D29+D30)</f>
        <v>3.6215161627989</v>
      </c>
      <c r="E31" s="108">
        <f>0.035*(MAX(E18,E19) +E28+E29+E30)</f>
        <v>10.737649000212</v>
      </c>
      <c r="F31" s="108">
        <f>0.035*(MAX(F18,F19) +F28+F29+F30)</f>
        <v>7.3211243183265</v>
      </c>
      <c r="G31" s="108">
        <f>0.035*(MAX(G18,G19) +G28+G29+G30)</f>
        <v>3.9045996364409</v>
      </c>
      <c r="H31" s="108">
        <f>0.035*(MAX(H18,H19) +H28+H29+H30)</f>
        <v>28.101403583465</v>
      </c>
      <c r="I31" s="108">
        <f>0.035*(MAX(I18,I19) +I28+I29+I30)</f>
        <v>7.7896762746996</v>
      </c>
      <c r="J31" s="108">
        <f>0.035*(MAX(J18,J19) +J28+J29+J30)</f>
        <v>4.8319420500956</v>
      </c>
      <c r="K31" s="108">
        <f>SUM(C31:J31)</f>
        <v>82.902459480913</v>
      </c>
      <c r="L31" s="101"/>
    </row>
    <row r="32" spans="1:15">
      <c r="B32" s="101" t="s">
        <v>38</v>
      </c>
      <c r="C32" s="108">
        <f>SUM(C28:C31)</f>
        <v>88.919456974905</v>
      </c>
      <c r="D32" s="108">
        <f>SUM(D28:D31)</f>
        <v>24.36883795982</v>
      </c>
      <c r="E32" s="108">
        <f>SUM(E28:E31)</f>
        <v>57.536119219056</v>
      </c>
      <c r="F32" s="108">
        <f>SUM(F28:F31)</f>
        <v>39.22917219481</v>
      </c>
      <c r="G32" s="108">
        <f>SUM(G28:G31)</f>
        <v>20.922225170566</v>
      </c>
      <c r="H32" s="108">
        <f>SUM(H28:H31)</f>
        <v>150.57725455256</v>
      </c>
      <c r="I32" s="108">
        <f>SUM(I28:I31)</f>
        <v>41.739839215279</v>
      </c>
      <c r="J32" s="108">
        <f>SUM(J28:J31)</f>
        <v>25.891253648575</v>
      </c>
      <c r="K32" s="108">
        <f>SUM(K28:K31)</f>
        <v>449.18415893557</v>
      </c>
      <c r="L32" s="101"/>
    </row>
    <row r="37" spans="1:15">
      <c r="B37" s="102" t="s">
        <v>129</v>
      </c>
      <c r="C37" s="101"/>
      <c r="D37" s="101"/>
      <c r="E37" s="101"/>
    </row>
    <row r="40" spans="1:15">
      <c r="B40" s="101" t="s">
        <v>130</v>
      </c>
      <c r="C40" s="108">
        <f>C13*K40</f>
        <v>34.514506952478</v>
      </c>
      <c r="D40" s="108">
        <f>D13*K40</f>
        <v>7.1059279019807</v>
      </c>
      <c r="E40" s="108">
        <f>E13*K40</f>
        <v>22.332916263368</v>
      </c>
      <c r="F40" s="108">
        <f>F13*K40</f>
        <v>15.226988361387</v>
      </c>
      <c r="G40" s="108">
        <f>G13*K40</f>
        <v>8.1210604594065</v>
      </c>
      <c r="H40" s="108">
        <f>H13*K40</f>
        <v>58.447272126349</v>
      </c>
      <c r="I40" s="108">
        <f>I13*K40</f>
        <v>16.201515616516</v>
      </c>
      <c r="J40" s="108">
        <f>J13*K40</f>
        <v>10.049812318516</v>
      </c>
      <c r="K40" s="101">
        <f>IF(K7&lt;1, O7*0.4, O7*0.4*K7)</f>
        <v>172</v>
      </c>
      <c r="L40" s="101"/>
    </row>
    <row r="41" spans="1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1:15">
      <c r="B43" s="101" t="s">
        <v>130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 t="s">
        <v>120</v>
      </c>
      <c r="I43" s="101" t="s">
        <v>121</v>
      </c>
      <c r="J43" s="101" t="s">
        <v>122</v>
      </c>
      <c r="K43" s="101" t="s">
        <v>123</v>
      </c>
      <c r="L43" s="101"/>
    </row>
    <row r="44" spans="1:15">
      <c r="B44" s="101" t="s">
        <v>131</v>
      </c>
      <c r="C44" s="108">
        <f>SUM(C15,C40,C32,(C26))</f>
        <v>515.2057243561</v>
      </c>
      <c r="D44" s="108">
        <f>SUM(D15,D40,D32,(D26))</f>
        <v>112.13365771477</v>
      </c>
      <c r="E44" s="108">
        <f>SUM(E15,E40,E32,(E26))</f>
        <v>333.36840987748</v>
      </c>
      <c r="F44" s="108">
        <f>SUM(F15,F40,F32,(F26))</f>
        <v>227.29664309827</v>
      </c>
      <c r="G44" s="108">
        <f>SUM(G15,G40,G32,(G26))</f>
        <v>121.22487631908</v>
      </c>
      <c r="H44" s="108">
        <f>SUM(H15,H40,H32,(H26))</f>
        <v>872.45543486843</v>
      </c>
      <c r="I44" s="108">
        <f>SUM(I15,I40,I32,(I26))</f>
        <v>241.84362825657</v>
      </c>
      <c r="J44" s="108">
        <f>SUM(J15,J40,J32,(J26))</f>
        <v>150.01578444486</v>
      </c>
      <c r="K44" s="108">
        <f>SUM(C44:J44)</f>
        <v>2573.5441589356</v>
      </c>
      <c r="L44" s="101"/>
    </row>
    <row r="45" spans="1:15">
      <c r="B45" s="101" t="s">
        <v>132</v>
      </c>
      <c r="C45" s="101">
        <v>50.0</v>
      </c>
      <c r="D45" s="101">
        <v>50.0</v>
      </c>
      <c r="E45" s="101">
        <v>50.0</v>
      </c>
      <c r="F45" s="101">
        <v>70.0</v>
      </c>
      <c r="G45" s="101">
        <v>50.0</v>
      </c>
      <c r="H45" s="101">
        <v>24.0</v>
      </c>
      <c r="I45" s="101">
        <v>40.0</v>
      </c>
      <c r="J45" s="101">
        <v>100.0</v>
      </c>
      <c r="K45" s="101"/>
      <c r="L45" s="101"/>
    </row>
    <row r="46" spans="1:15">
      <c r="B46" s="101" t="s">
        <v>133</v>
      </c>
      <c r="C46" s="108">
        <f>SUM(C44/C45)</f>
        <v>10.304114487122</v>
      </c>
      <c r="D46" s="108">
        <f>SUM(D44/D45)</f>
        <v>2.2426731542954</v>
      </c>
      <c r="E46" s="108">
        <f>SUM(E44/E45)</f>
        <v>6.6673681975495</v>
      </c>
      <c r="F46" s="108">
        <f>SUM(F44/F45)</f>
        <v>3.2470949014039</v>
      </c>
      <c r="G46" s="108">
        <f>SUM(G44/G45)</f>
        <v>2.4244975263816</v>
      </c>
      <c r="H46" s="108">
        <f>SUM(H44/H45)</f>
        <v>36.352309786185</v>
      </c>
      <c r="I46" s="108">
        <f>SUM(I44/I45)</f>
        <v>6.0460907064142</v>
      </c>
      <c r="J46" s="108">
        <f>SUM(J44/J45)</f>
        <v>1.5001578444486</v>
      </c>
      <c r="K46" s="101"/>
      <c r="L46" s="101"/>
    </row>
    <row r="47" spans="1:15">
      <c r="B47" s="101" t="s">
        <v>134</v>
      </c>
      <c r="C47" s="113">
        <f>C46*3.7</f>
        <v>38.125223602351</v>
      </c>
      <c r="D47" s="113">
        <f>D46*3.7</f>
        <v>8.2978906708931</v>
      </c>
      <c r="E47" s="113">
        <f>E46*3.7</f>
        <v>24.669262330933</v>
      </c>
      <c r="F47" s="113">
        <f>F46*3.7</f>
        <v>12.014251135195</v>
      </c>
      <c r="G47" s="113">
        <f>G46*3.7</f>
        <v>8.9706408476121</v>
      </c>
      <c r="H47" s="113">
        <f>H46*3.7</f>
        <v>134.50354620888</v>
      </c>
      <c r="I47" s="113">
        <f>I46*3.7</f>
        <v>22.370535613733</v>
      </c>
      <c r="J47" s="113">
        <f>J46*3.7</f>
        <v>5.55058402446</v>
      </c>
      <c r="K47" s="101"/>
      <c r="L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