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<sst xmlns="http://schemas.openxmlformats.org/spreadsheetml/2006/main" uniqueCount="132">
  <si>
    <t>COTIZACION Nº20240000001</t>
  </si>
  <si>
    <t>NOMBRE:</t>
  </si>
  <si>
    <t>Edison Benicio Mayhualla</t>
  </si>
  <si>
    <t>FREDY EBER AYMA GARCIA 2</t>
  </si>
  <si>
    <t>SERVICIO:</t>
  </si>
  <si>
    <t>CARGA CONSOLIDADA</t>
  </si>
  <si>
    <t>N° CAJAS:</t>
  </si>
  <si>
    <t>DNI/RUC:</t>
  </si>
  <si>
    <t>FECHA:</t>
  </si>
  <si>
    <t>PESO:</t>
  </si>
  <si>
    <t>356.66 Kg</t>
  </si>
  <si>
    <t>CORREO:</t>
  </si>
  <si>
    <t>ORIGEN:</t>
  </si>
  <si>
    <t>CHINA</t>
  </si>
  <si>
    <t>MEDIDA</t>
  </si>
  <si>
    <t>TELEFONO:</t>
  </si>
  <si>
    <t>51 958761250</t>
  </si>
  <si>
    <t>CLIENTE:</t>
  </si>
  <si>
    <t>NUEVO</t>
  </si>
  <si>
    <t>ANTIGUO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</si>
  <si>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</si>
  <si>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</si>
  <si>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</si>
  <si>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</si>
  <si>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</si>
  <si>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</si>
  <si>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</si>
  <si>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</si>
  <si>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</si>
  <si>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</si>
  <si>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</si>
  <si>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</si>
  <si>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FREDY EBER AYMA GARCIA 2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</si>
  <si>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</si>
  <si>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</si>
  <si>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</si>
  <si>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</si>
  <si>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</si>
  <si>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</si>
  <si>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</si>
  <si>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</si>
  <si>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</si>
  <si>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</si>
  <si>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</si>
  <si>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</si>
  <si>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</si>
  <si>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</si>
  <si>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</si>
  <si>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</si>
  <si>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</si>
  <si>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</si>
  <si>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</si>
  <si>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CABLE DE IMPRESORA</t>
  </si>
  <si>
    <t>ALMOHADILLA DE ESPONJA DE TINTA L4160</t>
  </si>
  <si>
    <t>ALMOHADILLA DE ESPONJA DE TINTA G3110</t>
  </si>
  <si>
    <t>FUENTE DE ALIMENTACION PARA IMPRESORA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</si>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</sst>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ALMOHADILLA DE ESPONJA DE TINTA L4160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45917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46888785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69" t="s">
        <v>21</v>
      </c>
      <c r="J11" s="115">
        <f>'2'!F7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22</v>
      </c>
      <c r="B13" s="70"/>
      <c r="C13" s="70"/>
      <c r="D13" s="70"/>
      <c r="E13" s="70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1" t="s">
        <v>25</v>
      </c>
      <c r="B14" s="71"/>
      <c r="C14" s="71"/>
      <c r="D14" s="3"/>
      <c r="E14" s="3"/>
      <c r="F14" s="3"/>
      <c r="G14" s="3"/>
      <c r="H14" s="1"/>
      <c r="I14" s="1"/>
      <c r="J14" s="25">
        <f>'2'!D18</f>
        <v>1961.7885462555</v>
      </c>
      <c r="K14" s="26">
        <f>'2'!F11</f>
        <v>2000</v>
      </c>
      <c r="L14" s="1"/>
      <c r="M14" s="1"/>
      <c r="N14" s="1"/>
      <c r="O14" s="1"/>
      <c r="P14" s="1"/>
      <c r="Q14" s="1"/>
    </row>
    <row r="15" spans="1:17">
      <c r="A15" s="72" t="s">
        <v>26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'2'!F14 + '2'!F17</f>
        <v>242.04405286344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29</v>
      </c>
      <c r="B19" s="70"/>
      <c r="C19" s="70"/>
      <c r="D19" s="70"/>
      <c r="E19" s="70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'2'!F28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'2'!F29</f>
        <v>358.72704845815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'2'!F30</f>
        <v>44.840881057269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31.388616740088</v>
      </c>
      <c r="J23" s="27">
        <f>'2'!D31</f>
        <v>81.021866960352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81.021866960352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'2'!F31</f>
        <v>92.59641938326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81.021866960352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40</v>
      </c>
      <c r="B29" s="61"/>
      <c r="C29" s="61"/>
      <c r="D29" s="61"/>
      <c r="E29" s="61"/>
      <c r="F29" s="37"/>
      <c r="G29" s="37"/>
      <c r="H29" s="38"/>
      <c r="I29" s="38"/>
      <c r="J29" s="38" t="s">
        <v>23</v>
      </c>
      <c r="K29" s="38">
        <f>K14</f>
        <v>2000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>1961.7885462555</v>
      </c>
      <c r="K30" s="26">
        <f>IF(J11&lt;1, 300, 300*J11)</f>
        <v>300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496.16434889868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81.021866960352</v>
      </c>
      <c r="K32" s="28">
        <f>K29+K30+K31</f>
        <v>2796.1643488987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75" t="s">
        <v>45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46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47</v>
      </c>
      <c r="N35" s="82" t="s">
        <v>48</v>
      </c>
      <c r="O35" s="84" t="s">
        <v>49</v>
      </c>
      <c r="P35" s="86" t="s">
        <v>50</v>
      </c>
      <c r="Q35" s="88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500</v>
      </c>
      <c r="G36" s="118">
        <f>'2'!C8</f>
        <v>2.8</v>
      </c>
      <c r="H36" s="42"/>
      <c r="I36" s="118">
        <f>'2'!C46</f>
        <v>3.9771675333921</v>
      </c>
      <c r="J36" s="116">
        <f>'2'!C44</f>
        <v>1988.583766696</v>
      </c>
      <c r="K36" s="117">
        <f>'2'!C47</f>
        <v>14.715519873551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53</v>
      </c>
      <c r="D37" s="41"/>
      <c r="E37" s="41"/>
      <c r="F37" s="59">
        <f>'2'!D10</f>
        <v>5000</v>
      </c>
      <c r="G37" s="118">
        <f>'2'!D8</f>
        <v>0.35</v>
      </c>
      <c r="H37" s="58"/>
      <c r="I37" s="119">
        <f>'2'!D46</f>
        <v>0.49714594167401</v>
      </c>
      <c r="J37" s="116">
        <f>'2'!D44</f>
        <v>2485.72970837</v>
      </c>
      <c r="K37" s="117">
        <f>'2'!D47</f>
        <v>1.8394399841938</v>
      </c>
      <c r="L37" s="42"/>
      <c r="M37" s="39">
        <v>1</v>
      </c>
      <c r="N37" s="40">
        <f>+B37</f>
        <v>2</v>
      </c>
      <c r="O37" s="43">
        <f>+F37</f>
        <v>5000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54</v>
      </c>
      <c r="D38" s="41"/>
      <c r="E38" s="60"/>
      <c r="F38" s="41">
        <f>'2'!E10</f>
        <v>1300</v>
      </c>
      <c r="G38" s="118">
        <f>'2'!E8</f>
        <v>0.40384615384615</v>
      </c>
      <c r="H38" s="42"/>
      <c r="I38" s="120">
        <f>'2'!E46</f>
        <v>0.57362993270077</v>
      </c>
      <c r="J38" s="121">
        <f>'2'!E44</f>
        <v>745.71891251101</v>
      </c>
      <c r="K38" s="122">
        <f>'2'!E47</f>
        <v>2.1224307509929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55</v>
      </c>
      <c r="D39" s="41"/>
      <c r="E39" s="60"/>
      <c r="F39" s="41">
        <f>'2'!F10</f>
        <v>500</v>
      </c>
      <c r="G39" s="118">
        <f>'2'!F8</f>
        <v>4</v>
      </c>
      <c r="H39" s="42"/>
      <c r="I39" s="120">
        <f>'2'!F46</f>
        <v>5.6816679048458</v>
      </c>
      <c r="J39" s="121">
        <f>'2'!F44</f>
        <v>2840.8339524229</v>
      </c>
      <c r="K39" s="122">
        <f>'2'!F47</f>
        <v>21.02217124793</v>
      </c>
      <c r="L39" s="42"/>
      <c r="M39" s="90" t="s">
        <v>56</v>
      </c>
      <c r="N39" s="90"/>
      <c r="O39" s="90"/>
      <c r="P39" s="91" t="s">
        <v>57</v>
      </c>
      <c r="Q39" s="92"/>
    </row>
    <row r="40" spans="1:17" customHeight="1" ht="18">
      <c r="A40" s="48" t="s">
        <v>58</v>
      </c>
      <c r="B40" s="124" t="s">
        <v>39</v>
      </c>
      <c r="C40" s="123"/>
      <c r="D40" s="123"/>
      <c r="E40" s="123"/>
      <c r="F40" s="124">
        <f>SUM(F36:F39)</f>
        <v>7300</v>
      </c>
      <c r="G40" s="123"/>
      <c r="H40" s="123"/>
      <c r="I40" s="123"/>
      <c r="J40" s="125">
        <f>SUM(J36:J39)</f>
        <v>8060.86634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59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60</v>
      </c>
      <c r="N41" s="74"/>
      <c r="O41" s="50" t="e">
        <f>+J31</f>
        <v>#VALUE!</v>
      </c>
      <c r="P41" s="51" t="s">
        <v>61</v>
      </c>
      <c r="Q41" s="1"/>
    </row>
    <row r="42" spans="1:17" customHeight="1" ht="21">
      <c r="A42" s="49" t="s">
        <v>62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63</v>
      </c>
      <c r="N42" s="74"/>
      <c r="O42" s="50">
        <f>+J32</f>
        <v>81.021866960352</v>
      </c>
      <c r="P42" s="51" t="s">
        <v>64</v>
      </c>
      <c r="Q42" s="1"/>
    </row>
    <row r="43" spans="1:17" customHeight="1" ht="18">
      <c r="A43" s="49" t="s">
        <v>65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66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67</v>
      </c>
      <c r="N44" s="95"/>
      <c r="O44" s="96" t="e">
        <f>+O41+O42+J14</f>
        <v>#VALUE!</v>
      </c>
      <c r="P44" s="98" t="s">
        <v>68</v>
      </c>
      <c r="Q44" s="99"/>
    </row>
    <row r="45" spans="1:17" customHeight="1" ht="18">
      <c r="A45" s="49" t="s">
        <v>69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70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71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72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73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74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75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76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77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78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79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80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81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82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83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84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85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86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87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88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89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90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91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92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93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94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95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96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97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98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99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100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101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47"/>
  <sheetViews>
    <sheetView tabSelected="1" workbookViewId="0" showGridLines="true" showRowColHeaders="1">
      <selection activeCell="B40" sqref="B40:H47"/>
    </sheetView>
  </sheetViews>
  <sheetFormatPr defaultRowHeight="14.4" outlineLevelRow="0" outlineLevelCol="0"/>
  <cols>
    <col min="2" max="2" width="24.708" bestFit="true" customWidth="true" style="0"/>
    <col min="3" max="3" width="22.28" bestFit="true" customWidth="true" style="0"/>
    <col min="4" max="4" width="44.703" bestFit="true" customWidth="true" style="0"/>
    <col min="5" max="5" width="44.703" bestFit="true" customWidth="true" style="0"/>
    <col min="6" max="6" width="44.703" bestFit="true" customWidth="true" style="0"/>
  </cols>
  <sheetData>
    <row r="3" spans="1:11">
      <c r="B3" s="102" t="s">
        <v>104</v>
      </c>
      <c r="C3" s="101"/>
      <c r="D3" s="101"/>
      <c r="E3" s="101"/>
      <c r="F3" s="101"/>
      <c r="G3" s="101"/>
    </row>
    <row r="5" spans="1:11">
      <c r="B5" s="105" t="s">
        <v>105</v>
      </c>
      <c r="C5" s="107" t="s">
        <v>52</v>
      </c>
      <c r="D5" s="107" t="s">
        <v>53</v>
      </c>
      <c r="E5" s="107" t="s">
        <v>54</v>
      </c>
      <c r="F5" s="107" t="s">
        <v>55</v>
      </c>
      <c r="G5" s="107" t="s">
        <v>120</v>
      </c>
      <c r="H5" s="101"/>
    </row>
    <row r="6" spans="1:11">
      <c r="B6" s="101" t="s">
        <v>106</v>
      </c>
      <c r="C6" s="101">
        <v>0</v>
      </c>
      <c r="D6" s="101">
        <v>0</v>
      </c>
      <c r="E6" s="101">
        <v>0</v>
      </c>
      <c r="F6" s="101">
        <v>0</v>
      </c>
      <c r="G6" s="110">
        <v>356.66</v>
      </c>
      <c r="H6" s="101"/>
      <c r="J6" t="s">
        <v>121</v>
      </c>
      <c r="K6" t="s">
        <v>122</v>
      </c>
    </row>
    <row r="7" spans="1:11">
      <c r="B7" s="101" t="s">
        <v>107</v>
      </c>
      <c r="C7" s="101">
        <v>0</v>
      </c>
      <c r="D7" s="101">
        <v>0</v>
      </c>
      <c r="E7" s="101">
        <v>0</v>
      </c>
      <c r="F7" s="101">
        <v>0</v>
      </c>
      <c r="G7" s="111">
        <v>3.26</v>
      </c>
      <c r="H7" s="101"/>
      <c r="J7" t="s">
        <v>19</v>
      </c>
      <c r="K7">
        <v>300</v>
      </c>
    </row>
    <row r="8" spans="1:11">
      <c r="B8" s="101" t="s">
        <v>108</v>
      </c>
      <c r="C8" s="108">
        <v>2.8</v>
      </c>
      <c r="D8" s="108">
        <v>0.35</v>
      </c>
      <c r="E8" s="108">
        <v>0.40384615384615</v>
      </c>
      <c r="F8" s="108">
        <v>4.0</v>
      </c>
      <c r="G8" s="101"/>
      <c r="H8" s="101"/>
    </row>
    <row r="9" spans="1:11">
      <c r="B9" s="106" t="s">
        <v>109</v>
      </c>
      <c r="C9" s="108">
        <v>0.0</v>
      </c>
      <c r="D9" s="108">
        <v>0.0</v>
      </c>
      <c r="E9" s="108">
        <v>0.0</v>
      </c>
      <c r="F9" s="108">
        <v>0.0</v>
      </c>
      <c r="G9" s="101"/>
      <c r="H9" s="101"/>
    </row>
    <row r="10" spans="1:11">
      <c r="B10" s="101" t="s">
        <v>110</v>
      </c>
      <c r="C10" s="101">
        <v>500.0</v>
      </c>
      <c r="D10" s="101">
        <v>5000.0</v>
      </c>
      <c r="E10" s="101">
        <v>1300.0</v>
      </c>
      <c r="F10" s="101">
        <v>500.0</v>
      </c>
      <c r="G10" s="101">
        <f>SUM(C10:F10)</f>
        <v>7300</v>
      </c>
      <c r="H10" s="101"/>
    </row>
    <row r="11" spans="1:11">
      <c r="B11" s="101" t="s">
        <v>111</v>
      </c>
      <c r="C11" s="108">
        <f>C8*C10</f>
        <v>1400</v>
      </c>
      <c r="D11" s="108">
        <f>D8*D10</f>
        <v>1750</v>
      </c>
      <c r="E11" s="108">
        <f>E8*E10</f>
        <v>524.99999999999</v>
      </c>
      <c r="F11" s="108">
        <f>F8*F10</f>
        <v>2000</v>
      </c>
      <c r="G11" s="101">
        <f>SUM(C11:F11)</f>
        <v>5675</v>
      </c>
      <c r="H11" s="101"/>
    </row>
    <row r="12" spans="1:11">
      <c r="B12" s="106" t="s">
        <v>112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1"/>
      <c r="H12" s="101"/>
    </row>
    <row r="13" spans="1:11">
      <c r="B13" s="101" t="s">
        <v>113</v>
      </c>
      <c r="C13" s="109">
        <f>C11/G11</f>
        <v>0.24669603524229</v>
      </c>
      <c r="D13" s="109">
        <f>D11/G11</f>
        <v>0.30837004405286</v>
      </c>
      <c r="E13" s="109">
        <f>E11/G11</f>
        <v>0.092511013215858</v>
      </c>
      <c r="F13" s="109">
        <f>F11/G11</f>
        <v>0.35242290748899</v>
      </c>
      <c r="G13" s="101"/>
      <c r="H13" s="101"/>
    </row>
    <row r="14" spans="1:11">
      <c r="B14" s="101" t="s">
        <v>114</v>
      </c>
      <c r="C14" s="108">
        <f>G14*C13</f>
        <v>144.76123348018</v>
      </c>
      <c r="D14" s="108">
        <f>G14*D13</f>
        <v>180.95154185022</v>
      </c>
      <c r="E14" s="108">
        <f>G14*E13</f>
        <v>54.285462555066</v>
      </c>
      <c r="F14" s="108">
        <f>G14*F13</f>
        <v>206.80176211454</v>
      </c>
      <c r="G14" s="101">
        <f>IF(G7&lt;1, K7*0.6, K7*0.6*G7)</f>
        <v>586.8</v>
      </c>
      <c r="H14" s="101"/>
    </row>
    <row r="15" spans="1:11">
      <c r="B15" s="101" t="s">
        <v>115</v>
      </c>
      <c r="C15" s="108">
        <f>C11+C14</f>
        <v>1544.7612334802</v>
      </c>
      <c r="D15" s="108">
        <f>D11+D14</f>
        <v>1930.9515418502</v>
      </c>
      <c r="E15" s="108">
        <f>E11+E14</f>
        <v>579.28546255506</v>
      </c>
      <c r="F15" s="108">
        <f>F11+F14</f>
        <v>2206.8017621145</v>
      </c>
      <c r="G15" s="112">
        <f>SUM(C15:F15)</f>
        <v>6261.8</v>
      </c>
      <c r="H15" s="101"/>
    </row>
    <row r="16" spans="1:11">
      <c r="B16" s="106" t="s">
        <v>116</v>
      </c>
      <c r="C16" s="108">
        <f>C12+C14</f>
        <v>144.76123348018</v>
      </c>
      <c r="D16" s="108">
        <f>D12+D14</f>
        <v>180.95154185022</v>
      </c>
      <c r="E16" s="108">
        <f>E12+E14</f>
        <v>54.285462555066</v>
      </c>
      <c r="F16" s="108">
        <f>F12+F14</f>
        <v>206.80176211454</v>
      </c>
      <c r="G16" s="101"/>
      <c r="H16" s="101"/>
    </row>
    <row r="17" spans="1:11">
      <c r="B17" s="101" t="s">
        <v>117</v>
      </c>
      <c r="C17" s="108">
        <f>IF(G11&gt;5000,100*C13,50*C13)</f>
        <v>24.669603524229</v>
      </c>
      <c r="D17" s="108">
        <f>IF(G11&gt;5000,100*D13,50*D13)</f>
        <v>30.837004405286</v>
      </c>
      <c r="E17" s="108">
        <f>IF(G11&gt;5000,100*E13,50*E13)</f>
        <v>9.2511013215858</v>
      </c>
      <c r="F17" s="108">
        <f>IF(G11&gt;5000,100*F13,50*F13)</f>
        <v>35.242290748899</v>
      </c>
      <c r="G17" s="101"/>
      <c r="H17" s="101"/>
    </row>
    <row r="18" spans="1:11">
      <c r="B18" s="101" t="s">
        <v>118</v>
      </c>
      <c r="C18" s="108">
        <f>C15+C17</f>
        <v>1569.4308370044</v>
      </c>
      <c r="D18" s="108">
        <f>D15+D17</f>
        <v>1961.7885462555</v>
      </c>
      <c r="E18" s="108">
        <f>E15+E17</f>
        <v>588.53656387665</v>
      </c>
      <c r="F18" s="108">
        <f>F15+F17</f>
        <v>2242.0440528634</v>
      </c>
      <c r="G18" s="101"/>
      <c r="H18" s="101"/>
    </row>
    <row r="19" spans="1:11">
      <c r="B19" s="106" t="s">
        <v>119</v>
      </c>
      <c r="C19" s="108">
        <f>C16+C17</f>
        <v>169.43083700441</v>
      </c>
      <c r="D19" s="108">
        <f>D16+D17</f>
        <v>211.78854625551</v>
      </c>
      <c r="E19" s="108">
        <f>E16+E17</f>
        <v>63.536563876651</v>
      </c>
      <c r="F19" s="108">
        <f>F16+F17</f>
        <v>242.04405286344</v>
      </c>
      <c r="G19" s="101"/>
      <c r="H19" s="101"/>
    </row>
    <row r="23" spans="1:11">
      <c r="B23" s="102" t="s">
        <v>123</v>
      </c>
      <c r="C23" s="101"/>
      <c r="D23" s="101"/>
      <c r="E23" s="101"/>
    </row>
    <row r="26" spans="1:11">
      <c r="B26" t="s">
        <v>35</v>
      </c>
      <c r="C26" s="103">
        <v>0</v>
      </c>
      <c r="D26" s="103">
        <v>0</v>
      </c>
      <c r="E26" s="103">
        <v>0</v>
      </c>
      <c r="F26" s="103">
        <v>0</v>
      </c>
      <c r="G26" s="103">
        <f>SUM(C26:F26)</f>
        <v>0</v>
      </c>
    </row>
    <row r="27" spans="1:11">
      <c r="C27" s="104">
        <v>0.0</v>
      </c>
      <c r="D27" s="104">
        <v>0.0</v>
      </c>
      <c r="E27" s="104">
        <v>0.0</v>
      </c>
      <c r="F27" s="104">
        <v>0.0</v>
      </c>
    </row>
    <row r="28" spans="1:11">
      <c r="B28" s="101" t="s">
        <v>124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0</v>
      </c>
      <c r="G28" s="108">
        <f>SUM(C28:F28)</f>
        <v>0</v>
      </c>
      <c r="H28" s="101"/>
    </row>
    <row r="29" spans="1:11">
      <c r="B29" s="101" t="s">
        <v>33</v>
      </c>
      <c r="C29" s="108">
        <f>0.16*(MAX(C19,C18)+C28)</f>
        <v>251.1089339207</v>
      </c>
      <c r="D29" s="108">
        <f>0.16*(MAX(D19,D18)+D28)</f>
        <v>313.88616740088</v>
      </c>
      <c r="E29" s="108">
        <f>0.16*(MAX(E19,E18)+E28)</f>
        <v>94.165850220263</v>
      </c>
      <c r="F29" s="108">
        <f>0.16*(MAX(F19,F18)+F28)</f>
        <v>358.72704845815</v>
      </c>
      <c r="G29" s="108">
        <f>SUM(C29:F29)</f>
        <v>1017.888</v>
      </c>
      <c r="H29" s="101"/>
    </row>
    <row r="30" spans="1:11">
      <c r="B30" s="101" t="s">
        <v>34</v>
      </c>
      <c r="C30" s="108">
        <f>0.02*(MAX(C19,C18)+C28)</f>
        <v>31.388616740088</v>
      </c>
      <c r="D30" s="108">
        <f>0.02*(MAX(D19,D18)+D28)</f>
        <v>39.23577092511</v>
      </c>
      <c r="E30" s="108">
        <f>0.02*(MAX(E19,E18)+E28)</f>
        <v>11.770731277533</v>
      </c>
      <c r="F30" s="108">
        <f>0.02*(MAX(F19,F18)+F28)</f>
        <v>44.840881057269</v>
      </c>
      <c r="G30" s="108">
        <f>SUM(C30:F30)</f>
        <v>127.236</v>
      </c>
      <c r="H30" s="101"/>
    </row>
    <row r="31" spans="1:11">
      <c r="B31" s="101" t="s">
        <v>125</v>
      </c>
      <c r="C31" s="108">
        <f>0.035*(MAX(C18,C19) +C28+C29+C30)</f>
        <v>64.817493568282</v>
      </c>
      <c r="D31" s="108">
        <f>0.035*(MAX(D18,D19) +D28+D29+D30)</f>
        <v>81.021866960352</v>
      </c>
      <c r="E31" s="108">
        <f>0.035*(MAX(E18,E19) +E28+E29+E30)</f>
        <v>24.306560088105</v>
      </c>
      <c r="F31" s="108">
        <f>0.035*(MAX(F18,F19) +F28+F29+F30)</f>
        <v>92.59641938326</v>
      </c>
      <c r="G31" s="108">
        <f>SUM(C31:F31)</f>
        <v>262.74234</v>
      </c>
      <c r="H31" s="101"/>
    </row>
    <row r="32" spans="1:11">
      <c r="B32" s="101" t="s">
        <v>39</v>
      </c>
      <c r="C32" s="108">
        <f>SUM(C28:C31)</f>
        <v>347.31504422907</v>
      </c>
      <c r="D32" s="108">
        <f>SUM(D28:D31)</f>
        <v>434.14380528634</v>
      </c>
      <c r="E32" s="108">
        <f>SUM(E28:E31)</f>
        <v>130.2431415859</v>
      </c>
      <c r="F32" s="108">
        <f>SUM(F28:F31)</f>
        <v>496.16434889868</v>
      </c>
      <c r="G32" s="108">
        <f>SUM(G28:G31)</f>
        <v>1407.86634</v>
      </c>
      <c r="H32" s="101"/>
    </row>
    <row r="37" spans="1:11">
      <c r="B37" s="102" t="s">
        <v>126</v>
      </c>
      <c r="C37" s="101"/>
      <c r="D37" s="101"/>
      <c r="E37" s="101"/>
    </row>
    <row r="40" spans="1:11">
      <c r="B40" s="101" t="s">
        <v>127</v>
      </c>
      <c r="C40" s="108">
        <f>C13*G40</f>
        <v>96.507488986784</v>
      </c>
      <c r="D40" s="108">
        <f>D13*G40</f>
        <v>120.63436123348</v>
      </c>
      <c r="E40" s="108">
        <f>E13*G40</f>
        <v>36.190308370044</v>
      </c>
      <c r="F40" s="108">
        <f>F13*G40</f>
        <v>137.86784140969</v>
      </c>
      <c r="G40" s="101">
        <f>IF(G7&lt;1, K7*0.4, K7*0.4*G7)</f>
        <v>391.2</v>
      </c>
      <c r="H40" s="101"/>
    </row>
    <row r="41" spans="1:11">
      <c r="B41" s="101"/>
      <c r="C41" s="101"/>
      <c r="D41" s="101"/>
      <c r="E41" s="101"/>
      <c r="F41" s="101"/>
      <c r="G41" s="101"/>
      <c r="H41" s="101"/>
    </row>
    <row r="42" spans="1:11">
      <c r="B42" s="101"/>
      <c r="C42" s="101"/>
      <c r="D42" s="101"/>
      <c r="E42" s="101"/>
      <c r="F42" s="101"/>
      <c r="G42" s="101"/>
      <c r="H42" s="101"/>
    </row>
    <row r="43" spans="1:11">
      <c r="B43" s="101" t="s">
        <v>127</v>
      </c>
      <c r="C43" s="101" t="s">
        <v>52</v>
      </c>
      <c r="D43" s="101" t="s">
        <v>53</v>
      </c>
      <c r="E43" s="101" t="s">
        <v>54</v>
      </c>
      <c r="F43" s="101" t="s">
        <v>55</v>
      </c>
      <c r="G43" s="101" t="s">
        <v>120</v>
      </c>
      <c r="H43" s="101"/>
    </row>
    <row r="44" spans="1:11">
      <c r="B44" s="101" t="s">
        <v>128</v>
      </c>
      <c r="C44" s="108">
        <f>SUM(C15,C40,C32,(C26))</f>
        <v>1988.583766696</v>
      </c>
      <c r="D44" s="108">
        <f>SUM(D15,D40,D32,(D26))</f>
        <v>2485.72970837</v>
      </c>
      <c r="E44" s="108">
        <f>SUM(E15,E40,E32,(E26))</f>
        <v>745.71891251101</v>
      </c>
      <c r="F44" s="108">
        <f>SUM(F15,F40,F32,(F26))</f>
        <v>2840.8339524229</v>
      </c>
      <c r="G44" s="108">
        <f>SUM(C44:F44)</f>
        <v>8060.86634</v>
      </c>
      <c r="H44" s="101"/>
    </row>
    <row r="45" spans="1:11">
      <c r="B45" s="101" t="s">
        <v>129</v>
      </c>
      <c r="C45" s="101">
        <v>500.0</v>
      </c>
      <c r="D45" s="101">
        <v>5000.0</v>
      </c>
      <c r="E45" s="101">
        <v>1300.0</v>
      </c>
      <c r="F45" s="101">
        <v>500.0</v>
      </c>
      <c r="G45" s="101"/>
      <c r="H45" s="101"/>
    </row>
    <row r="46" spans="1:11">
      <c r="B46" s="101" t="s">
        <v>130</v>
      </c>
      <c r="C46" s="108">
        <f>SUM(C44/C45)</f>
        <v>3.9771675333921</v>
      </c>
      <c r="D46" s="108">
        <f>SUM(D44/D45)</f>
        <v>0.49714594167401</v>
      </c>
      <c r="E46" s="108">
        <f>SUM(E44/E45)</f>
        <v>0.57362993270077</v>
      </c>
      <c r="F46" s="108">
        <f>SUM(F44/F45)</f>
        <v>5.6816679048458</v>
      </c>
      <c r="G46" s="101"/>
      <c r="H46" s="101"/>
    </row>
    <row r="47" spans="1:11">
      <c r="B47" s="101" t="s">
        <v>131</v>
      </c>
      <c r="C47" s="113">
        <f>C46*3.7</f>
        <v>14.715519873551</v>
      </c>
      <c r="D47" s="113">
        <f>D46*3.7</f>
        <v>1.8394399841938</v>
      </c>
      <c r="E47" s="113">
        <f>E46*3.7</f>
        <v>2.1224307509929</v>
      </c>
      <c r="F47" s="113">
        <f>F46*3.7</f>
        <v>21.02217124793</v>
      </c>
      <c r="G47" s="101"/>
      <c r="H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