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<sst xmlns="http://schemas.openxmlformats.org/spreadsheetml/2006/main" uniqueCount="138">
  <si>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COTIZACION Nº20240000001</t>
  </si>
  <si>
    <t>NOMBRE:</t>
  </si>
  <si>
    <t>Edison Benicio Mayhualla</t>
  </si>
  <si>
    <t>JHON QUINTANILLA 2</t>
  </si>
  <si>
    <t>SERVICIO:</t>
  </si>
  <si>
    <t>CARGA CONSOLIDADA</t>
  </si>
  <si>
    <t>N° CAJAS:</t>
  </si>
  <si>
    <t>DNI/RUC:</t>
  </si>
  <si>
    <t>FECHA:</t>
  </si>
  <si>
    <t>PESO:</t>
  </si>
  <si>
    <t>200 Kg</t>
  </si>
  <si>
    <t>CORREO:</t>
  </si>
  <si>
    <t>ORIGEN:</t>
  </si>
  <si>
    <t>CHINA</t>
  </si>
  <si>
    <t>MEDIDA</t>
  </si>
  <si>
    <t>TELEFONO: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</si>
  <si>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</si>
  <si>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</si>
  <si>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</si>
  <si>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</si>
  <si>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</si>
  <si>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</si>
  <si>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</si>
  <si>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</si>
  <si>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</si>
  <si>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</si>
  <si>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</si>
  <si>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</si>
  <si>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</si>
  <si>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</si>
  <si>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</si>
  <si>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JHON QUINTANILLA 2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</si>
  <si>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</si>
  <si>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</si>
  <si>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</si>
  <si>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</si>
  <si>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</si>
  <si>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</si>
  <si>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</si>
  <si>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</si>
  <si>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</si>
  <si>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</si>
  <si>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</si>
  <si>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</si>
  <si>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</si>
  <si>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</si>
  <si>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</si>
  <si>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</si>
  <si>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</si>
  <si>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</si>
  <si>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</si>
  <si>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HEBILLA PARA CORREA DE RELOJ</t>
  </si>
  <si>
    <t>CORREA DE SILICONA PARA RELOJ</t>
  </si>
  <si>
    <t>CORREAS PARA RELOJ</t>
  </si>
  <si>
    <t>LINTERNA LED DE LARGO ALCANCE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</si>
  <si>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</si>
  <si>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</si>
  <si>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</si>
  <si>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</si>
  <si>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</si>
  <si>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</si>
  <si>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</si>
  <si>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</si>
  <si>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</si>
  <si>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</si>
  <si>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</si>
  <si>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</si>
  <si>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</si>
  <si>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</si>
  <si>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</si>
  <si>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</si>
  <si>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</si>
  <si>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</si>
  <si>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</si>
  <si>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</si>
  <si>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</si>
  <si>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</si>
  <si>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</si>
  <si>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</si>
  <si>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</si>
  <si>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</si>
  <si>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</si>
  <si>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</si>
  <si>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</si>
  <si>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</si>
  <si>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</si>
  <si>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</si>
  <si>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</si>
  <si>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</si>
  <si>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</si>
  <si>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</si>
  <si>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</si>
  <si>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</si>
  <si>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</si>
  <si>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</si>
  <si>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</si>
  <si>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</si>
  <si>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</si>
  <si>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</si>
  <si>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</si>
  <si>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</si>
  <si>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</si>
  <si>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</si>
  <si>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</si>
  <si>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</si>
  <si>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</si>
  <si>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</si>
  <si>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</si>
  <si>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</si>
  <si>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</si>
  <si>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</si>
  <si>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</si>
  <si>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</si>
  <si>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</si>
  <si>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</si>
  <si>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</si>
  <si>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</si>
  <si>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</si>
  <si>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</si>
  <si>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ADAPTADOR DE CARGADOR  DE 25W</t>
  </si>
  <si>
    <t>ADAPTADOR DE CARGADOR  DE 120W</t>
  </si>
  <si>
    <t>CABLE TIPO-C DE CARGA</t>
  </si>
  <si>
    <t>AUDIFONOS DE CABLE SIN ALMOHADILLA</t>
  </si>
  <si>
    <t>AUDIFONOS DE CABLE CON ALMOHADILLA</t>
  </si>
  <si>
    <t>CABLE USB DE CARGA</t>
  </si>
  <si>
    <t>CARGADOR PORTATIL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</si>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</sst>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CORREA DE SILICONA PARA RELOJ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51998940040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69" t="s">
        <v>20</v>
      </c>
      <c r="J11" s="115">
        <f>'2'!M7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965.63509206349</v>
      </c>
      <c r="K14" s="26">
        <f>'2'!M11</f>
        <v>968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'2'!M14 + '2'!M17</f>
        <v>94.198601269841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'2'!M28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'2'!M29</f>
        <v>169.95177620317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'2'!M30</f>
        <v>21.243972025397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10.534201004329</v>
      </c>
      <c r="J23" s="27">
        <f>'2'!D31</f>
        <v>39.880729302222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39.880729302222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'2'!M31</f>
        <v>43.868802232444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39.880729302222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968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965.63509206349</v>
      </c>
      <c r="K30" s="26">
        <f>IF(J11&lt;1, 672.02, 672.02*J11)</f>
        <v>672.02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235.06455046102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39.880729302222</v>
      </c>
      <c r="K32" s="28">
        <f>K29+K30+K31</f>
        <v>1875.084550461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6000</v>
      </c>
      <c r="G36" s="118">
        <f>'2'!C8</f>
        <v>0.08</v>
      </c>
      <c r="H36" s="42"/>
      <c r="I36" s="118">
        <f>'2'!C46</f>
        <v>0.10999683389616</v>
      </c>
      <c r="J36" s="116">
        <f>'2'!C44</f>
        <v>659.98100337697</v>
      </c>
      <c r="K36" s="117">
        <f>'2'!C47</f>
        <v>0.4069882854158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2000</v>
      </c>
      <c r="G37" s="118">
        <f>'2'!D8</f>
        <v>0.44</v>
      </c>
      <c r="H37" s="58"/>
      <c r="I37" s="119">
        <f>'2'!D46</f>
        <v>0.60498258642889</v>
      </c>
      <c r="J37" s="116">
        <f>'2'!D44</f>
        <v>1209.9651728578</v>
      </c>
      <c r="K37" s="117">
        <f>'2'!D47</f>
        <v>2.2384355697869</v>
      </c>
      <c r="L37" s="42"/>
      <c r="M37" s="39">
        <v>1</v>
      </c>
      <c r="N37" s="40">
        <f>+B37</f>
        <v>2</v>
      </c>
      <c r="O37" s="43">
        <f>+F37</f>
        <v>2000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900</v>
      </c>
      <c r="G38" s="118">
        <f>'2'!E8</f>
        <v>0.6</v>
      </c>
      <c r="H38" s="42"/>
      <c r="I38" s="120">
        <f>'2'!E46</f>
        <v>0.82497625422121</v>
      </c>
      <c r="J38" s="121">
        <f>'2'!E44</f>
        <v>742.47862879909</v>
      </c>
      <c r="K38" s="122">
        <f>'2'!E47</f>
        <v>3.0524121406185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200</v>
      </c>
      <c r="G39" s="118">
        <f>'2'!F8</f>
        <v>1.94</v>
      </c>
      <c r="H39" s="42"/>
      <c r="I39" s="120">
        <f>'2'!F46</f>
        <v>2.6674232219819</v>
      </c>
      <c r="J39" s="121">
        <f>'2'!F44</f>
        <v>533.48464439638</v>
      </c>
      <c r="K39" s="122">
        <f>'2'!F47</f>
        <v>9.8694659213331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9100</v>
      </c>
      <c r="G40" s="123"/>
      <c r="H40" s="123"/>
      <c r="I40" s="123"/>
      <c r="J40" s="125">
        <f>SUM(J36:J39)</f>
        <v>3145.9094494302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39.880729302222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7"/>
  <sheetViews>
    <sheetView tabSelected="1" workbookViewId="0" showGridLines="true" showRowColHeaders="1">
      <selection activeCell="B40" sqref="B40:O47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35.277" bestFit="true" customWidth="true" style="0"/>
    <col min="5" max="5" width="22.28" bestFit="true" customWidth="true" style="0"/>
    <col min="6" max="6" width="35.277" bestFit="true" customWidth="true" style="0"/>
    <col min="7" max="7" width="35.277" bestFit="true" customWidth="true" style="0"/>
    <col min="8" max="8" width="36.42" bestFit="true" customWidth="true" style="0"/>
    <col min="9" max="9" width="25.851" bestFit="true" customWidth="true" style="0"/>
    <col min="10" max="10" width="41.133" bestFit="true" customWidth="true" style="0"/>
    <col min="11" max="11" width="41.133" bestFit="true" customWidth="true" style="0"/>
    <col min="12" max="12" width="22.28" bestFit="true" customWidth="true" style="0"/>
    <col min="13" max="13" width="21.138" bestFit="true" customWidth="true" style="0"/>
  </cols>
  <sheetData>
    <row r="3" spans="1:18">
      <c r="B3" s="102" t="s">
        <v>103</v>
      </c>
      <c r="C3" s="101"/>
      <c r="D3" s="101"/>
      <c r="E3" s="101"/>
      <c r="F3" s="101"/>
      <c r="G3" s="101"/>
    </row>
    <row r="5" spans="1:18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7" t="s">
        <v>120</v>
      </c>
      <c r="I5" s="107" t="s">
        <v>121</v>
      </c>
      <c r="J5" s="107" t="s">
        <v>122</v>
      </c>
      <c r="K5" s="107" t="s">
        <v>123</v>
      </c>
      <c r="L5" s="107" t="s">
        <v>124</v>
      </c>
      <c r="M5" s="107" t="s">
        <v>125</v>
      </c>
      <c r="N5" s="107" t="s">
        <v>126</v>
      </c>
      <c r="O5" s="101"/>
    </row>
    <row r="6" spans="1:18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10">
        <v>200.0</v>
      </c>
      <c r="O6" s="101"/>
      <c r="Q6" t="s">
        <v>127</v>
      </c>
      <c r="R6" t="s">
        <v>128</v>
      </c>
    </row>
    <row r="7" spans="1:18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11">
        <v>1.09</v>
      </c>
      <c r="O7" s="101"/>
      <c r="Q7" t="s">
        <v>18</v>
      </c>
      <c r="R7">
        <v>672.02</v>
      </c>
    </row>
    <row r="8" spans="1:18">
      <c r="B8" s="101" t="s">
        <v>107</v>
      </c>
      <c r="C8" s="108">
        <v>0.08</v>
      </c>
      <c r="D8" s="108">
        <v>0.44</v>
      </c>
      <c r="E8" s="108">
        <v>0.6</v>
      </c>
      <c r="F8" s="108">
        <v>1.94</v>
      </c>
      <c r="G8" s="108">
        <v>0.97</v>
      </c>
      <c r="H8" s="108">
        <v>1.32</v>
      </c>
      <c r="I8" s="108">
        <v>0.21</v>
      </c>
      <c r="J8" s="108">
        <v>0.3</v>
      </c>
      <c r="K8" s="108">
        <v>0.55</v>
      </c>
      <c r="L8" s="108">
        <v>0.298</v>
      </c>
      <c r="M8" s="108">
        <v>9.68</v>
      </c>
      <c r="N8" s="101"/>
      <c r="O8" s="101"/>
    </row>
    <row r="9" spans="1:18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8">
        <v>0.0</v>
      </c>
      <c r="K9" s="108">
        <v>0.0</v>
      </c>
      <c r="L9" s="108">
        <v>0.0</v>
      </c>
      <c r="M9" s="108">
        <v>0.0</v>
      </c>
      <c r="N9" s="101"/>
      <c r="O9" s="101"/>
    </row>
    <row r="10" spans="1:18">
      <c r="B10" s="101" t="s">
        <v>109</v>
      </c>
      <c r="C10" s="101">
        <v>6000.0</v>
      </c>
      <c r="D10" s="101">
        <v>2000.0</v>
      </c>
      <c r="E10" s="101">
        <v>900.0</v>
      </c>
      <c r="F10" s="101">
        <v>200.0</v>
      </c>
      <c r="G10" s="101">
        <v>1000.0</v>
      </c>
      <c r="H10" s="101">
        <v>500.0</v>
      </c>
      <c r="I10" s="101">
        <v>500.0</v>
      </c>
      <c r="J10" s="101">
        <v>300.0</v>
      </c>
      <c r="K10" s="101">
        <v>300.0</v>
      </c>
      <c r="L10" s="101">
        <v>1000.0</v>
      </c>
      <c r="M10" s="101">
        <v>100.0</v>
      </c>
      <c r="N10" s="101">
        <f>SUM(C10:M10)</f>
        <v>12800</v>
      </c>
      <c r="O10" s="101"/>
    </row>
    <row r="11" spans="1:18">
      <c r="B11" s="101" t="s">
        <v>110</v>
      </c>
      <c r="C11" s="108">
        <f>C8*C10</f>
        <v>480</v>
      </c>
      <c r="D11" s="108">
        <f>D8*D10</f>
        <v>880</v>
      </c>
      <c r="E11" s="108">
        <f>E8*E10</f>
        <v>540</v>
      </c>
      <c r="F11" s="108">
        <f>F8*F10</f>
        <v>388</v>
      </c>
      <c r="G11" s="108">
        <f>G8*G10</f>
        <v>970</v>
      </c>
      <c r="H11" s="108">
        <f>H8*H10</f>
        <v>660</v>
      </c>
      <c r="I11" s="108">
        <f>I8*I10</f>
        <v>105</v>
      </c>
      <c r="J11" s="108">
        <f>J8*J10</f>
        <v>90</v>
      </c>
      <c r="K11" s="108">
        <f>K8*K10</f>
        <v>165</v>
      </c>
      <c r="L11" s="108">
        <f>L8*L10</f>
        <v>298</v>
      </c>
      <c r="M11" s="108">
        <f>M8*M10</f>
        <v>968</v>
      </c>
      <c r="N11" s="101">
        <f>SUM(C11:M11)</f>
        <v>5544</v>
      </c>
      <c r="O11" s="101"/>
    </row>
    <row r="12" spans="1:18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8">
        <f>J10*J9</f>
        <v>0</v>
      </c>
      <c r="K12" s="108">
        <f>K10*K9</f>
        <v>0</v>
      </c>
      <c r="L12" s="108">
        <f>L10*L9</f>
        <v>0</v>
      </c>
      <c r="M12" s="108">
        <f>M10*M9</f>
        <v>0</v>
      </c>
      <c r="N12" s="101"/>
      <c r="O12" s="101"/>
    </row>
    <row r="13" spans="1:18">
      <c r="B13" s="101" t="s">
        <v>112</v>
      </c>
      <c r="C13" s="109">
        <f>C11/N11</f>
        <v>0.086580086580087</v>
      </c>
      <c r="D13" s="109">
        <f>D11/N11</f>
        <v>0.15873015873016</v>
      </c>
      <c r="E13" s="109">
        <f>E11/N11</f>
        <v>0.097402597402597</v>
      </c>
      <c r="F13" s="109">
        <f>F11/N11</f>
        <v>0.06998556998557</v>
      </c>
      <c r="G13" s="109">
        <f>G11/N11</f>
        <v>0.17496392496392</v>
      </c>
      <c r="H13" s="109">
        <f>H11/N11</f>
        <v>0.11904761904762</v>
      </c>
      <c r="I13" s="109">
        <f>I11/N11</f>
        <v>0.018939393939394</v>
      </c>
      <c r="J13" s="109">
        <f>J11/N11</f>
        <v>0.016233766233766</v>
      </c>
      <c r="K13" s="109">
        <f>K11/N11</f>
        <v>0.029761904761905</v>
      </c>
      <c r="L13" s="109">
        <f>L11/N11</f>
        <v>0.053751803751804</v>
      </c>
      <c r="M13" s="109">
        <f>M11/N11</f>
        <v>0.17460317460317</v>
      </c>
      <c r="N13" s="101"/>
      <c r="O13" s="101"/>
    </row>
    <row r="14" spans="1:18">
      <c r="B14" s="101" t="s">
        <v>113</v>
      </c>
      <c r="C14" s="108">
        <f>N14*C13</f>
        <v>38.052041558442</v>
      </c>
      <c r="D14" s="108">
        <f>N14*D13</f>
        <v>69.762076190476</v>
      </c>
      <c r="E14" s="108">
        <f>N14*E13</f>
        <v>42.808546753247</v>
      </c>
      <c r="F14" s="108">
        <f>N14*F13</f>
        <v>30.758733593074</v>
      </c>
      <c r="G14" s="108">
        <f>N14*G13</f>
        <v>76.896833982684</v>
      </c>
      <c r="H14" s="108">
        <f>N14*H13</f>
        <v>52.321557142857</v>
      </c>
      <c r="I14" s="108">
        <f>N14*I13</f>
        <v>8.3238840909091</v>
      </c>
      <c r="J14" s="108">
        <f>N14*J13</f>
        <v>7.1347577922078</v>
      </c>
      <c r="K14" s="108">
        <f>N14*K13</f>
        <v>13.080389285714</v>
      </c>
      <c r="L14" s="108">
        <f>N14*L13</f>
        <v>23.623975800866</v>
      </c>
      <c r="M14" s="108">
        <f>N14*M13</f>
        <v>76.738283809524</v>
      </c>
      <c r="N14" s="101">
        <f>IF(N7&lt;1, R7*0.6, R7*0.6*N7)</f>
        <v>439.50108</v>
      </c>
      <c r="O14" s="101"/>
    </row>
    <row r="15" spans="1:18">
      <c r="B15" s="101" t="s">
        <v>114</v>
      </c>
      <c r="C15" s="108">
        <f>C11+C14</f>
        <v>518.05204155844</v>
      </c>
      <c r="D15" s="108">
        <f>D11+D14</f>
        <v>949.76207619048</v>
      </c>
      <c r="E15" s="108">
        <f>E11+E14</f>
        <v>582.80854675325</v>
      </c>
      <c r="F15" s="108">
        <f>F11+F14</f>
        <v>418.75873359307</v>
      </c>
      <c r="G15" s="108">
        <f>G11+G14</f>
        <v>1046.8968339827</v>
      </c>
      <c r="H15" s="108">
        <f>H11+H14</f>
        <v>712.32155714286</v>
      </c>
      <c r="I15" s="108">
        <f>I11+I14</f>
        <v>113.32388409091</v>
      </c>
      <c r="J15" s="108">
        <f>J11+J14</f>
        <v>97.134757792208</v>
      </c>
      <c r="K15" s="108">
        <f>K11+K14</f>
        <v>178.08038928571</v>
      </c>
      <c r="L15" s="108">
        <f>L11+L14</f>
        <v>321.62397580087</v>
      </c>
      <c r="M15" s="108">
        <f>M11+M14</f>
        <v>1044.7382838095</v>
      </c>
      <c r="N15" s="112">
        <f>SUM(C15:M15)</f>
        <v>5983.50108</v>
      </c>
      <c r="O15" s="101"/>
    </row>
    <row r="16" spans="1:18">
      <c r="B16" s="106" t="s">
        <v>115</v>
      </c>
      <c r="C16" s="108">
        <f>C12+C14</f>
        <v>38.052041558442</v>
      </c>
      <c r="D16" s="108">
        <f>D12+D14</f>
        <v>69.762076190476</v>
      </c>
      <c r="E16" s="108">
        <f>E12+E14</f>
        <v>42.808546753247</v>
      </c>
      <c r="F16" s="108">
        <f>F12+F14</f>
        <v>30.758733593074</v>
      </c>
      <c r="G16" s="108">
        <f>G12+G14</f>
        <v>76.896833982684</v>
      </c>
      <c r="H16" s="108">
        <f>H12+H14</f>
        <v>52.321557142857</v>
      </c>
      <c r="I16" s="108">
        <f>I12+I14</f>
        <v>8.3238840909091</v>
      </c>
      <c r="J16" s="108">
        <f>J12+J14</f>
        <v>7.1347577922078</v>
      </c>
      <c r="K16" s="108">
        <f>K12+K14</f>
        <v>13.080389285714</v>
      </c>
      <c r="L16" s="108">
        <f>L12+L14</f>
        <v>23.623975800866</v>
      </c>
      <c r="M16" s="108">
        <f>M12+M14</f>
        <v>76.738283809524</v>
      </c>
      <c r="N16" s="101"/>
      <c r="O16" s="101"/>
    </row>
    <row r="17" spans="1:18">
      <c r="B17" s="101" t="s">
        <v>116</v>
      </c>
      <c r="C17" s="108">
        <f>IF(N11&gt;5000,100*C13,50*C13)</f>
        <v>8.6580086580087</v>
      </c>
      <c r="D17" s="108">
        <f>IF(N11&gt;5000,100*D13,50*D13)</f>
        <v>15.873015873016</v>
      </c>
      <c r="E17" s="108">
        <f>IF(N11&gt;5000,100*E13,50*E13)</f>
        <v>9.7402597402597</v>
      </c>
      <c r="F17" s="108">
        <f>IF(N11&gt;5000,100*F13,50*F13)</f>
        <v>6.998556998557</v>
      </c>
      <c r="G17" s="108">
        <f>IF(N11&gt;5000,100*G13,50*G13)</f>
        <v>17.496392496392</v>
      </c>
      <c r="H17" s="108">
        <f>IF(N11&gt;5000,100*H13,50*H13)</f>
        <v>11.904761904762</v>
      </c>
      <c r="I17" s="108">
        <f>IF(N11&gt;5000,100*I13,50*I13)</f>
        <v>1.8939393939394</v>
      </c>
      <c r="J17" s="108">
        <f>IF(N11&gt;5000,100*J13,50*J13)</f>
        <v>1.6233766233766</v>
      </c>
      <c r="K17" s="108">
        <f>IF(N11&gt;5000,100*K13,50*K13)</f>
        <v>2.9761904761905</v>
      </c>
      <c r="L17" s="108">
        <f>IF(N11&gt;5000,100*L13,50*L13)</f>
        <v>5.3751803751804</v>
      </c>
      <c r="M17" s="108">
        <f>IF(N11&gt;5000,100*M13,50*M13)</f>
        <v>17.460317460317</v>
      </c>
      <c r="N17" s="101"/>
      <c r="O17" s="101"/>
    </row>
    <row r="18" spans="1:18">
      <c r="B18" s="101" t="s">
        <v>117</v>
      </c>
      <c r="C18" s="108">
        <f>C15+C17</f>
        <v>526.71005021645</v>
      </c>
      <c r="D18" s="108">
        <f>D15+D17</f>
        <v>965.63509206349</v>
      </c>
      <c r="E18" s="108">
        <f>E15+E17</f>
        <v>592.54880649351</v>
      </c>
      <c r="F18" s="108">
        <f>F15+F17</f>
        <v>425.75729059163</v>
      </c>
      <c r="G18" s="108">
        <f>G15+G17</f>
        <v>1064.3932264791</v>
      </c>
      <c r="H18" s="108">
        <f>H15+H17</f>
        <v>724.22631904762</v>
      </c>
      <c r="I18" s="108">
        <f>I15+I17</f>
        <v>115.21782348485</v>
      </c>
      <c r="J18" s="108">
        <f>J15+J17</f>
        <v>98.758134415584</v>
      </c>
      <c r="K18" s="108">
        <f>K15+K17</f>
        <v>181.0565797619</v>
      </c>
      <c r="L18" s="108">
        <f>L15+L17</f>
        <v>326.99915617605</v>
      </c>
      <c r="M18" s="108">
        <f>M15+M17</f>
        <v>1062.1986012698</v>
      </c>
      <c r="N18" s="101"/>
      <c r="O18" s="101"/>
    </row>
    <row r="19" spans="1:18">
      <c r="B19" s="106" t="s">
        <v>118</v>
      </c>
      <c r="C19" s="108">
        <f>C16+C17</f>
        <v>46.71005021645</v>
      </c>
      <c r="D19" s="108">
        <f>D16+D17</f>
        <v>85.635092063492</v>
      </c>
      <c r="E19" s="108">
        <f>E16+E17</f>
        <v>52.548806493507</v>
      </c>
      <c r="F19" s="108">
        <f>F16+F17</f>
        <v>37.757290591631</v>
      </c>
      <c r="G19" s="108">
        <f>G16+G17</f>
        <v>94.393226479076</v>
      </c>
      <c r="H19" s="108">
        <f>H16+H17</f>
        <v>64.226319047619</v>
      </c>
      <c r="I19" s="108">
        <f>I16+I17</f>
        <v>10.217823484848</v>
      </c>
      <c r="J19" s="108">
        <f>J16+J17</f>
        <v>8.7581344155844</v>
      </c>
      <c r="K19" s="108">
        <f>K16+K17</f>
        <v>16.056579761905</v>
      </c>
      <c r="L19" s="108">
        <f>L16+L17</f>
        <v>28.999156176046</v>
      </c>
      <c r="M19" s="108">
        <f>M16+M17</f>
        <v>94.198601269841</v>
      </c>
      <c r="N19" s="101"/>
      <c r="O19" s="101"/>
    </row>
    <row r="23" spans="1:18">
      <c r="B23" s="102" t="s">
        <v>129</v>
      </c>
      <c r="C23" s="101"/>
      <c r="D23" s="101"/>
      <c r="E23" s="101"/>
    </row>
    <row r="26" spans="1:18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f>SUM(C26:M26)</f>
        <v>0</v>
      </c>
    </row>
    <row r="27" spans="1:18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  <c r="H27" s="104">
        <v>0.0</v>
      </c>
      <c r="I27" s="104">
        <v>0.0</v>
      </c>
      <c r="J27" s="104">
        <v>0.0</v>
      </c>
      <c r="K27" s="104">
        <v>0.0</v>
      </c>
      <c r="L27" s="104">
        <v>0.0</v>
      </c>
      <c r="M27" s="104">
        <v>0.0</v>
      </c>
    </row>
    <row r="28" spans="1:18">
      <c r="B28" s="101" t="s">
        <v>130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MAX(H19,H18)*H27</f>
        <v>0</v>
      </c>
      <c r="I28" s="108">
        <f>MAX(I19,I18)*I27</f>
        <v>0</v>
      </c>
      <c r="J28" s="108">
        <f>MAX(J19,J18)*J27</f>
        <v>0</v>
      </c>
      <c r="K28" s="108">
        <f>MAX(K19,K18)*K27</f>
        <v>0</v>
      </c>
      <c r="L28" s="108">
        <f>MAX(L19,L18)*L27</f>
        <v>0</v>
      </c>
      <c r="M28" s="108">
        <f>MAX(M19,M18)*M27</f>
        <v>0</v>
      </c>
      <c r="N28" s="108">
        <f>SUM(C28:M28)</f>
        <v>0</v>
      </c>
      <c r="O28" s="101"/>
    </row>
    <row r="29" spans="1:18">
      <c r="B29" s="101" t="s">
        <v>32</v>
      </c>
      <c r="C29" s="108">
        <f>0.16*(MAX(C19,C18)+C28)</f>
        <v>84.273608034632</v>
      </c>
      <c r="D29" s="108">
        <f>0.16*(MAX(D19,D18)+D28)</f>
        <v>154.50161473016</v>
      </c>
      <c r="E29" s="108">
        <f>0.16*(MAX(E19,E18)+E28)</f>
        <v>94.807809038961</v>
      </c>
      <c r="F29" s="108">
        <f>0.16*(MAX(F19,F18)+F28)</f>
        <v>68.121166494661</v>
      </c>
      <c r="G29" s="108">
        <f>0.16*(MAX(G19,G18)+G28)</f>
        <v>170.30291623665</v>
      </c>
      <c r="H29" s="108">
        <f>0.16*(MAX(H19,H18)+H28)</f>
        <v>115.87621104762</v>
      </c>
      <c r="I29" s="108">
        <f>0.16*(MAX(I19,I18)+I28)</f>
        <v>18.434851757576</v>
      </c>
      <c r="J29" s="108">
        <f>0.16*(MAX(J19,J18)+J28)</f>
        <v>15.801301506494</v>
      </c>
      <c r="K29" s="108">
        <f>0.16*(MAX(K19,K18)+K28)</f>
        <v>28.969052761905</v>
      </c>
      <c r="L29" s="108">
        <f>0.16*(MAX(L19,L18)+L28)</f>
        <v>52.319864988167</v>
      </c>
      <c r="M29" s="108">
        <f>0.16*(MAX(M19,M18)+M28)</f>
        <v>169.95177620317</v>
      </c>
      <c r="N29" s="108">
        <f>SUM(C29:M29)</f>
        <v>973.3601728</v>
      </c>
      <c r="O29" s="101"/>
    </row>
    <row r="30" spans="1:18">
      <c r="B30" s="101" t="s">
        <v>33</v>
      </c>
      <c r="C30" s="108">
        <f>0.02*(MAX(C19,C18)+C28)</f>
        <v>10.534201004329</v>
      </c>
      <c r="D30" s="108">
        <f>0.02*(MAX(D19,D18)+D28)</f>
        <v>19.31270184127</v>
      </c>
      <c r="E30" s="108">
        <f>0.02*(MAX(E19,E18)+E28)</f>
        <v>11.85097612987</v>
      </c>
      <c r="F30" s="108">
        <f>0.02*(MAX(F19,F18)+F28)</f>
        <v>8.5151458118326</v>
      </c>
      <c r="G30" s="108">
        <f>0.02*(MAX(G19,G18)+G28)</f>
        <v>21.287864529582</v>
      </c>
      <c r="H30" s="108">
        <f>0.02*(MAX(H19,H18)+H28)</f>
        <v>14.484526380952</v>
      </c>
      <c r="I30" s="108">
        <f>0.02*(MAX(I19,I18)+I28)</f>
        <v>2.304356469697</v>
      </c>
      <c r="J30" s="108">
        <f>0.02*(MAX(J19,J18)+J28)</f>
        <v>1.9751626883117</v>
      </c>
      <c r="K30" s="108">
        <f>0.02*(MAX(K19,K18)+K28)</f>
        <v>3.6211315952381</v>
      </c>
      <c r="L30" s="108">
        <f>0.02*(MAX(L19,L18)+L28)</f>
        <v>6.5399831235209</v>
      </c>
      <c r="M30" s="108">
        <f>0.02*(MAX(M19,M18)+M28)</f>
        <v>21.243972025397</v>
      </c>
      <c r="N30" s="108">
        <f>SUM(C30:M30)</f>
        <v>121.6700216</v>
      </c>
      <c r="O30" s="101"/>
    </row>
    <row r="31" spans="1:18">
      <c r="B31" s="101" t="s">
        <v>131</v>
      </c>
      <c r="C31" s="108">
        <f>0.035*(MAX(C18,C19) +C28+C29+C30)</f>
        <v>21.753125073939</v>
      </c>
      <c r="D31" s="108">
        <f>0.035*(MAX(D18,D19) +D28+D29+D30)</f>
        <v>39.880729302222</v>
      </c>
      <c r="E31" s="108">
        <f>0.035*(MAX(E18,E19) +E28+E29+E30)</f>
        <v>24.472265708182</v>
      </c>
      <c r="F31" s="108">
        <f>0.035*(MAX(F18,F19) +F28+F29+F30)</f>
        <v>17.583776101434</v>
      </c>
      <c r="G31" s="108">
        <f>0.035*(MAX(G18,G19) +G28+G29+G30)</f>
        <v>43.959440253586</v>
      </c>
      <c r="H31" s="108">
        <f>0.035*(MAX(H18,H19) +H28+H29+H30)</f>
        <v>29.910546976667</v>
      </c>
      <c r="I31" s="108">
        <f>0.035*(MAX(I18,I19) +I28+I29+I30)</f>
        <v>4.7584961099242</v>
      </c>
      <c r="J31" s="108">
        <f>0.035*(MAX(J18,J19) +J28+J29+J30)</f>
        <v>4.0787109513636</v>
      </c>
      <c r="K31" s="108">
        <f>0.035*(MAX(K18,K19) +K28+K29+K30)</f>
        <v>7.4776367441667</v>
      </c>
      <c r="L31" s="108">
        <f>0.035*(MAX(L18,L19) +L28+L29+L30)</f>
        <v>13.505065150071</v>
      </c>
      <c r="M31" s="108">
        <f>0.035*(MAX(M18,M19) +M28+M29+M30)</f>
        <v>43.868802232444</v>
      </c>
      <c r="N31" s="108">
        <f>SUM(C31:M31)</f>
        <v>251.248594604</v>
      </c>
      <c r="O31" s="101"/>
    </row>
    <row r="32" spans="1:18">
      <c r="B32" s="101" t="s">
        <v>38</v>
      </c>
      <c r="C32" s="108">
        <f>SUM(C28:C31)</f>
        <v>116.5609341129</v>
      </c>
      <c r="D32" s="108">
        <f>SUM(D28:D31)</f>
        <v>213.69504587365</v>
      </c>
      <c r="E32" s="108">
        <f>SUM(E28:E31)</f>
        <v>131.13105087701</v>
      </c>
      <c r="F32" s="108">
        <f>SUM(F28:F31)</f>
        <v>94.220088407928</v>
      </c>
      <c r="G32" s="108">
        <f>SUM(G28:G31)</f>
        <v>235.55022101982</v>
      </c>
      <c r="H32" s="108">
        <f>SUM(H28:H31)</f>
        <v>160.27128440524</v>
      </c>
      <c r="I32" s="108">
        <f>SUM(I28:I31)</f>
        <v>25.497704337197</v>
      </c>
      <c r="J32" s="108">
        <f>SUM(J28:J31)</f>
        <v>21.855175146169</v>
      </c>
      <c r="K32" s="108">
        <f>SUM(K28:K31)</f>
        <v>40.06782110131</v>
      </c>
      <c r="L32" s="108">
        <f>SUM(L28:L31)</f>
        <v>72.364913261759</v>
      </c>
      <c r="M32" s="108">
        <f>SUM(M28:M31)</f>
        <v>235.06455046102</v>
      </c>
      <c r="N32" s="108">
        <f>SUM(N28:N31)</f>
        <v>1346.278789004</v>
      </c>
      <c r="O32" s="101"/>
    </row>
    <row r="37" spans="1:18">
      <c r="B37" s="102" t="s">
        <v>132</v>
      </c>
      <c r="C37" s="101"/>
      <c r="D37" s="101"/>
      <c r="E37" s="101"/>
    </row>
    <row r="40" spans="1:18">
      <c r="B40" s="101" t="s">
        <v>133</v>
      </c>
      <c r="C40" s="108">
        <f>C13*N40</f>
        <v>25.368027705628</v>
      </c>
      <c r="D40" s="108">
        <f>D13*N40</f>
        <v>46.508050793651</v>
      </c>
      <c r="E40" s="108">
        <f>E13*N40</f>
        <v>28.539031168831</v>
      </c>
      <c r="F40" s="108">
        <f>F13*N40</f>
        <v>20.505822395382</v>
      </c>
      <c r="G40" s="108">
        <f>G13*N40</f>
        <v>51.264555988456</v>
      </c>
      <c r="H40" s="108">
        <f>H13*N40</f>
        <v>34.881038095238</v>
      </c>
      <c r="I40" s="108">
        <f>I13*N40</f>
        <v>5.5492560606061</v>
      </c>
      <c r="J40" s="108">
        <f>J13*N40</f>
        <v>4.7565051948052</v>
      </c>
      <c r="K40" s="108">
        <f>K13*N40</f>
        <v>8.7202595238095</v>
      </c>
      <c r="L40" s="108">
        <f>L13*N40</f>
        <v>15.749317200577</v>
      </c>
      <c r="M40" s="108">
        <f>M13*N40</f>
        <v>51.158855873016</v>
      </c>
      <c r="N40" s="101">
        <f>IF(N7&lt;1, R7*0.4, R7*0.4*N7)</f>
        <v>293.00072</v>
      </c>
      <c r="O40" s="101"/>
    </row>
    <row r="41" spans="1:18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1:18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8">
      <c r="B43" s="101" t="s">
        <v>133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 t="s">
        <v>120</v>
      </c>
      <c r="I43" s="101" t="s">
        <v>121</v>
      </c>
      <c r="J43" s="101" t="s">
        <v>122</v>
      </c>
      <c r="K43" s="101" t="s">
        <v>123</v>
      </c>
      <c r="L43" s="101" t="s">
        <v>124</v>
      </c>
      <c r="M43" s="101" t="s">
        <v>125</v>
      </c>
      <c r="N43" s="101" t="s">
        <v>126</v>
      </c>
      <c r="O43" s="101"/>
    </row>
    <row r="44" spans="1:18">
      <c r="B44" s="101" t="s">
        <v>134</v>
      </c>
      <c r="C44" s="108">
        <f>SUM(C15,C40,C32,(C26))</f>
        <v>659.98100337697</v>
      </c>
      <c r="D44" s="108">
        <f>SUM(D15,D40,D32,(D26))</f>
        <v>1209.9651728578</v>
      </c>
      <c r="E44" s="108">
        <f>SUM(E15,E40,E32,(E26))</f>
        <v>742.47862879909</v>
      </c>
      <c r="F44" s="108">
        <f>SUM(F15,F40,F32,(F26))</f>
        <v>533.48464439638</v>
      </c>
      <c r="G44" s="108">
        <f>SUM(G15,G40,G32,(G26))</f>
        <v>1333.711610991</v>
      </c>
      <c r="H44" s="108">
        <f>SUM(H15,H40,H32,(H26))</f>
        <v>907.47387964333</v>
      </c>
      <c r="I44" s="108">
        <f>SUM(I15,I40,I32,(I26))</f>
        <v>144.37084448871</v>
      </c>
      <c r="J44" s="108">
        <f>SUM(J15,J40,J32,(J26))</f>
        <v>123.74643813318</v>
      </c>
      <c r="K44" s="108">
        <f>SUM(K15,K40,K32,(K26))</f>
        <v>226.86846991083</v>
      </c>
      <c r="L44" s="108">
        <f>SUM(L15,L40,L32,(L26))</f>
        <v>409.7382062632</v>
      </c>
      <c r="M44" s="108">
        <f>SUM(M15,M40,M32,(M26))</f>
        <v>1330.9616901436</v>
      </c>
      <c r="N44" s="108">
        <f>SUM(C44:M44)</f>
        <v>7622.780589004</v>
      </c>
      <c r="O44" s="101"/>
    </row>
    <row r="45" spans="1:18">
      <c r="B45" s="101" t="s">
        <v>135</v>
      </c>
      <c r="C45" s="101">
        <v>6000.0</v>
      </c>
      <c r="D45" s="101">
        <v>2000.0</v>
      </c>
      <c r="E45" s="101">
        <v>900.0</v>
      </c>
      <c r="F45" s="101">
        <v>200.0</v>
      </c>
      <c r="G45" s="101">
        <v>1000.0</v>
      </c>
      <c r="H45" s="101">
        <v>500.0</v>
      </c>
      <c r="I45" s="101">
        <v>500.0</v>
      </c>
      <c r="J45" s="101">
        <v>300.0</v>
      </c>
      <c r="K45" s="101">
        <v>300.0</v>
      </c>
      <c r="L45" s="101">
        <v>1000.0</v>
      </c>
      <c r="M45" s="101">
        <v>100.0</v>
      </c>
      <c r="N45" s="101"/>
      <c r="O45" s="101"/>
    </row>
    <row r="46" spans="1:18">
      <c r="B46" s="101" t="s">
        <v>136</v>
      </c>
      <c r="C46" s="108">
        <f>SUM(C44/C45)</f>
        <v>0.10999683389616</v>
      </c>
      <c r="D46" s="108">
        <f>SUM(D44/D45)</f>
        <v>0.60498258642889</v>
      </c>
      <c r="E46" s="108">
        <f>SUM(E44/E45)</f>
        <v>0.82497625422121</v>
      </c>
      <c r="F46" s="108">
        <f>SUM(F44/F45)</f>
        <v>2.6674232219819</v>
      </c>
      <c r="G46" s="108">
        <f>SUM(G44/G45)</f>
        <v>1.333711610991</v>
      </c>
      <c r="H46" s="108">
        <f>SUM(H44/H45)</f>
        <v>1.8149477592867</v>
      </c>
      <c r="I46" s="108">
        <f>SUM(I44/I45)</f>
        <v>0.28874168897742</v>
      </c>
      <c r="J46" s="108">
        <f>SUM(J44/J45)</f>
        <v>0.41248812711061</v>
      </c>
      <c r="K46" s="108">
        <f>SUM(K44/K45)</f>
        <v>0.75622823303611</v>
      </c>
      <c r="L46" s="108">
        <f>SUM(L44/L45)</f>
        <v>0.4097382062632</v>
      </c>
      <c r="M46" s="108">
        <f>SUM(M44/M45)</f>
        <v>13.309616901436</v>
      </c>
      <c r="N46" s="101"/>
      <c r="O46" s="101"/>
    </row>
    <row r="47" spans="1:18">
      <c r="B47" s="101" t="s">
        <v>137</v>
      </c>
      <c r="C47" s="113">
        <f>C46*3.7</f>
        <v>0.4069882854158</v>
      </c>
      <c r="D47" s="113">
        <f>D46*3.7</f>
        <v>2.2384355697869</v>
      </c>
      <c r="E47" s="113">
        <f>E46*3.7</f>
        <v>3.0524121406185</v>
      </c>
      <c r="F47" s="113">
        <f>F46*3.7</f>
        <v>9.8694659213331</v>
      </c>
      <c r="G47" s="113">
        <f>G46*3.7</f>
        <v>4.9347329606666</v>
      </c>
      <c r="H47" s="113">
        <f>H46*3.7</f>
        <v>6.7153067093607</v>
      </c>
      <c r="I47" s="113">
        <f>I46*3.7</f>
        <v>1.0683442492165</v>
      </c>
      <c r="J47" s="113">
        <f>J46*3.7</f>
        <v>1.5262060703092</v>
      </c>
      <c r="K47" s="113">
        <f>K46*3.7</f>
        <v>2.7980444622336</v>
      </c>
      <c r="L47" s="113">
        <f>L46*3.7</f>
        <v>1.5160313631738</v>
      </c>
      <c r="M47" s="113">
        <f>M46*3.7</f>
        <v>49.245582535312</v>
      </c>
      <c r="N47" s="101"/>
      <c r="O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