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1" sheetId="1" r:id="rId4"/>
    <sheet name="2" sheetId="2" r:id="rId5"/>
  </sheets>
  <definedNames>
    <definedName name="_xlnm.Print_Area" localSheetId="0">'1'!$A$1:$K$113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<sst xmlns="http://schemas.openxmlformats.org/spreadsheetml/2006/main" uniqueCount="130">
  <si>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COTIZACION Nº20240000001</t>
  </si>
  <si>
    <t>NOMBRE:</t>
  </si>
  <si>
    <t>Edison Benicio Mayhualla</t>
  </si>
  <si>
    <t>LEONOR ANAYELY RIVERA SANCHEZ</t>
  </si>
  <si>
    <t>SERVICIO:</t>
  </si>
  <si>
    <t>CARGA CONSOLIDADA</t>
  </si>
  <si>
    <t>N° CAJAS:</t>
  </si>
  <si>
    <t>DNI/RUC:</t>
  </si>
  <si>
    <t>FECHA:</t>
  </si>
  <si>
    <t>PESO:</t>
  </si>
  <si>
    <t>116 Kg</t>
  </si>
  <si>
    <t>CORREO:</t>
  </si>
  <si>
    <t>ORIGEN:</t>
  </si>
  <si>
    <t>CHINA</t>
  </si>
  <si>
    <t>MEDIDA</t>
  </si>
  <si>
    <t>TELEFONO:</t>
  </si>
  <si>
    <t>51 928252181</t>
  </si>
  <si>
    <t>CLIENTE:</t>
  </si>
  <si>
    <t>NUEVO</t>
  </si>
  <si>
    <t>ANTIGUO</t>
  </si>
  <si>
    <t>VOLUMEN:</t>
  </si>
  <si>
    <t>CBM</t>
  </si>
  <si>
    <t>CALCULO DE BASE IMPONIBLE</t>
  </si>
  <si>
    <t>MONTO</t>
  </si>
  <si>
    <t>MONEDA</t>
  </si>
  <si>
    <t>VALOR DE CARGA</t>
  </si>
  <si>
    <t>FLETE INTERNACIONAL + SEGURO</t>
  </si>
  <si>
    <t>VALOR CIF</t>
  </si>
  <si>
    <t>USD</t>
  </si>
  <si>
    <t>CALCULO DE TRIBUTOS</t>
  </si>
  <si>
    <t>%</t>
  </si>
  <si>
    <t>ADVALOREM</t>
  </si>
  <si>
    <t>Hola LEONOR ANAYELY RIVERA SANCHEZ 😁 un gusto saludarte!
A continuación te envío la cotización final de tu importación📋📦.
🙋‍♂️ PAGO PENDIENTE :
Pronto le aviso nuevos avances, que tengan buen día🚢
Último día de pago:</t>
  </si>
  <si>
    <t>IGV</t>
  </si>
  <si>
    <t>IPM</t>
  </si>
  <si>
    <t>ANTIDUMPING</t>
  </si>
  <si>
    <t>SUB TOTAL</t>
  </si>
  <si>
    <t>PERCEPCIÓN</t>
  </si>
  <si>
    <t>3.5%</t>
  </si>
  <si>
    <t>TOTAL</t>
  </si>
  <si>
    <t>RESUMEN DE COTIZACIÓN</t>
  </si>
  <si>
    <t>VALOR DE CARGA (PAGO AL PROVEEDOR)</t>
  </si>
  <si>
    <t>SERVICIO DE IMPORTACIÓN  (ORIGEN -FLETE - DESTINO)</t>
  </si>
  <si>
    <t>IMPUESTOS</t>
  </si>
  <si>
    <t>MONTO TOTAL</t>
  </si>
  <si>
    <t>RESUMEN DE COSTOS UNITARIOS</t>
  </si>
  <si>
    <t>SIMULACIÓN DEL PRECIO PUESTO EN PERÚ POR PIEZA</t>
  </si>
  <si>
    <t># ITEM</t>
  </si>
  <si>
    <t>NOMBRE PRODUCTO</t>
  </si>
  <si>
    <t>VALOR CHINA USD</t>
  </si>
  <si>
    <t>VALOR PERU USD</t>
  </si>
  <si>
    <t>VALOR PERU SOLES</t>
  </si>
  <si>
    <t>PISTOLA DE AGUA PARA INODORO</t>
  </si>
  <si>
    <t>ORGANIZADOR DE BAÑO SET DE 5</t>
  </si>
  <si>
    <t>RESUMEN DE PAGOS DE SERVICIO DE IMPORTACIÓN</t>
  </si>
  <si>
    <t>FECHAS:</t>
  </si>
  <si>
    <t>NOTAS: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</si>
  <si>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Las fechas brindadas son estimadas, estan sujetas a variación.</t>
    </r>
  </si>
  <si>
    <t>PRIMER PAGO</t>
  </si>
  <si>
    <t>Servicio de Consolidado antes de la Fecha de Corte 30/06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</si>
  <si>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No se emite comprobante por concepto de "PERCEPCIÓN, ANTI DUMPING, GESTIÓN DE COMPRA"</t>
    </r>
  </si>
  <si>
    <t>SEGUNDO PAGO</t>
  </si>
  <si>
    <t>Pago de Impuestos antes del Arribo 13/08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</si>
  <si>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A nosotros se nos pagan el </t>
    </r>
    <r>
      <rPr>
        <rFont val="Calibri Light"/>
        <b val="true"/>
        <i val="false"/>
        <strike val="false"/>
        <color rgb="FF000000"/>
        <sz val="14"/>
        <u val="none"/>
      </rPr>
      <t xml:space="preserve">Servicio de Importación + Impuestos</t>
    </r>
    <r>
      <rPr>
        <rFont val="Calibri Light"/>
        <b val="false"/>
        <i val="false"/>
        <strike val="false"/>
        <color rgb="FF000000"/>
        <sz val="14"/>
        <u val="none"/>
      </rPr>
      <t xml:space="preserve"> una semana antes de que el contenedor</t>
    </r>
  </si>
  <si>
    <t>llegue al puerto del Callao.</t>
  </si>
  <si>
    <t>INVERSION TOTAL</t>
  </si>
  <si>
    <t>Incluye Valor de Carga + Servicio de Consolidado + Pago de Impuestos</t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</si>
  <si>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El cálculo de Impuestos puede variar por parte de </t>
    </r>
    <r>
      <rPr>
        <rFont val="Calibri Light"/>
        <b val="true"/>
        <i val="false"/>
        <strike val="false"/>
        <color rgb="FF000000"/>
        <sz val="14"/>
        <u val="none"/>
      </rPr>
      <t xml:space="preserve">Aduanas</t>
    </r>
    <r>
      <rPr>
        <rFont val="Calibri Light"/>
        <b val="false"/>
        <i val="false"/>
        <strike val="false"/>
        <color rgb="FF000000"/>
        <sz val="14"/>
        <u val="none"/>
      </rPr>
      <t xml:space="preserve">.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</si>
  <si>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Si la carga ocupa más volumen de lo cotizado, se le tendrá que </t>
    </r>
    <r>
      <rPr>
        <rFont val="Calibri Light"/>
        <b val="true"/>
        <i val="false"/>
        <strike val="false"/>
        <color rgb="FF000000"/>
        <sz val="14"/>
        <u val="none"/>
      </rPr>
      <t xml:space="preserve">actualizar</t>
    </r>
    <r>
      <rPr>
        <rFont val="Calibri Light"/>
        <b val="false"/>
        <i val="false"/>
        <strike val="false"/>
        <color rgb="FF000000"/>
        <sz val="14"/>
        <u val="none"/>
      </rPr>
      <t xml:space="preserve"> su cotización.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</si>
  <si>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Habrá un costo extra del servicio del *monta cargas* en Lima (aplica para los Pallets)</t>
    </r>
  </si>
  <si>
    <r>
      <rPr>
        <rFont val="Calibri Light"/>
        <b val="true"/>
        <i val="false"/>
        <strike val="false"/>
        <color rgb="FF000000"/>
        <sz val="14"/>
        <u val="none"/>
      </rPr>
      <t xml:space="preserve">*</t>
    </r>
    <r>
      <rPr>
        <rFont val="Calibri Light"/>
        <b val="false"/>
        <i val="false"/>
        <strike val="false"/>
        <color rgb="FF000000"/>
        <sz val="14"/>
        <u val="none"/>
      </rPr>
      <t xml:space="preserve">El tipo de cambio referencial usado para la conversión a soles es del 3.80</t>
    </r>
  </si>
  <si>
    <t>TÉRMINOS Y CONDICIONES:</t>
  </si>
  <si>
    <t xml:space="preserve">1. Todos los pagos se realizan en dólares. </t>
  </si>
  <si>
    <t>2.Todas las marcas de los productos deben ser verificadas por el cliente,</t>
  </si>
  <si>
    <t xml:space="preserve"> No se aceptan marcas con medidas  de frontera. </t>
  </si>
  <si>
    <t>3. No somos responsables de retraso del proveedor para entregar la carga.</t>
  </si>
  <si>
    <t>4. La carga deberá llegar al almacén –Yiwu en el rango de fecha indicado por su asesor.</t>
  </si>
  <si>
    <t>En caso contrario, asumirá el costo de  almacenaje $30 y será embarcado en la próxima salida.</t>
  </si>
  <si>
    <t>5.Los pagos realizados fuera de fecha están sujetos a un recargo de S/.30 por día.</t>
  </si>
  <si>
    <t>6.Se procederá a cobrar S/.30 x día de almacenaje si el cliente no recoge su pedido en el plazo acordado.</t>
  </si>
  <si>
    <t>7.Los envíos a provincia se realizan a través de la agencia Marvisur o Shalom, con previo pago de flete interno.</t>
  </si>
  <si>
    <t>Costo: desde s/20.00</t>
  </si>
  <si>
    <t>8. Las cargas mayores a 200 kg x bulto tendrán un costo adicional por manipuleo, consultar con el</t>
  </si>
  <si>
    <t>coordinador  logístico la tarifa.</t>
  </si>
  <si>
    <t>9.No hay opción de reembolso.</t>
  </si>
  <si>
    <t>10. Si el cliente quiere cambiar la salida de su carga debera informar 4 día antes de la fecha de cierre.</t>
  </si>
  <si>
    <t>11. El costo por metro cubico incluye: Flete – Ag. Aduana – Costos en destino.</t>
  </si>
  <si>
    <t>12.No se aceptan productos restringido que no cuenten con permiso.</t>
  </si>
  <si>
    <r>
      <t xml:space="preserve">13.</t>
    </r>
    <r>
      <rPr>
        <rFont val="Calibri Light"/>
        <b val="false"/>
        <i val="false"/>
        <strike val="false"/>
        <color rgb="FF000000"/>
        <sz val="7"/>
        <u val="none"/>
      </rPr>
      <t xml:space="preserve"> </t>
    </r>
    <r>
      <rPr>
        <rFont val="Calibri Light"/>
        <b val="false"/>
        <i val="false"/>
        <strike val="false"/>
        <color rgb="FF000000"/>
        <sz val="11"/>
        <u val="none"/>
      </rPr>
      <t xml:space="preserve">Los documentos de importación deber ser entregados a tiempo, de lo contrario, el participante no tendrá opción</t>
    </r>
  </si>
  <si>
    <t>de acogerse a un beneficio arancelario (C.O) o pueda tener perdida en aduanas por informacion incompleta.</t>
  </si>
  <si>
    <t xml:space="preserve">14.En caso el cliente esté importando una carga que no sea legal y la empresa Pro Business se vea perjudicada, </t>
  </si>
  <si>
    <t>se procederá a realizar las acciones legales del caso.</t>
  </si>
  <si>
    <t xml:space="preserve">15.El cliente estará sujeto a pagar mayor el ad- valorem en caso aduanas aplique cambios de partida. </t>
  </si>
  <si>
    <t>16.Si el cliente no paga los tributos o gastos administrativos de su cotización, Pro Business será dueño total de la carga.</t>
  </si>
  <si>
    <t>17.Los ajustes de valor que aplique la aduana serán asumidos por el cliente.</t>
  </si>
  <si>
    <t>18.No somos responsable de las mermas o faltante de la carga (entregamos su pedido tal cual el proveedor envío).</t>
  </si>
  <si>
    <t>19.La fecha de entrega es aproximada, está sujeto a variaciones de linea naviera o aduanas.</t>
  </si>
  <si>
    <t>20.Las mercancías son declaradas a nombre de la empresa Grupo Pro Business.</t>
  </si>
  <si>
    <t>21.Se emitirá comprobante (boleta o Factura) de su importación en base a la estrategia de declaración realizada.</t>
  </si>
  <si>
    <t>22. El cliente tendra un plazo de 24 horas despues de la entrega para presentar algun tipo de reclamo.</t>
  </si>
  <si>
    <t>23. La factura o boleta se emitirá con base al valor CIF de la cotización final.</t>
  </si>
  <si>
    <t>24. Concepto no facturable: Advalorem, Percepción, Anti-Dumping o Gestión de Compra</t>
  </si>
  <si>
    <t>Calculo de Tributos</t>
  </si>
  <si>
    <t>Nombres</t>
  </si>
  <si>
    <t>Peso</t>
  </si>
  <si>
    <t>Valor CBM</t>
  </si>
  <si>
    <t>Valor Unitario</t>
  </si>
  <si>
    <t>Valoracion</t>
  </si>
  <si>
    <t>Cantidad</t>
  </si>
  <si>
    <t>Valor FOB</t>
  </si>
  <si>
    <t>Valor FOB Valoracion</t>
  </si>
  <si>
    <t>Distribucion %</t>
  </si>
  <si>
    <t>Flete</t>
  </si>
  <si>
    <t>Valor CFR</t>
  </si>
  <si>
    <t>CFR Valorizado</t>
  </si>
  <si>
    <t>Seguro</t>
  </si>
  <si>
    <t>Valor CIF</t>
  </si>
  <si>
    <t>CIF Valorizado</t>
  </si>
  <si>
    <t>Total</t>
  </si>
  <si>
    <t>Tipo Cliente</t>
  </si>
  <si>
    <t>Tarifa</t>
  </si>
  <si>
    <t>Tributos Aplicables</t>
  </si>
  <si>
    <t>AD VALOREM</t>
  </si>
  <si>
    <t>PERCEPCION</t>
  </si>
  <si>
    <t>Costos Destinos</t>
  </si>
  <si>
    <t>ITEM</t>
  </si>
  <si>
    <t>COSTO TOTAL</t>
  </si>
  <si>
    <t>CANTIDAD</t>
  </si>
  <si>
    <t>COSTO UNITARIO</t>
  </si>
  <si>
    <t>COSTO SOLES</t>
  </si>
</sst>
</file>

<file path=xl/styles.xml><?xml version="1.0" encoding="utf-8"?>
<styleSheet xmlns="http://schemas.openxmlformats.org/spreadsheetml/2006/main" xml:space="preserve">
  <numFmts count="14">
    <numFmt numFmtId="164" formatCode="0.0\ &quot;cm&quot;"/>
    <numFmt numFmtId="165" formatCode="0.00\ &quot;cm&quot;"/>
    <numFmt numFmtId="166" formatCode="_-[$$-540A]* #,##0.00_ ;_-[$$-540A]* \-#,##0.00\ ;_-[$$-540A]* &quot;-&quot;??_ ;_-@_ "/>
    <numFmt numFmtId="167" formatCode="_-[$$-540A]* #,##0.000_ ;_-[$$-540A]* \-#,##0.000\ ;_-[$$-540A]* &quot;-&quot;???_ ;_-@_ "/>
    <numFmt numFmtId="168" formatCode="0.00\ &quot;x UC&quot;"/>
    <numFmt numFmtId="169" formatCode="[$$-409]#,##0"/>
    <numFmt numFmtId="170" formatCode="_-[$$-409]* #,##0.00_ ;_-[$$-409]* \-#,##0.00\ ;_-[$$-409]* &quot;-&quot;??_ ;_-@_ "/>
    <numFmt numFmtId="171" formatCode="_-[$S/-280A]\ * #,##0.00_-;\-[$S/-280A]\ * #,##0.00_-;_-[$S/-280A]\ * &quot;-&quot;??_-;_-@_-"/>
    <numFmt numFmtId="172" formatCode="_-[$$-409]* #,##0.0_ ;_-[$$-409]* \-#,##0.0\ ;_-[$$-409]* &quot;-&quot;??_ ;_-@_ "/>
    <numFmt numFmtId="173" formatCode="0.0\ &quot;kg&quot;"/>
    <numFmt numFmtId="174" formatCode="#,##0.000\ &quot;m3&quot;"/>
    <numFmt numFmtId="175" formatCode="&quot;$&quot;#,##0_-"/>
    <numFmt numFmtId="176" formatCode="0.00&quot; Kg&quot;"/>
    <numFmt numFmtId="177" formatCode="&quot;S/.&quot; #,##0.00_-"/>
  </numFmts>
  <fonts count="25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4"/>
      <color rgb="FF000000"/>
      <name val="Calibri Light"/>
      <scheme val="major"/>
    </font>
    <font>
      <b val="0"/>
      <i val="0"/>
      <strike val="0"/>
      <u val="none"/>
      <sz val="11"/>
      <color rgb="FF000000"/>
      <name val="Calibri Light"/>
      <scheme val="maj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1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1"/>
      <color rgb="FFFFFFFF"/>
      <name val="Calibri Light"/>
      <scheme val="major"/>
    </font>
    <font>
      <b val="1"/>
      <i val="0"/>
      <strike val="0"/>
      <u val="none"/>
      <sz val="11"/>
      <color rgb="FFFFFFFF"/>
      <name val="Calibri Light"/>
      <scheme val="major"/>
    </font>
    <font>
      <b val="0"/>
      <i val="0"/>
      <strike val="0"/>
      <u val="none"/>
      <sz val="11"/>
      <color rgb="FFFFFFFF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  <font>
      <b val="1"/>
      <i val="0"/>
      <strike val="0"/>
      <u val="single"/>
      <sz val="14"/>
      <color rgb="FF000000"/>
      <name val="Calibri Light"/>
      <scheme val="major"/>
    </font>
    <font>
      <b val="0"/>
      <i val="0"/>
      <strike val="0"/>
      <u val="none"/>
      <sz val="14"/>
      <color rgb="FF000000"/>
      <name val="Calibri Light"/>
      <scheme val="major"/>
    </font>
    <font>
      <b val="0"/>
      <i val="0"/>
      <strike val="0"/>
      <u val="none"/>
      <sz val="16"/>
      <color rgb="FF000000"/>
      <name val="Calibri"/>
      <scheme val="minor"/>
    </font>
    <font>
      <b val="0"/>
      <i val="1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Calibri"/>
      <scheme val="minor"/>
    </font>
    <font>
      <b val="0"/>
      <i val="1"/>
      <strike val="0"/>
      <u val="none"/>
      <sz val="12"/>
      <color rgb="FF000000"/>
      <name val="Calibri"/>
      <scheme val="minor"/>
    </font>
    <font>
      <b val="0"/>
      <i val="0"/>
      <strike val="0"/>
      <u val="none"/>
      <sz val="12"/>
      <color rgb="FFFFFFFF"/>
      <name val="Arial"/>
    </font>
    <font>
      <b val="0"/>
      <i val="0"/>
      <strike val="0"/>
      <u val="none"/>
      <sz val="11"/>
      <color rgb="FFFFFFFF"/>
      <name val="Arial"/>
    </font>
    <font>
      <b val="1"/>
      <i val="0"/>
      <strike val="0"/>
      <u val="none"/>
      <sz val="20"/>
      <color rgb="FFFFFFFF"/>
      <name val="Arial"/>
    </font>
    <font>
      <b val="1"/>
      <i val="0"/>
      <strike val="0"/>
      <u val="none"/>
      <sz val="12"/>
      <color rgb="FFFFFFFF"/>
      <name val="Arial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8"/>
      <color rgb="FF000000"/>
      <name val="Calibri"/>
      <scheme val="minor"/>
    </font>
    <font>
      <b val="1"/>
      <i val="0"/>
      <strike val="0"/>
      <u val="none"/>
      <sz val="14"/>
      <color rgb="FFFFFFFF"/>
      <name val="Arial"/>
    </font>
    <font>
      <b val="1"/>
      <i val="0"/>
      <strike val="0"/>
      <u val="none"/>
      <sz val="16"/>
      <color rgb="FF000000"/>
      <name val="Calibri Light"/>
      <scheme val="major"/>
    </font>
    <font>
      <b val="0"/>
      <i val="0"/>
      <strike val="0"/>
      <u val="none"/>
      <sz val="11"/>
      <color rgb="FFFF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BE5D6"/>
        <bgColor rgb="FFFFFFFF"/>
      </patternFill>
    </fill>
    <fill>
      <patternFill patternType="solid">
        <fgColor rgb="FFF8CBAD"/>
        <bgColor rgb="FFFFFFFF"/>
      </patternFill>
    </fill>
    <fill>
      <patternFill patternType="solid">
        <fgColor rgb="FF009999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500B"/>
        <bgColor rgb="FFFFFFFF"/>
      </patternFill>
    </fill>
    <fill>
      <patternFill patternType="solid">
        <fgColor rgb="FF262626"/>
        <bgColor rgb="FFFFFFFF"/>
      </patternFill>
    </fill>
    <fill>
      <patternFill patternType="solid">
        <fgColor rgb="FFE37C1A"/>
        <bgColor rgb="FFFFFFFF"/>
      </patternFill>
    </fill>
    <fill>
      <patternFill patternType="solid">
        <fgColor rgb="FFF8F9F9"/>
        <bgColor rgb="FF000000"/>
      </patternFill>
    </fill>
    <fill>
      <patternFill patternType="solid">
        <fgColor rgb="FF1F618D"/>
        <bgColor rgb="FF000000"/>
      </patternFill>
    </fill>
    <fill>
      <patternFill patternType="solid">
        <fgColor rgb="FFFFFF33"/>
        <bgColor rgb="FF000000"/>
      </patternFill>
    </fill>
  </fills>
  <borders count="2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000000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FFFFF"/>
      </left>
      <right/>
      <top/>
      <bottom style="thin">
        <color rgb="FF000000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6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0"/>
    <xf xfId="0" fontId="4" numFmtId="0" fillId="0" borderId="0" applyFont="1" applyNumberFormat="0" applyFill="0" applyBorder="0" applyAlignment="0"/>
    <xf xfId="0" fontId="4" numFmtId="0" fillId="2" borderId="0" applyFont="1" applyNumberFormat="0" applyFill="1" applyBorder="0" applyAlignment="0"/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2" borderId="1" applyFont="1" applyNumberFormat="0" applyFill="1" applyBorder="1" applyAlignment="0"/>
    <xf xfId="0" fontId="2" numFmtId="0" fillId="2" borderId="2" applyFont="1" applyNumberFormat="0" applyFill="1" applyBorder="1" applyAlignment="0"/>
    <xf xfId="0" fontId="2" numFmtId="0" fillId="2" borderId="3" applyFont="1" applyNumberFormat="0" applyFill="1" applyBorder="1" applyAlignment="0"/>
    <xf xfId="0" fontId="4" numFmtId="0" fillId="2" borderId="4" applyFont="1" applyNumberFormat="0" applyFill="1" applyBorder="1" applyAlignment="0"/>
    <xf xfId="0" fontId="5" numFmtId="0" fillId="2" borderId="4" applyFont="1" applyNumberFormat="0" applyFill="1" applyBorder="1" applyAlignment="0"/>
    <xf xfId="0" fontId="0" numFmtId="0" fillId="2" borderId="5" applyFont="0" applyNumberFormat="0" applyFill="1" applyBorder="1" applyAlignment="0"/>
    <xf xfId="0" fontId="2" numFmtId="164" fillId="4" borderId="0" applyFont="1" applyNumberFormat="1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4" numFmtId="0" fillId="2" borderId="6" applyFont="1" applyNumberFormat="0" applyFill="1" applyBorder="1" applyAlignment="0"/>
    <xf xfId="0" fontId="2" numFmtId="0" fillId="2" borderId="7" applyFont="1" applyNumberFormat="0" applyFill="1" applyBorder="1" applyAlignment="0"/>
    <xf xfId="0" fontId="2" numFmtId="0" fillId="2" borderId="8" applyFont="1" applyNumberFormat="0" applyFill="1" applyBorder="1" applyAlignment="0"/>
    <xf xfId="0" fontId="0" numFmtId="165" fillId="2" borderId="0" applyFont="0" applyNumberFormat="1" applyFill="1" applyBorder="0" applyAlignment="1">
      <alignment horizontal="center" vertical="bottom" textRotation="0" wrapText="false" shrinkToFit="false"/>
    </xf>
    <xf xfId="0" fontId="6" numFmtId="0" fillId="5" borderId="0" applyFont="1" applyNumberFormat="0" applyFill="1" applyBorder="0" applyAlignment="1">
      <alignment horizontal="left" vertical="bottom" textRotation="0" wrapText="false" shrinkToFit="false"/>
    </xf>
    <xf xfId="0" fontId="6" numFmtId="0" fillId="5" borderId="0" applyFont="1" applyNumberFormat="0" applyFill="1" applyBorder="0" applyAlignment="0"/>
    <xf xfId="0" fontId="6" numFmtId="0" fillId="5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166" fillId="2" borderId="0" applyFont="1" applyNumberFormat="1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166" fillId="2" borderId="7" applyFont="1" applyNumberFormat="1" applyFill="1" applyBorder="1" applyAlignment="1">
      <alignment horizontal="center" vertical="bottom" textRotation="0" wrapText="false" shrinkToFit="false"/>
    </xf>
    <xf xfId="0" fontId="2" numFmtId="0" fillId="2" borderId="7" applyFont="1" applyNumberFormat="0" applyFill="1" applyBorder="1" applyAlignment="1">
      <alignment horizontal="center" vertical="bottom" textRotation="0" wrapText="false" shrinkToFit="false"/>
    </xf>
    <xf xfId="0" fontId="0" numFmtId="9" fillId="2" borderId="0" applyFont="0" applyNumberFormat="1" applyFill="1" applyBorder="0" applyAlignment="1">
      <alignment horizontal="center" vertical="bottom" textRotation="0" wrapText="false" shrinkToFit="false"/>
    </xf>
    <xf xfId="0" fontId="0" numFmtId="0" fillId="6" borderId="0" applyFont="0" applyNumberFormat="0" applyFill="1" applyBorder="0" applyAlignment="0"/>
    <xf xfId="0" fontId="0" numFmtId="167" fillId="6" borderId="0" applyFont="0" applyNumberFormat="1" applyFill="1" applyBorder="0" applyAlignment="0"/>
    <xf xfId="0" fontId="0" numFmtId="168" fillId="2" borderId="7" applyFont="0" applyNumberFormat="1" applyFill="1" applyBorder="1" applyAlignment="1">
      <alignment horizontal="center" vertical="bottom" textRotation="0" wrapText="false" shrinkToFit="false"/>
    </xf>
    <xf xfId="0" fontId="0" numFmtId="167" fillId="2" borderId="0" applyFont="0" applyNumberFormat="1" applyFill="1" applyBorder="0" applyAlignment="0"/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2" numFmtId="169" fillId="2" borderId="0" applyFont="1" applyNumberFormat="1" applyFill="1" applyBorder="0" applyAlignment="1">
      <alignment horizontal="center" vertical="bottom" textRotation="0" wrapText="false" shrinkToFit="false"/>
    </xf>
    <xf xfId="0" fontId="0" numFmtId="0" fillId="2" borderId="7" applyFont="0" applyNumberFormat="0" applyFill="1" applyBorder="1" applyAlignment="1">
      <alignment horizontal="center" vertical="bottom" textRotation="0" wrapText="false" shrinkToFit="false"/>
    </xf>
    <xf xfId="0" fontId="7" numFmtId="0" fillId="7" borderId="0" applyFont="1" applyNumberFormat="0" applyFill="1" applyBorder="0" applyAlignment="1">
      <alignment horizontal="left" vertical="bottom" textRotation="0" wrapText="false" shrinkToFit="false"/>
    </xf>
    <xf xfId="0" fontId="8" numFmtId="0" fillId="7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9" applyFont="1" applyNumberFormat="0" applyFill="1" applyBorder="1" applyAlignment="1">
      <alignment horizontal="center" vertical="bottom" textRotation="0" wrapText="false" shrinkToFit="false"/>
    </xf>
    <xf xfId="0" fontId="0" numFmtId="0" fillId="2" borderId="10" applyFont="0" applyNumberFormat="0" applyFill="1" applyBorder="1" applyAlignment="1">
      <alignment horizontal="center" vertical="bottom" textRotation="0" wrapText="false" shrinkToFit="false"/>
    </xf>
    <xf xfId="0" fontId="0" numFmtId="0" fillId="2" borderId="9" applyFont="0" applyNumberFormat="0" applyFill="1" applyBorder="1" applyAlignment="1">
      <alignment horizontal="center" vertical="bottom" textRotation="0" wrapText="false" shrinkToFit="false"/>
    </xf>
    <xf xfId="0" fontId="0" numFmtId="0" fillId="2" borderId="9" applyFont="0" applyNumberFormat="0" applyFill="1" applyBorder="1" applyAlignment="0"/>
    <xf xfId="0" fontId="0" numFmtId="170" fillId="2" borderId="10" applyFont="0" applyNumberFormat="1" applyFill="1" applyBorder="1" applyAlignment="1">
      <alignment horizontal="center" vertical="bottom" textRotation="0" wrapText="false" shrinkToFit="false"/>
    </xf>
    <xf xfId="0" fontId="0" numFmtId="170" fillId="2" borderId="10" applyFont="0" applyNumberFormat="1" applyFill="1" applyBorder="1" applyAlignment="0"/>
    <xf xfId="0" fontId="5" numFmtId="171" fillId="2" borderId="9" applyFont="1" applyNumberFormat="1" applyFill="1" applyBorder="1" applyAlignment="1">
      <alignment horizontal="center" vertical="bottom" textRotation="0" wrapText="false" shrinkToFit="false"/>
    </xf>
    <xf xfId="0" fontId="9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1">
      <alignment horizontal="right" vertical="bottom" textRotation="0" wrapText="false" shrinkToFit="false"/>
    </xf>
    <xf xfId="0" fontId="9" numFmtId="2" fillId="2" borderId="0" applyFont="1" applyNumberFormat="1" applyFill="1" applyBorder="0" applyAlignment="1">
      <alignment horizontal="left" vertical="bottom" textRotation="0" wrapText="false" shrinkToFit="false"/>
    </xf>
    <xf xfId="0" fontId="9" numFmtId="172" fillId="2" borderId="0" applyFont="1" applyNumberFormat="1" applyFill="1" applyBorder="0" applyAlignment="0"/>
    <xf xfId="0" fontId="10" numFmtId="0" fillId="2" borderId="0" applyFont="1" applyNumberFormat="0" applyFill="1" applyBorder="0" applyAlignment="0"/>
    <xf xfId="0" fontId="11" numFmtId="0" fillId="2" borderId="0" applyFont="1" applyNumberFormat="0" applyFill="1" applyBorder="0" applyAlignment="0"/>
    <xf xfId="0" fontId="12" numFmtId="166" fillId="2" borderId="9" applyFont="1" applyNumberFormat="1" applyFill="1" applyBorder="1" applyAlignment="1">
      <alignment horizontal="center" vertical="bottom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center" textRotation="0" wrapText="false" shrinkToFit="false"/>
    </xf>
    <xf xfId="0" fontId="4" numFmtId="0" fillId="2" borderId="0" applyFont="1" applyNumberFormat="0" applyFill="1" applyBorder="0" applyAlignment="1">
      <alignment horizontal="left" vertical="bottom" textRotation="0" wrapText="false" shrinkToFit="false"/>
    </xf>
    <xf xfId="0" fontId="5" numFmtId="0" fillId="2" borderId="0" applyFont="1" applyNumberFormat="0" applyFill="1" applyBorder="0" applyAlignment="0"/>
    <xf xfId="0" fontId="14" numFmtId="0" fillId="2" borderId="0" applyFont="1" applyNumberFormat="0" applyFill="1" applyBorder="0" applyAlignment="0"/>
    <xf xfId="0" fontId="15" numFmtId="0" fillId="2" borderId="0" applyFont="1" applyNumberFormat="0" applyFill="1" applyBorder="0" applyAlignment="1">
      <alignment vertical="center" textRotation="0" wrapText="false" shrinkToFit="false"/>
    </xf>
    <xf xfId="0" fontId="0" numFmtId="170" fillId="2" borderId="9" applyFont="0" applyNumberFormat="1" applyFill="1" applyBorder="1" applyAlignment="0"/>
    <xf xfId="0" fontId="0" numFmtId="170" fillId="2" borderId="9" applyFont="0" applyNumberFormat="1" applyFill="1" applyBorder="1" applyAlignment="1">
      <alignment horizontal="center" vertical="bottom" textRotation="0" wrapText="false" shrinkToFit="false"/>
    </xf>
    <xf xfId="0" fontId="5" numFmtId="0" fillId="2" borderId="9" applyFont="1" applyNumberFormat="0" applyFill="1" applyBorder="1" applyAlignment="1">
      <alignment horizontal="center" vertical="bottom" textRotation="0" wrapText="false" shrinkToFit="false"/>
    </xf>
    <xf xfId="0" fontId="16" numFmtId="0" fillId="7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0" borderId="7" applyFont="1" applyNumberFormat="0" applyFill="0" applyBorder="1" applyAlignment="1">
      <alignment horizontal="center" vertical="bottom" textRotation="0" wrapText="false" shrinkToFit="false"/>
    </xf>
    <xf xfId="0" fontId="2" numFmtId="0" fillId="4" borderId="0" applyFont="1" applyNumberFormat="0" applyFill="1" applyBorder="0" applyAlignment="1">
      <alignment horizontal="center" vertical="bottom" textRotation="0" wrapText="false" shrinkToFit="false"/>
    </xf>
    <xf xfId="0" fontId="2" numFmtId="14" fillId="2" borderId="0" applyFont="1" applyNumberFormat="1" applyFill="1" applyBorder="0" applyAlignment="1">
      <alignment horizontal="left" vertical="bottom" textRotation="0" wrapText="false" shrinkToFit="false"/>
    </xf>
    <xf xfId="0" fontId="2" numFmtId="14" fillId="2" borderId="5" applyFont="1" applyNumberFormat="1" applyFill="1" applyBorder="1" applyAlignment="1">
      <alignment horizontal="left" vertical="bottom" textRotation="0" wrapText="false" shrinkToFit="false"/>
    </xf>
    <xf xfId="0" fontId="2" numFmtId="173" fillId="4" borderId="0" applyFont="1" applyNumberFormat="1" applyFill="1" applyBorder="0" applyAlignment="1">
      <alignment horizontal="center" vertical="bottom" textRotation="0" wrapText="false" shrinkToFit="false"/>
    </xf>
    <xf xfId="0" fontId="2" numFmtId="174" fillId="4" borderId="0" applyFont="1" applyNumberFormat="1" applyFill="1" applyBorder="0" applyAlignment="1">
      <alignment horizontal="center" vertical="bottom" textRotation="0" wrapText="false" shrinkToFit="false"/>
    </xf>
    <xf xfId="0" fontId="17" numFmtId="0" fillId="5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2" borderId="7" applyFont="1" applyNumberFormat="0" applyFill="1" applyBorder="1" applyAlignment="1">
      <alignment horizontal="left" vertical="bottom" textRotation="0" wrapText="false" shrinkToFit="false"/>
    </xf>
    <xf xfId="0" fontId="12" numFmtId="0" fillId="2" borderId="10" applyFont="1" applyNumberFormat="0" applyFill="1" applyBorder="1" applyAlignment="1">
      <alignment horizontal="center" vertical="bottom" textRotation="0" wrapText="false" shrinkToFit="false"/>
    </xf>
    <xf xfId="0" fontId="12" numFmtId="0" fillId="2" borderId="11" applyFont="1" applyNumberFormat="0" applyFill="1" applyBorder="1" applyAlignment="1">
      <alignment horizontal="center" vertical="bottom" textRotation="0" wrapText="false" shrinkToFit="false"/>
    </xf>
    <xf xfId="0" fontId="18" numFmtId="0" fillId="8" borderId="9" applyFont="1" applyNumberFormat="0" applyFill="1" applyBorder="1" applyAlignment="1">
      <alignment horizontal="center" vertical="center" textRotation="0" wrapText="false" shrinkToFit="false"/>
    </xf>
    <xf xfId="0" fontId="18" numFmtId="0" fillId="8" borderId="1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bottom" textRotation="0" wrapText="false" shrinkToFit="false"/>
    </xf>
    <xf xfId="0" fontId="7" numFmtId="0" fillId="5" borderId="13" applyFont="1" applyNumberFormat="0" applyFill="1" applyBorder="1" applyAlignment="1">
      <alignment horizontal="center" vertical="bottom" textRotation="0" wrapText="false" shrinkToFit="false"/>
    </xf>
    <xf xfId="0" fontId="7" numFmtId="0" fillId="5" borderId="11" applyFont="1" applyNumberFormat="0" applyFill="1" applyBorder="1" applyAlignment="1">
      <alignment horizontal="center" vertical="bottom" textRotation="0" wrapText="false" shrinkToFit="false"/>
    </xf>
    <xf xfId="0" fontId="19" numFmtId="171" fillId="8" borderId="4" applyFont="1" applyNumberFormat="1" applyFill="1" applyBorder="1" applyAlignment="1">
      <alignment horizontal="center" vertical="center" textRotation="0" wrapText="false" shrinkToFit="false"/>
    </xf>
    <xf xfId="0" fontId="19" numFmtId="171" fillId="8" borderId="6" applyFont="1" applyNumberFormat="1" applyFill="1" applyBorder="1" applyAlignment="1">
      <alignment horizontal="center" vertical="center" textRotation="0" wrapText="false" shrinkToFit="false"/>
    </xf>
    <xf xfId="0" fontId="19" numFmtId="171" fillId="8" borderId="14" applyFont="1" applyNumberFormat="1" applyFill="1" applyBorder="1" applyAlignment="1">
      <alignment horizontal="center" vertical="center" textRotation="0" wrapText="true" shrinkToFit="false"/>
    </xf>
    <xf xfId="0" fontId="19" numFmtId="171" fillId="8" borderId="15" applyFont="1" applyNumberFormat="1" applyFill="1" applyBorder="1" applyAlignment="1">
      <alignment horizontal="center" vertical="center" textRotation="0" wrapText="true" shrinkToFit="false"/>
    </xf>
    <xf xfId="0" fontId="19" numFmtId="171" fillId="8" borderId="0" applyFont="1" applyNumberFormat="1" applyFill="1" applyBorder="0" applyAlignment="1">
      <alignment horizontal="center" vertical="center" textRotation="0" wrapText="true" shrinkToFit="false"/>
    </xf>
    <xf xfId="0" fontId="19" numFmtId="171" fillId="8" borderId="7" applyFont="1" applyNumberFormat="1" applyFill="1" applyBorder="1" applyAlignment="1">
      <alignment horizontal="center" vertical="center" textRotation="0" wrapText="true" shrinkToFit="false"/>
    </xf>
    <xf xfId="0" fontId="19" numFmtId="171" fillId="8" borderId="16" applyFont="1" applyNumberFormat="1" applyFill="1" applyBorder="1" applyAlignment="1">
      <alignment horizontal="center" vertical="center" textRotation="0" wrapText="true" shrinkToFit="false"/>
    </xf>
    <xf xfId="0" fontId="19" numFmtId="171" fillId="8" borderId="17" applyFont="1" applyNumberFormat="1" applyFill="1" applyBorder="1" applyAlignment="1">
      <alignment horizontal="center" vertical="center" textRotation="0" wrapText="true" shrinkToFit="false"/>
    </xf>
    <xf xfId="0" fontId="19" numFmtId="171" fillId="8" borderId="18" applyFont="1" applyNumberFormat="1" applyFill="1" applyBorder="1" applyAlignment="1">
      <alignment horizontal="center" vertical="center" textRotation="0" wrapText="true" shrinkToFit="false"/>
    </xf>
    <xf xfId="0" fontId="19" numFmtId="171" fillId="8" borderId="19" applyFont="1" applyNumberFormat="1" applyFill="1" applyBorder="1" applyAlignment="1">
      <alignment horizontal="center" vertical="center" textRotation="0" wrapText="true" shrinkToFit="false"/>
    </xf>
    <xf xfId="0" fontId="20" numFmtId="0" fillId="9" borderId="9" applyFont="1" applyNumberFormat="0" applyFill="1" applyBorder="1" applyAlignment="1">
      <alignment horizontal="center" vertical="center" textRotation="0" wrapText="true" shrinkToFit="false"/>
    </xf>
    <xf xfId="0" fontId="21" numFmtId="0" fillId="2" borderId="4" applyFont="1" applyNumberFormat="0" applyFill="1" applyBorder="1" applyAlignment="1">
      <alignment horizontal="center" vertical="center" textRotation="0" wrapText="false" shrinkToFit="false"/>
    </xf>
    <xf xfId="0" fontId="21" numFmtId="0" fillId="2" borderId="0" applyFont="1" applyNumberFormat="0" applyFill="1" applyBorder="0" applyAlignment="1">
      <alignment horizontal="center" vertical="center" textRotation="0" wrapText="false" shrinkToFit="false"/>
    </xf>
    <xf xfId="0" fontId="21" numFmtId="0" fillId="2" borderId="6" applyFont="1" applyNumberFormat="0" applyFill="1" applyBorder="1" applyAlignment="1">
      <alignment horizontal="center" vertical="center" textRotation="0" wrapText="false" shrinkToFit="false"/>
    </xf>
    <xf xfId="0" fontId="21" numFmtId="0" fillId="2" borderId="7" applyFont="1" applyNumberFormat="0" applyFill="1" applyBorder="1" applyAlignment="1">
      <alignment horizontal="center" vertical="center" textRotation="0" wrapText="false" shrinkToFit="false"/>
    </xf>
    <xf xfId="0" fontId="22" numFmtId="0" fillId="9" borderId="9" applyFont="1" applyNumberFormat="0" applyFill="1" applyBorder="1" applyAlignment="1">
      <alignment horizontal="center" vertical="center" textRotation="0" wrapText="false" shrinkToFit="false"/>
    </xf>
    <xf xfId="0" fontId="12" numFmtId="166" fillId="2" borderId="9" applyFont="1" applyNumberFormat="1" applyFill="1" applyBorder="1" applyAlignment="1">
      <alignment horizontal="center" vertical="center" textRotation="0" wrapText="false" shrinkToFit="false"/>
    </xf>
    <xf xfId="0" fontId="12" numFmtId="0" fillId="2" borderId="9" applyFont="1" applyNumberFormat="0" applyFill="1" applyBorder="1" applyAlignment="1">
      <alignment horizontal="center" vertical="center" textRotation="0" wrapText="false" shrinkToFit="false"/>
    </xf>
    <xf xfId="0" fontId="0" numFmtId="0" fillId="2" borderId="4" applyFont="0" applyNumberFormat="0" applyFill="1" applyBorder="1" applyAlignment="1">
      <alignment horizontal="left" vertical="center" textRotation="0" wrapText="true" shrinkToFit="false"/>
    </xf>
    <xf xfId="0" fontId="0" numFmtId="0" fillId="2" borderId="0" applyFont="0" applyNumberFormat="0" applyFill="1" applyBorder="0" applyAlignment="1">
      <alignment horizontal="left" vertical="center" textRotation="0" wrapText="true" shrinkToFit="false"/>
    </xf>
    <xf xfId="0" fontId="23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9" applyFont="0" applyNumberFormat="0" applyFill="0" applyBorder="1" applyAlignment="0"/>
    <xf xfId="0" fontId="0" numFmtId="0" fillId="10" borderId="9" applyFont="0" applyNumberFormat="0" applyFill="1" applyBorder="1" applyAlignment="1">
      <alignment horizontal="center" vertical="bottom" textRotation="0" wrapText="false" shrinkToFit="false"/>
    </xf>
    <xf xfId="0" fontId="0" numFmtId="175" fillId="0" borderId="0" applyFont="0" applyNumberFormat="1" applyFill="0" applyBorder="0" applyAlignment="0"/>
    <xf xfId="0" fontId="24" numFmtId="10" fillId="0" borderId="0" applyFont="1" applyNumberFormat="1" applyFill="0" applyBorder="0" applyAlignment="0"/>
    <xf xfId="0" fontId="8" numFmtId="0" fillId="11" borderId="9" applyFont="1" applyNumberFormat="0" applyFill="1" applyBorder="1" applyAlignment="1">
      <alignment horizontal="center" vertical="bottom" textRotation="0" wrapText="false" shrinkToFit="false"/>
    </xf>
    <xf xfId="0" fontId="0" numFmtId="0" fillId="12" borderId="9" applyFont="0" applyNumberFormat="0" applyFill="1" applyBorder="1" applyAlignment="0"/>
    <xf xfId="0" fontId="8" numFmtId="0" fillId="11" borderId="9" applyFont="1" applyNumberFormat="0" applyFill="1" applyBorder="1" applyAlignment="0"/>
    <xf xfId="0" fontId="0" numFmtId="175" fillId="0" borderId="9" applyFont="0" applyNumberFormat="1" applyFill="0" applyBorder="1" applyAlignment="0"/>
    <xf xfId="0" fontId="0" numFmtId="10" fillId="0" borderId="9" applyFont="0" applyNumberFormat="1" applyFill="0" applyBorder="1" applyAlignment="0"/>
    <xf xfId="0" fontId="0" numFmtId="176" fillId="0" borderId="9" applyFont="0" applyNumberFormat="1" applyFill="0" applyBorder="1" applyAlignment="0"/>
    <xf xfId="0" fontId="5" numFmtId="0" fillId="0" borderId="9" applyFont="1" applyNumberFormat="0" applyFill="0" applyBorder="1" applyAlignment="0"/>
    <xf xfId="0" fontId="5" numFmtId="175" fillId="0" borderId="9" applyFont="1" applyNumberFormat="1" applyFill="0" applyBorder="1" applyAlignment="0"/>
    <xf xfId="0" fontId="0" numFmtId="177" fillId="0" borderId="9" applyFont="0" applyNumberFormat="1" applyFill="0" applyBorder="1" applyAlignment="0"/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2" numFmtId="4" fillId="4" borderId="0" applyFont="1" applyNumberFormat="1" applyFill="1" applyBorder="0" applyAlignment="1">
      <alignment horizontal="center" vertical="bottom" textRotation="0" wrapText="false" shrinkToFit="false"/>
    </xf>
    <xf xfId="0" fontId="8" numFmtId="175" fillId="5" borderId="9" applyFont="1" applyNumberFormat="1" applyFill="1" applyBorder="1" applyAlignment="1">
      <alignment horizontal="center" vertical="bottom" textRotation="0" wrapText="false" shrinkToFit="false"/>
    </xf>
    <xf xfId="0" fontId="8" numFmtId="177" fillId="5" borderId="9" applyFont="1" applyNumberFormat="1" applyFill="1" applyBorder="1" applyAlignment="1">
      <alignment horizontal="center" vertical="bottom" textRotation="0" wrapText="false" shrinkToFit="false"/>
    </xf>
    <xf xfId="0" fontId="0" numFmtId="175" fillId="2" borderId="9" applyFont="0" applyNumberFormat="1" applyFill="1" applyBorder="1" applyAlignment="1">
      <alignment horizontal="center" vertical="bottom" textRotation="0" wrapText="false" shrinkToFit="false"/>
    </xf>
    <xf xfId="0" fontId="0" numFmtId="175" fillId="2" borderId="9" applyFont="0" applyNumberFormat="1" applyFill="1" applyBorder="1" applyAlignment="0"/>
    <xf xfId="0" fontId="9" numFmtId="170" fillId="2" borderId="9" applyFont="1" applyNumberFormat="1" applyFill="1" applyBorder="1" applyAlignment="0"/>
    <xf xfId="0" fontId="9" numFmtId="2" fillId="2" borderId="9" applyFont="1" applyNumberFormat="1" applyFill="1" applyBorder="1" applyAlignment="1">
      <alignment horizontal="left" vertical="bottom" textRotation="0" wrapText="false" shrinkToFit="false"/>
    </xf>
    <xf xfId="0" fontId="5" numFmtId="175" fillId="2" borderId="9" applyFont="1" applyNumberFormat="1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bc9f13f1d52ea4bdc5f22d0545239c2.png"/><Relationship Id="rId2" Type="http://schemas.openxmlformats.org/officeDocument/2006/relationships/image" Target="../media/6c9b4397e64bf78f48454f9ef3f9db66.png"/><Relationship Id="rId3" Type="http://schemas.openxmlformats.org/officeDocument/2006/relationships/image" Target="../media/6c9b4397e64bf78f48454f9ef3f9db66.png"/><Relationship Id="rId4" Type="http://schemas.openxmlformats.org/officeDocument/2006/relationships/image" Target="../media/4bc9f13f1d52ea4bdc5f22d0545239c2.png"/><Relationship Id="rId5" Type="http://schemas.openxmlformats.org/officeDocument/2006/relationships/image" Target="../media/989ee3ab5242c2b9e6acb02fec8dc89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523875</xdr:colOff>
      <xdr:row>24</xdr:row>
      <xdr:rowOff>190500</xdr:rowOff>
    </xdr:from>
    <xdr:to>
      <xdr:col>7</xdr:col>
      <xdr:colOff>19050</xdr:colOff>
      <xdr:row>54</xdr:row>
      <xdr:rowOff>133350</xdr:rowOff>
    </xdr:to>
    <xdr:pic>
      <xdr:nvPicPr>
        <xdr:cNvPr id="1" name="Imagen 7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5534025" cy="6353175"/>
        </a:xfrm>
        <a:prstGeom prst="rect">
          <a:avLst/>
        </a:prstGeom>
      </xdr:spPr>
    </xdr:pic>
    <xdr:clientData/>
  </xdr:twoCellAnchor>
  <xdr:twoCellAnchor editAs="oneCell">
    <xdr:from>
      <xdr:col>1</xdr:col>
      <xdr:colOff>809625</xdr:colOff>
      <xdr:row>48</xdr:row>
      <xdr:rowOff>171450</xdr:rowOff>
    </xdr:from>
    <xdr:to>
      <xdr:col>2</xdr:col>
      <xdr:colOff>85725</xdr:colOff>
      <xdr:row>55</xdr:row>
      <xdr:rowOff>38100</xdr:rowOff>
    </xdr:to>
    <xdr:pic>
      <xdr:nvPicPr>
        <xdr:cNvPr id="2" name="Imagen 9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1190625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590550</xdr:colOff>
      <xdr:row>0</xdr:row>
      <xdr:rowOff>0</xdr:rowOff>
    </xdr:from>
    <xdr:to>
      <xdr:col>1</xdr:col>
      <xdr:colOff>533400</xdr:colOff>
      <xdr:row>6</xdr:row>
      <xdr:rowOff>47625</xdr:rowOff>
    </xdr:to>
    <xdr:pic>
      <xdr:nvPicPr>
        <xdr:cNvPr id="3" name="Imagen 10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>
          <a:ext cx="1219200" cy="1190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62</xdr:row>
      <xdr:rowOff>76200</xdr:rowOff>
    </xdr:from>
    <xdr:to>
      <xdr:col>6</xdr:col>
      <xdr:colOff>171450</xdr:colOff>
      <xdr:row>94</xdr:row>
      <xdr:rowOff>38100</xdr:rowOff>
    </xdr:to>
    <xdr:pic>
      <xdr:nvPicPr>
        <xdr:cNvPr id="4" name="Imagen 11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>
          <a:ext cx="6715125" cy="6048375"/>
        </a:xfrm>
        <a:prstGeom prst="rect">
          <a:avLst/>
        </a:prstGeom>
      </xdr:spPr>
    </xdr:pic>
    <xdr:clientData/>
  </xdr:twoCellAnchor>
  <xdr:twoCellAnchor editAs="oneCell">
    <xdr:from>
      <xdr:col>0</xdr:col>
      <xdr:colOff>809625</xdr:colOff>
      <xdr:row>96</xdr:row>
      <xdr:rowOff>161925</xdr:rowOff>
    </xdr:from>
    <xdr:to>
      <xdr:col>4</xdr:col>
      <xdr:colOff>276225</xdr:colOff>
      <xdr:row>112</xdr:row>
      <xdr:rowOff>19050</xdr:rowOff>
    </xdr:to>
    <xdr:pic>
      <xdr:nvPicPr>
        <xdr:cNvPr id="5" name="Imagen 13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>
          <a:ext cx="4171950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13"/>
  <sheetViews>
    <sheetView tabSelected="0" workbookViewId="0" zoomScale="70" zoomScaleNormal="70" showGridLines="false" showRowColHeaders="1" topLeftCell="A25">
      <selection activeCell="J38" sqref="J38"/>
    </sheetView>
  </sheetViews>
  <sheetFormatPr defaultRowHeight="14.4" outlineLevelRow="0" outlineLevelCol="0"/>
  <cols>
    <col min="1" max="1" width="19" customWidth="true" style="0"/>
    <col min="2" max="2" width="28.6640625" customWidth="true" style="0"/>
    <col min="6" max="6" width="16.109375" customWidth="true" style="0"/>
  </cols>
  <sheetData>
    <row r="1" spans="1:17" customHeight="1" ht="18">
      <c r="A1" s="1"/>
      <c r="B1" s="1"/>
      <c r="C1" s="1"/>
      <c r="D1" s="1"/>
      <c r="E1" s="1"/>
      <c r="F1" s="1"/>
      <c r="G1" s="1"/>
      <c r="H1" s="2"/>
      <c r="I1" s="2"/>
      <c r="J1" s="2"/>
      <c r="K1" s="3"/>
      <c r="L1" s="1"/>
      <c r="M1" s="1"/>
      <c r="N1" s="1"/>
      <c r="O1" s="1"/>
      <c r="P1" s="1"/>
      <c r="Q1" s="1"/>
    </row>
    <row r="2" spans="1:17" customHeight="1" ht="18">
      <c r="A2" s="1"/>
      <c r="B2" s="1"/>
      <c r="C2" s="1"/>
      <c r="D2" s="1"/>
      <c r="E2" s="1"/>
      <c r="F2" s="1"/>
      <c r="G2" s="1"/>
      <c r="H2" s="2"/>
      <c r="I2" s="2"/>
      <c r="J2" s="2"/>
      <c r="K2" s="3"/>
      <c r="L2" s="1"/>
      <c r="M2" s="1"/>
      <c r="N2" s="1"/>
      <c r="O2" s="1"/>
      <c r="P2" s="1"/>
      <c r="Q2" s="1"/>
    </row>
    <row r="3" spans="1:17">
      <c r="A3" s="1"/>
      <c r="B3" s="1"/>
      <c r="C3" s="1"/>
      <c r="D3" s="1"/>
      <c r="E3" s="1"/>
      <c r="F3" s="65"/>
      <c r="G3" s="65"/>
      <c r="H3" s="65"/>
      <c r="I3" s="65"/>
      <c r="J3" s="1"/>
      <c r="K3" s="1"/>
      <c r="L3" s="1"/>
      <c r="M3" s="1"/>
      <c r="N3" s="1"/>
      <c r="O3" s="1"/>
      <c r="P3" s="1"/>
      <c r="Q3" s="1"/>
    </row>
    <row r="4" spans="1:17">
      <c r="A4" s="1"/>
      <c r="B4" s="1"/>
      <c r="C4" s="1"/>
      <c r="D4" s="1"/>
      <c r="E4" s="1"/>
      <c r="F4" s="66"/>
      <c r="G4" s="66"/>
      <c r="H4" s="66"/>
      <c r="I4" s="66"/>
      <c r="J4" s="5"/>
      <c r="K4" s="1"/>
      <c r="L4" s="1"/>
      <c r="M4" s="1"/>
      <c r="N4" s="1"/>
      <c r="O4" s="1"/>
      <c r="P4" s="1"/>
      <c r="Q4" s="1"/>
    </row>
    <row r="5" spans="1:17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>
      <c r="A6" s="1"/>
      <c r="B6" s="6"/>
      <c r="C6" s="6"/>
      <c r="D6" s="1"/>
      <c r="E6" s="6"/>
      <c r="F6" s="6"/>
      <c r="G6" s="6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>
      <c r="A7" s="1"/>
      <c r="B7" s="1"/>
      <c r="C7" s="1"/>
      <c r="D7" s="67" t="s">
        <v>0</v>
      </c>
      <c r="E7" s="67"/>
      <c r="F7" s="67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>
      <c r="A8" s="7" t="s">
        <v>1</v>
      </c>
      <c r="B8" s="8" t="s">
        <v>2</v>
      </c>
      <c r="C8" s="117" t="s">
        <v>3</v>
      </c>
      <c r="D8" s="9" t="s">
        <v>4</v>
      </c>
      <c r="E8" s="10" t="s">
        <v>5</v>
      </c>
      <c r="F8" s="11"/>
      <c r="G8" s="3"/>
      <c r="H8" s="1" t="s">
        <v>6</v>
      </c>
      <c r="I8" s="68" t="str">
        <f>+'2'!D5</f>
        <v>ORGANIZADOR DE BAÑO SET DE 5</v>
      </c>
      <c r="J8" s="68"/>
      <c r="K8" s="68"/>
      <c r="L8" s="1"/>
      <c r="M8" s="1"/>
      <c r="N8" s="1"/>
      <c r="O8" s="1"/>
      <c r="P8" s="1"/>
      <c r="Q8" s="1"/>
    </row>
    <row r="9" spans="1:17">
      <c r="A9" s="7" t="s">
        <v>7</v>
      </c>
      <c r="B9" s="8"/>
      <c r="C9" s="1"/>
      <c r="D9" s="12" t="s">
        <v>8</v>
      </c>
      <c r="E9" s="69">
        <f>+TODAY()</f>
        <v>45917</v>
      </c>
      <c r="F9" s="70"/>
      <c r="G9" s="3"/>
      <c r="H9" s="1" t="s">
        <v>9</v>
      </c>
      <c r="I9" s="71">
        <f>+'2'!D6</f>
        <v>0</v>
      </c>
      <c r="J9" s="71" t="s">
        <v>10</v>
      </c>
      <c r="K9" s="71"/>
      <c r="L9" s="1"/>
      <c r="M9" s="1"/>
      <c r="N9" s="1"/>
      <c r="O9" s="1"/>
      <c r="P9" s="1"/>
      <c r="Q9" s="1"/>
    </row>
    <row r="10" spans="1:17">
      <c r="A10" s="7" t="s">
        <v>11</v>
      </c>
      <c r="B10" s="8"/>
      <c r="C10" s="1"/>
      <c r="D10" s="13" t="s">
        <v>12</v>
      </c>
      <c r="E10" s="1" t="s">
        <v>13</v>
      </c>
      <c r="F10" s="14"/>
      <c r="G10" s="3"/>
      <c r="H10" s="1" t="s">
        <v>14</v>
      </c>
      <c r="I10" s="15">
        <v>0</v>
      </c>
      <c r="J10" s="15">
        <v>0</v>
      </c>
      <c r="K10" s="15">
        <v>0</v>
      </c>
      <c r="L10" s="1"/>
      <c r="M10" s="1"/>
      <c r="N10" s="1"/>
      <c r="O10" s="1"/>
      <c r="P10" s="1"/>
      <c r="Q10" s="1"/>
    </row>
    <row r="11" spans="1:17">
      <c r="A11" s="7" t="s">
        <v>15</v>
      </c>
      <c r="B11" s="16">
        <v>51912768538</v>
      </c>
      <c r="C11" s="1" t="s">
        <v>16</v>
      </c>
      <c r="D11" s="17" t="s">
        <v>17</v>
      </c>
      <c r="E11" s="18" t="s">
        <v>18</v>
      </c>
      <c r="F11" s="19" t="s">
        <v>19</v>
      </c>
      <c r="G11" s="1"/>
      <c r="H11" s="1" t="s">
        <v>20</v>
      </c>
      <c r="I11" s="72" t="s">
        <v>21</v>
      </c>
      <c r="J11" s="118">
        <f>'2'!D7</f>
        <v>0</v>
      </c>
      <c r="K11" s="72"/>
      <c r="L11" s="20"/>
      <c r="M11" s="1"/>
      <c r="N11" s="1"/>
      <c r="O11" s="1"/>
      <c r="P11" s="1"/>
      <c r="Q11" s="1"/>
    </row>
    <row r="12" spans="1:17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73" t="s">
        <v>22</v>
      </c>
      <c r="B13" s="73"/>
      <c r="C13" s="73"/>
      <c r="D13" s="73"/>
      <c r="E13" s="73"/>
      <c r="F13" s="21"/>
      <c r="G13" s="21"/>
      <c r="H13" s="22"/>
      <c r="I13" s="22"/>
      <c r="J13" s="23" t="s">
        <v>23</v>
      </c>
      <c r="K13" s="23" t="s">
        <v>24</v>
      </c>
      <c r="L13" s="1"/>
      <c r="M13" s="1"/>
      <c r="N13" s="1"/>
      <c r="O13" s="1"/>
      <c r="P13" s="1"/>
      <c r="Q13" s="1"/>
    </row>
    <row r="14" spans="1:17">
      <c r="A14" s="74" t="s">
        <v>25</v>
      </c>
      <c r="B14" s="74"/>
      <c r="C14" s="74"/>
      <c r="D14" s="3"/>
      <c r="E14" s="3"/>
      <c r="F14" s="3"/>
      <c r="G14" s="3"/>
      <c r="H14" s="1"/>
      <c r="I14" s="1"/>
      <c r="J14" s="25">
        <f>'2'!D18</f>
        <v>736.32833186231</v>
      </c>
      <c r="K14" s="26">
        <f>'2'!D11</f>
        <v>590</v>
      </c>
      <c r="L14" s="1"/>
      <c r="M14" s="1"/>
      <c r="N14" s="1"/>
      <c r="O14" s="1"/>
      <c r="P14" s="1"/>
      <c r="Q14" s="1"/>
    </row>
    <row r="15" spans="1:17">
      <c r="A15" s="75" t="s">
        <v>26</v>
      </c>
      <c r="B15" s="75"/>
      <c r="C15" s="75"/>
      <c r="D15" s="18"/>
      <c r="E15" s="18"/>
      <c r="F15" s="18"/>
      <c r="G15" s="18"/>
      <c r="H15" s="18"/>
      <c r="I15" s="18"/>
      <c r="J15" s="27" t="e">
        <f>IF(I11&lt;1,'2'!D21+'2'!D24,60%*(T16*I11)+'2'!D24)</f>
        <v>#VALUE!</v>
      </c>
      <c r="K15" s="28">
        <f>'2'!D14 + '2'!D17</f>
        <v>146.32833186231</v>
      </c>
      <c r="L15" s="1"/>
      <c r="M15" s="1"/>
      <c r="N15" s="1"/>
      <c r="O15" s="1"/>
      <c r="P15" s="1"/>
      <c r="Q15" s="1"/>
    </row>
    <row r="16" spans="1:17">
      <c r="A16" s="7" t="s">
        <v>27</v>
      </c>
      <c r="B16" s="3"/>
      <c r="C16" s="3"/>
      <c r="D16" s="3"/>
      <c r="E16" s="3"/>
      <c r="F16" s="3"/>
      <c r="G16" s="3"/>
      <c r="H16" s="3"/>
      <c r="I16" s="3"/>
      <c r="J16" s="25" t="e">
        <f>SUM(J14:J15)</f>
        <v>#VALUE!</v>
      </c>
      <c r="K16" s="26" t="s">
        <v>28</v>
      </c>
      <c r="L16" s="1"/>
      <c r="M16" s="1"/>
      <c r="N16" s="1"/>
      <c r="O16" s="4"/>
      <c r="P16" s="1"/>
      <c r="Q16" s="1"/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1"/>
      <c r="M17" s="1"/>
      <c r="N17" s="1"/>
      <c r="O17" s="4"/>
      <c r="P17" s="1"/>
      <c r="Q17" s="1"/>
    </row>
    <row r="18" spans="1:1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1"/>
      <c r="M18" s="1"/>
      <c r="N18" s="1"/>
      <c r="O18" s="1"/>
      <c r="P18" s="1"/>
      <c r="Q18" s="1"/>
    </row>
    <row r="19" spans="1:17">
      <c r="A19" s="73" t="s">
        <v>29</v>
      </c>
      <c r="B19" s="73"/>
      <c r="C19" s="73"/>
      <c r="D19" s="73"/>
      <c r="E19" s="73"/>
      <c r="F19" s="21"/>
      <c r="G19" s="21"/>
      <c r="H19" s="21"/>
      <c r="I19" s="23" t="s">
        <v>30</v>
      </c>
      <c r="J19" s="23" t="s">
        <v>23</v>
      </c>
      <c r="K19" s="23" t="s">
        <v>24</v>
      </c>
      <c r="L19" s="1"/>
      <c r="M19" s="1"/>
      <c r="N19" s="1"/>
      <c r="O19" s="1"/>
      <c r="P19" s="1"/>
      <c r="Q19" s="1"/>
    </row>
    <row r="20" spans="1:17">
      <c r="A20" s="3" t="s">
        <v>31</v>
      </c>
      <c r="B20" s="3"/>
      <c r="C20" s="3"/>
      <c r="D20" s="3"/>
      <c r="E20" s="3"/>
      <c r="F20" s="3"/>
      <c r="G20" s="3"/>
      <c r="H20" s="3"/>
      <c r="I20" s="29">
        <f>MAX('2'!C33:C33)</f>
        <v>0</v>
      </c>
      <c r="J20" s="25">
        <f>'2'!D34</f>
        <v>0</v>
      </c>
      <c r="K20" s="26">
        <f>'2'!D28</f>
        <v>44.179699911739</v>
      </c>
      <c r="L20" s="1"/>
      <c r="M20" s="1"/>
      <c r="N20" s="30" t="s">
        <v>32</v>
      </c>
      <c r="O20" s="1"/>
      <c r="P20" s="1"/>
      <c r="Q20" s="1"/>
    </row>
    <row r="21" spans="1:17">
      <c r="A21" s="3" t="s">
        <v>33</v>
      </c>
      <c r="B21" s="3"/>
      <c r="C21" s="3"/>
      <c r="D21" s="3"/>
      <c r="E21" s="3"/>
      <c r="F21" s="3"/>
      <c r="G21" s="3"/>
      <c r="H21" s="3"/>
      <c r="I21" s="29">
        <v>0.16</v>
      </c>
      <c r="J21" s="25">
        <f>'2'!D35</f>
        <v>0</v>
      </c>
      <c r="K21" s="26">
        <f>'2'!D29</f>
        <v>124.88128508385</v>
      </c>
      <c r="L21" s="1"/>
      <c r="M21" s="1"/>
      <c r="N21" s="31" t="e">
        <f>J31/I11</f>
        <v>#VALUE!</v>
      </c>
      <c r="O21" s="1"/>
      <c r="P21" s="1"/>
      <c r="Q21" s="1"/>
    </row>
    <row r="22" spans="1:17">
      <c r="A22" s="3" t="s">
        <v>34</v>
      </c>
      <c r="B22" s="3"/>
      <c r="C22" s="3"/>
      <c r="D22" s="3"/>
      <c r="E22" s="3"/>
      <c r="F22" s="3"/>
      <c r="G22" s="3"/>
      <c r="H22" s="3"/>
      <c r="I22" s="29">
        <v>0.02</v>
      </c>
      <c r="J22" s="25">
        <f>'2'!D36</f>
        <v>0</v>
      </c>
      <c r="K22" s="26">
        <f>'2'!D30</f>
        <v>15.610160635481</v>
      </c>
      <c r="L22" s="1"/>
      <c r="M22" s="1"/>
      <c r="N22" s="1"/>
      <c r="O22" s="1"/>
      <c r="P22" s="1"/>
      <c r="Q22" s="1"/>
    </row>
    <row r="23" spans="1:17">
      <c r="A23" s="18" t="s">
        <v>35</v>
      </c>
      <c r="B23" s="18"/>
      <c r="C23" s="18"/>
      <c r="D23" s="18"/>
      <c r="E23" s="18"/>
      <c r="F23" s="18"/>
      <c r="G23" s="18"/>
      <c r="H23" s="18"/>
      <c r="I23" s="32">
        <f>MAX('2'!C30:C30)</f>
        <v>13.553433362754</v>
      </c>
      <c r="J23" s="27">
        <f>'2'!D31</f>
        <v>32.234981712268</v>
      </c>
      <c r="K23" s="28" t="s">
        <v>28</v>
      </c>
      <c r="L23" s="1"/>
      <c r="M23" s="1"/>
      <c r="N23" s="1"/>
      <c r="O23" s="1"/>
      <c r="P23" s="1"/>
      <c r="Q23" s="1"/>
    </row>
    <row r="24" spans="1:17">
      <c r="A24" s="7" t="s">
        <v>36</v>
      </c>
      <c r="B24" s="3"/>
      <c r="C24" s="3"/>
      <c r="D24" s="3"/>
      <c r="E24" s="3"/>
      <c r="F24" s="3"/>
      <c r="G24" s="3"/>
      <c r="H24" s="3"/>
      <c r="I24" s="26"/>
      <c r="J24" s="25">
        <f>SUM(J20:J23)</f>
        <v>32.234981712268</v>
      </c>
      <c r="K24" s="26" t="s">
        <v>28</v>
      </c>
      <c r="L24" s="33"/>
      <c r="M24" s="1"/>
      <c r="N24" s="1"/>
      <c r="O24" s="1"/>
      <c r="P24" s="1"/>
      <c r="Q24" s="1"/>
    </row>
    <row r="25" spans="1:17">
      <c r="A25" s="3"/>
      <c r="B25" s="3"/>
      <c r="C25" s="3"/>
      <c r="D25" s="3"/>
      <c r="E25" s="3"/>
      <c r="F25" s="3"/>
      <c r="G25" s="3"/>
      <c r="H25" s="3"/>
      <c r="I25" s="34"/>
      <c r="J25" s="35"/>
      <c r="K25" s="26">
        <f>'2'!D31</f>
        <v>32.234981712268</v>
      </c>
      <c r="L25" s="1"/>
      <c r="M25" s="1"/>
      <c r="N25" s="1"/>
      <c r="O25" s="1"/>
      <c r="P25" s="1"/>
      <c r="Q25" s="1"/>
    </row>
    <row r="26" spans="1:17">
      <c r="A26" s="18" t="s">
        <v>37</v>
      </c>
      <c r="B26" s="18"/>
      <c r="C26" s="18"/>
      <c r="D26" s="18"/>
      <c r="E26" s="18"/>
      <c r="F26" s="18"/>
      <c r="G26" s="18"/>
      <c r="H26" s="18"/>
      <c r="I26" s="36" t="s">
        <v>38</v>
      </c>
      <c r="J26" s="27">
        <f>'2'!D37</f>
        <v/>
      </c>
      <c r="K26" s="28" t="s">
        <v>28</v>
      </c>
      <c r="L26" s="1"/>
      <c r="M26" s="1"/>
      <c r="N26" s="1"/>
      <c r="O26" s="1"/>
      <c r="P26" s="1"/>
      <c r="Q26" s="1"/>
    </row>
    <row r="27" spans="1:17">
      <c r="A27" s="7" t="s">
        <v>39</v>
      </c>
      <c r="B27" s="3"/>
      <c r="C27" s="3"/>
      <c r="D27" s="3"/>
      <c r="E27" s="3"/>
      <c r="F27" s="3"/>
      <c r="G27" s="3"/>
      <c r="H27" s="3"/>
      <c r="I27" s="1"/>
      <c r="J27" s="25">
        <f>J24+J26</f>
        <v>32.234981712268</v>
      </c>
      <c r="K27" s="26" t="s">
        <v>28</v>
      </c>
      <c r="L27" s="1"/>
      <c r="M27" s="1"/>
      <c r="N27" s="1"/>
      <c r="O27" s="1"/>
      <c r="P27" s="1"/>
      <c r="Q27" s="1"/>
    </row>
    <row r="28" spans="1:17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customHeight="1" ht="15.6">
      <c r="A29" s="64" t="s">
        <v>40</v>
      </c>
      <c r="B29" s="64"/>
      <c r="C29" s="64"/>
      <c r="D29" s="64"/>
      <c r="E29" s="64"/>
      <c r="F29" s="37"/>
      <c r="G29" s="37"/>
      <c r="H29" s="38"/>
      <c r="I29" s="38"/>
      <c r="J29" s="38" t="s">
        <v>23</v>
      </c>
      <c r="K29" s="38">
        <f>K14</f>
        <v>590</v>
      </c>
      <c r="L29" s="1"/>
      <c r="M29" s="1"/>
      <c r="N29" s="1"/>
      <c r="O29" s="1"/>
      <c r="P29" s="1"/>
      <c r="Q29" s="1"/>
    </row>
    <row r="30" spans="1:17">
      <c r="A30" s="3" t="s">
        <v>41</v>
      </c>
      <c r="B30" s="3"/>
      <c r="C30" s="3"/>
      <c r="D30" s="3"/>
      <c r="E30" s="3"/>
      <c r="F30" s="3"/>
      <c r="G30" s="3"/>
      <c r="H30" s="25"/>
      <c r="I30" s="25"/>
      <c r="J30" s="25">
        <f>J14</f>
        <v>736.32833186231</v>
      </c>
      <c r="K30" s="26">
        <f>IF(J11&lt;1, 350, 350*J11)</f>
        <v>350</v>
      </c>
      <c r="L30" s="1"/>
      <c r="M30" s="1"/>
      <c r="N30" s="1"/>
      <c r="O30" s="1"/>
      <c r="P30" s="1"/>
      <c r="Q30" s="1"/>
    </row>
    <row r="31" spans="1:17">
      <c r="A31" s="3" t="s">
        <v>42</v>
      </c>
      <c r="B31" s="3"/>
      <c r="C31" s="3"/>
      <c r="D31" s="3"/>
      <c r="E31" s="3"/>
      <c r="F31" s="3"/>
      <c r="G31" s="3"/>
      <c r="H31" s="25"/>
      <c r="I31" s="25"/>
      <c r="J31" s="25" t="e">
        <f>IF(I11&lt;1,T16,T16*I11)</f>
        <v>#VALUE!</v>
      </c>
      <c r="K31" s="26">
        <f>K20+K21+K22+K25</f>
        <v>216.90612734334</v>
      </c>
      <c r="L31" s="30" t="s">
        <v>23</v>
      </c>
      <c r="M31" s="1"/>
      <c r="N31" s="1"/>
      <c r="O31" s="1"/>
      <c r="P31" s="1"/>
      <c r="Q31" s="1"/>
    </row>
    <row r="32" spans="1:17">
      <c r="A32" s="18" t="s">
        <v>43</v>
      </c>
      <c r="B32" s="18"/>
      <c r="C32" s="18"/>
      <c r="D32" s="18"/>
      <c r="E32" s="18"/>
      <c r="F32" s="18"/>
      <c r="G32" s="18"/>
      <c r="H32" s="27"/>
      <c r="I32" s="27"/>
      <c r="J32" s="27">
        <f>J27</f>
        <v>32.234981712268</v>
      </c>
      <c r="K32" s="28">
        <f>K29+K30+K31</f>
        <v>1156.9061273433</v>
      </c>
      <c r="L32" s="1"/>
      <c r="M32" s="1"/>
      <c r="N32" s="34"/>
      <c r="O32" s="1"/>
      <c r="P32" s="1"/>
      <c r="Q32" s="1"/>
    </row>
    <row r="33" spans="1:17">
      <c r="A33" s="7" t="s">
        <v>44</v>
      </c>
      <c r="B33" s="3"/>
      <c r="C33" s="3"/>
      <c r="D33" s="3"/>
      <c r="E33" s="3"/>
      <c r="F33" s="3"/>
      <c r="G33" s="3"/>
      <c r="H33" s="25"/>
      <c r="I33" s="25"/>
      <c r="J33" s="25" t="e">
        <f>SUM(J30:J32)</f>
        <v>#VALUE!</v>
      </c>
      <c r="K33" s="26" t="s">
        <v>28</v>
      </c>
      <c r="L33" s="1"/>
      <c r="M33" s="78" t="s">
        <v>45</v>
      </c>
      <c r="N33" s="78"/>
      <c r="O33" s="78"/>
      <c r="P33" s="78"/>
      <c r="Q33" s="78"/>
    </row>
    <row r="34" spans="1:17">
      <c r="A34" s="7"/>
      <c r="B34" s="3"/>
      <c r="C34" s="3"/>
      <c r="D34" s="3"/>
      <c r="E34" s="3"/>
      <c r="F34" s="3"/>
      <c r="G34" s="3"/>
      <c r="H34" s="35"/>
      <c r="I34" s="35"/>
      <c r="J34" s="35"/>
      <c r="K34" s="26"/>
      <c r="L34" s="1"/>
      <c r="M34" s="79"/>
      <c r="N34" s="79"/>
      <c r="O34" s="79"/>
      <c r="P34" s="79"/>
      <c r="Q34" s="79"/>
    </row>
    <row r="35" spans="1:17">
      <c r="A35" s="80" t="s">
        <v>46</v>
      </c>
      <c r="B35" s="81"/>
      <c r="C35" s="81"/>
      <c r="D35" s="81"/>
      <c r="E35" s="81"/>
      <c r="F35" s="81"/>
      <c r="G35" s="81"/>
      <c r="H35" s="81"/>
      <c r="I35" s="81"/>
      <c r="J35" s="81"/>
      <c r="K35" s="82"/>
      <c r="L35" s="1"/>
      <c r="M35" s="83" t="s">
        <v>47</v>
      </c>
      <c r="N35" s="85" t="s">
        <v>48</v>
      </c>
      <c r="O35" s="87" t="s">
        <v>49</v>
      </c>
      <c r="P35" s="89" t="s">
        <v>50</v>
      </c>
      <c r="Q35" s="91" t="s">
        <v>51</v>
      </c>
    </row>
    <row r="36" spans="1:17">
      <c r="A36" s="39"/>
      <c r="B36" s="41">
        <v>1</v>
      </c>
      <c r="C36" s="41" t="s">
        <v>52</v>
      </c>
      <c r="D36" s="41"/>
      <c r="E36" s="41"/>
      <c r="F36" s="41">
        <f>'2'!C10</f>
        <v>120</v>
      </c>
      <c r="G36" s="121">
        <f>'2'!C8</f>
        <v>4.525</v>
      </c>
      <c r="H36" s="42"/>
      <c r="I36" s="121">
        <f>'2'!C46</f>
        <v>7.3123608605472</v>
      </c>
      <c r="J36" s="119">
        <f>'2'!C44</f>
        <v>877.48330326567</v>
      </c>
      <c r="K36" s="120">
        <f>'2'!C47</f>
        <v>27.055735184025</v>
      </c>
      <c r="L36" s="42"/>
      <c r="M36" s="84"/>
      <c r="N36" s="86"/>
      <c r="O36" s="88"/>
      <c r="P36" s="90"/>
      <c r="Q36" s="92"/>
    </row>
    <row r="37" spans="1:17">
      <c r="A37" s="39"/>
      <c r="B37" s="41">
        <v>2</v>
      </c>
      <c r="C37" s="41" t="s">
        <v>53</v>
      </c>
      <c r="D37" s="41"/>
      <c r="E37" s="41"/>
      <c r="F37" s="62">
        <f>'2'!D10</f>
        <v>100</v>
      </c>
      <c r="G37" s="121">
        <f>'2'!D8</f>
        <v>5.9</v>
      </c>
      <c r="H37" s="61"/>
      <c r="I37" s="122">
        <f>'2'!D46</f>
        <v>10.073915642365</v>
      </c>
      <c r="J37" s="119">
        <f>'2'!D44</f>
        <v>1007.3915642365</v>
      </c>
      <c r="K37" s="120">
        <f>'2'!D47</f>
        <v>37.273487876752</v>
      </c>
      <c r="L37" s="42"/>
      <c r="M37" s="39">
        <v>1</v>
      </c>
      <c r="N37" s="40">
        <f>+B37</f>
        <v>2</v>
      </c>
      <c r="O37" s="43">
        <f>+F37</f>
        <v>100</v>
      </c>
      <c r="P37" s="44">
        <f>+H37</f>
        <v/>
      </c>
      <c r="Q37" s="45">
        <f>P37*3.8</f>
        <v>0</v>
      </c>
    </row>
    <row r="38" spans="1:17" customHeight="1" ht="15.6">
      <c r="A38" s="46"/>
      <c r="B38" s="63" t="s">
        <v>39</v>
      </c>
      <c r="C38" s="41"/>
      <c r="D38" s="41"/>
      <c r="E38" s="63"/>
      <c r="F38" s="63">
        <f>SUM(F36:F37)</f>
        <v>220</v>
      </c>
      <c r="G38" s="41"/>
      <c r="H38" s="42"/>
      <c r="I38" s="123"/>
      <c r="J38" s="125">
        <f>SUM(J36:J37)</f>
        <v>1884.8748675022</v>
      </c>
      <c r="K38" s="124"/>
      <c r="L38" s="41"/>
      <c r="M38" s="1"/>
      <c r="N38" s="1"/>
      <c r="O38" s="1"/>
      <c r="P38" s="1"/>
      <c r="Q38" s="1"/>
    </row>
    <row r="39" spans="1:17" customHeight="1" ht="15.6">
      <c r="A39" s="46"/>
      <c r="B39" s="34"/>
      <c r="C39" s="34"/>
      <c r="D39" s="34"/>
      <c r="E39" s="47"/>
      <c r="F39" s="34"/>
      <c r="G39" s="34"/>
      <c r="H39" s="1"/>
      <c r="I39" s="50"/>
      <c r="J39" s="48"/>
      <c r="K39" s="49"/>
      <c r="L39" s="1"/>
      <c r="M39" s="93" t="s">
        <v>54</v>
      </c>
      <c r="N39" s="93"/>
      <c r="O39" s="93"/>
      <c r="P39" s="94" t="s">
        <v>55</v>
      </c>
      <c r="Q39" s="95"/>
    </row>
    <row r="40" spans="1:17" customHeight="1" ht="18">
      <c r="A40" s="51" t="s">
        <v>56</v>
      </c>
      <c r="B40" s="3"/>
      <c r="C40" s="3"/>
      <c r="D40" s="3"/>
      <c r="E40" s="3"/>
      <c r="F40" s="3"/>
      <c r="G40" s="3"/>
      <c r="H40" s="3"/>
      <c r="I40" s="3"/>
      <c r="J40" s="3"/>
      <c r="K40" s="1"/>
      <c r="L40" s="1"/>
      <c r="M40" s="93"/>
      <c r="N40" s="93"/>
      <c r="O40" s="93"/>
      <c r="P40" s="96"/>
      <c r="Q40" s="97"/>
    </row>
    <row r="41" spans="1:17" customHeight="1" ht="21">
      <c r="A41" s="52" t="s">
        <v>57</v>
      </c>
      <c r="B41" s="3"/>
      <c r="C41" s="3"/>
      <c r="D41" s="3"/>
      <c r="E41" s="3"/>
      <c r="F41" s="3"/>
      <c r="G41" s="3"/>
      <c r="H41" s="3"/>
      <c r="I41" s="3"/>
      <c r="J41" s="3"/>
      <c r="K41" s="1"/>
      <c r="L41" s="1"/>
      <c r="M41" s="76" t="s">
        <v>58</v>
      </c>
      <c r="N41" s="77"/>
      <c r="O41" s="53" t="e">
        <f>+J31</f>
        <v>#VALUE!</v>
      </c>
      <c r="P41" s="54" t="s">
        <v>59</v>
      </c>
      <c r="Q41" s="1"/>
    </row>
    <row r="42" spans="1:17" customHeight="1" ht="21">
      <c r="A42" s="52" t="s">
        <v>60</v>
      </c>
      <c r="B42" s="3"/>
      <c r="C42" s="3"/>
      <c r="D42" s="3"/>
      <c r="E42" s="3"/>
      <c r="F42" s="3"/>
      <c r="G42" s="3"/>
      <c r="H42" s="3"/>
      <c r="I42" s="3"/>
      <c r="J42" s="3"/>
      <c r="K42" s="1"/>
      <c r="L42" s="1"/>
      <c r="M42" s="76" t="s">
        <v>61</v>
      </c>
      <c r="N42" s="77"/>
      <c r="O42" s="53">
        <f>+J32</f>
        <v>32.234981712268</v>
      </c>
      <c r="P42" s="54" t="s">
        <v>62</v>
      </c>
      <c r="Q42" s="1"/>
    </row>
    <row r="43" spans="1:17" customHeight="1" ht="18">
      <c r="A43" s="52" t="s">
        <v>63</v>
      </c>
      <c r="B43" s="3"/>
      <c r="C43" s="3"/>
      <c r="D43" s="3"/>
      <c r="E43" s="3"/>
      <c r="F43" s="3"/>
      <c r="G43" s="3"/>
      <c r="H43" s="3"/>
      <c r="I43" s="3"/>
      <c r="J43" s="3"/>
      <c r="K43" s="1"/>
      <c r="L43" s="1"/>
      <c r="M43" s="1"/>
      <c r="N43" s="1"/>
      <c r="O43" s="1"/>
      <c r="P43" s="1"/>
      <c r="Q43" s="1"/>
    </row>
    <row r="44" spans="1:17" customHeight="1" ht="18">
      <c r="A44" s="52" t="s">
        <v>64</v>
      </c>
      <c r="B44" s="3"/>
      <c r="C44" s="3"/>
      <c r="D44" s="3"/>
      <c r="E44" s="3"/>
      <c r="F44" s="3"/>
      <c r="G44" s="3"/>
      <c r="H44" s="3"/>
      <c r="I44" s="3"/>
      <c r="J44" s="3"/>
      <c r="K44" s="1"/>
      <c r="L44" s="1"/>
      <c r="M44" s="98" t="s">
        <v>65</v>
      </c>
      <c r="N44" s="98"/>
      <c r="O44" s="99" t="e">
        <f>+O41+O42+J14</f>
        <v>#VALUE!</v>
      </c>
      <c r="P44" s="101" t="s">
        <v>66</v>
      </c>
      <c r="Q44" s="102"/>
    </row>
    <row r="45" spans="1:17" customHeight="1" ht="18">
      <c r="A45" s="52" t="s">
        <v>67</v>
      </c>
      <c r="B45" s="3"/>
      <c r="C45" s="3"/>
      <c r="D45" s="3"/>
      <c r="E45" s="3"/>
      <c r="F45" s="3"/>
      <c r="G45" s="3"/>
      <c r="H45" s="3"/>
      <c r="I45" s="3"/>
      <c r="J45" s="3"/>
      <c r="K45" s="1"/>
      <c r="L45" s="1"/>
      <c r="M45" s="98"/>
      <c r="N45" s="98"/>
      <c r="O45" s="100"/>
      <c r="P45" s="101"/>
      <c r="Q45" s="102"/>
    </row>
    <row r="46" spans="1:17" customHeight="1" ht="18">
      <c r="A46" s="52" t="s">
        <v>68</v>
      </c>
      <c r="B46" s="3"/>
      <c r="C46" s="3"/>
      <c r="D46" s="3"/>
      <c r="E46" s="3"/>
      <c r="F46" s="3"/>
      <c r="G46" s="3"/>
      <c r="H46" s="3"/>
      <c r="I46" s="3"/>
      <c r="J46" s="3"/>
      <c r="K46" s="1"/>
      <c r="L46" s="1"/>
      <c r="M46" s="1"/>
      <c r="N46" s="1"/>
      <c r="O46" s="1"/>
      <c r="P46" s="1"/>
      <c r="Q46" s="1"/>
    </row>
    <row r="47" spans="1:17" customHeight="1" ht="18">
      <c r="A47" s="52" t="s">
        <v>69</v>
      </c>
      <c r="B47" s="3"/>
      <c r="C47" s="3"/>
      <c r="D47" s="3"/>
      <c r="E47" s="3"/>
      <c r="F47" s="3"/>
      <c r="G47" s="3"/>
      <c r="H47" s="3"/>
      <c r="I47" s="3"/>
      <c r="J47" s="3"/>
      <c r="K47" s="1"/>
      <c r="L47" s="1"/>
      <c r="M47" s="1"/>
      <c r="N47" s="1"/>
      <c r="O47" s="1"/>
      <c r="P47" s="1"/>
      <c r="Q47" s="1"/>
    </row>
    <row r="48" spans="1:17" customHeight="1" ht="18">
      <c r="A48" s="52" t="s">
        <v>70</v>
      </c>
      <c r="B48" s="3"/>
      <c r="C48" s="3"/>
      <c r="D48" s="3"/>
      <c r="E48" s="3"/>
      <c r="F48" s="3"/>
      <c r="G48" s="3"/>
      <c r="H48" s="3"/>
      <c r="I48" s="3"/>
      <c r="J48" s="3"/>
      <c r="K48" s="1"/>
      <c r="L48" s="1"/>
      <c r="M48" s="1"/>
      <c r="N48" s="1"/>
      <c r="O48" s="1"/>
      <c r="P48" s="1"/>
      <c r="Q48" s="1"/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3"/>
      <c r="K49" s="1"/>
      <c r="L49" s="1"/>
      <c r="M49" s="1"/>
      <c r="N49" s="1"/>
      <c r="O49" s="1"/>
      <c r="P49" s="1"/>
      <c r="Q49" s="1"/>
    </row>
    <row r="50" spans="1:17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customHeight="1" ht="18">
      <c r="A51" s="1"/>
      <c r="B51" s="1"/>
      <c r="C51" s="1"/>
      <c r="D51" s="1"/>
      <c r="E51" s="1"/>
      <c r="F51" s="1"/>
      <c r="G51" s="1"/>
      <c r="H51" s="2"/>
      <c r="I51" s="2"/>
      <c r="J51" s="2"/>
      <c r="K51" s="3"/>
      <c r="L51" s="1"/>
      <c r="M51" s="1"/>
      <c r="N51" s="1"/>
      <c r="O51" s="1"/>
      <c r="P51" s="1"/>
      <c r="Q51" s="1"/>
    </row>
    <row r="52" spans="1:17" customHeight="1" ht="18">
      <c r="A52" s="1"/>
      <c r="B52" s="1"/>
      <c r="C52" s="1"/>
      <c r="D52" s="1"/>
      <c r="E52" s="1"/>
      <c r="F52" s="1"/>
      <c r="G52" s="1"/>
      <c r="H52" s="2"/>
      <c r="I52" s="2"/>
      <c r="J52" s="2"/>
      <c r="K52" s="3"/>
      <c r="L52" s="1"/>
      <c r="M52" s="1"/>
      <c r="N52" s="1"/>
      <c r="O52" s="1"/>
      <c r="P52" s="1"/>
      <c r="Q52" s="1"/>
    </row>
    <row r="53" spans="1:17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>
      <c r="A54" s="1"/>
      <c r="B54" s="1"/>
      <c r="C54" s="1"/>
      <c r="D54" s="1"/>
      <c r="E54" s="1"/>
      <c r="F54" s="1"/>
      <c r="G54" s="1"/>
      <c r="H54" s="5"/>
      <c r="I54" s="5"/>
      <c r="J54" s="5"/>
      <c r="K54" s="1"/>
      <c r="L54" s="1"/>
      <c r="M54" s="1"/>
      <c r="N54" s="1"/>
      <c r="O54" s="1"/>
      <c r="P54" s="1"/>
      <c r="Q54" s="1"/>
    </row>
    <row r="55" spans="1:17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1:17" customHeight="1" ht="21">
      <c r="A56" s="103" t="s">
        <v>71</v>
      </c>
      <c r="B56" s="103"/>
      <c r="C56" s="103"/>
      <c r="D56" s="103"/>
      <c r="E56" s="103"/>
      <c r="F56" s="103"/>
      <c r="G56" s="103"/>
      <c r="H56" s="103"/>
      <c r="I56" s="103"/>
      <c r="J56" s="103"/>
      <c r="K56" s="103"/>
      <c r="L56" s="1"/>
      <c r="M56" s="1"/>
      <c r="N56" s="1"/>
      <c r="O56" s="1"/>
      <c r="P56" s="1"/>
      <c r="Q56" s="1"/>
    </row>
    <row r="57" spans="1:1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1:17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1:17">
      <c r="A60" s="55" t="s">
        <v>72</v>
      </c>
      <c r="B60" s="3"/>
      <c r="C60" s="3"/>
      <c r="D60" s="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1:17">
      <c r="A61" s="55" t="s">
        <v>73</v>
      </c>
      <c r="B61" s="3"/>
      <c r="C61" s="3"/>
      <c r="D61" s="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1:17">
      <c r="A62" s="3" t="s">
        <v>74</v>
      </c>
      <c r="B62" s="1"/>
      <c r="C62" s="3"/>
      <c r="D62" s="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1:17">
      <c r="A63" s="55" t="s">
        <v>75</v>
      </c>
      <c r="B63" s="3"/>
      <c r="C63" s="3"/>
      <c r="D63" s="3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1:17">
      <c r="A64" s="55" t="s">
        <v>76</v>
      </c>
      <c r="B64" s="3"/>
      <c r="C64" s="3"/>
      <c r="D64" s="3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1:17">
      <c r="A65" s="3" t="s">
        <v>77</v>
      </c>
      <c r="B65" s="1"/>
      <c r="C65" s="3"/>
      <c r="D65" s="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1:17">
      <c r="A66" s="55" t="s">
        <v>78</v>
      </c>
      <c r="B66" s="3"/>
      <c r="C66" s="3"/>
      <c r="D66" s="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1:17">
      <c r="A67" s="55" t="s">
        <v>79</v>
      </c>
      <c r="B67" s="3"/>
      <c r="C67" s="3"/>
      <c r="D67" s="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1:17">
      <c r="A68" s="55" t="s">
        <v>80</v>
      </c>
      <c r="B68" s="3"/>
      <c r="C68" s="3"/>
      <c r="D68" s="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>
      <c r="A69" s="55" t="s">
        <v>81</v>
      </c>
      <c r="B69" s="3"/>
      <c r="C69" s="3"/>
      <c r="D69" s="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1:17">
      <c r="A70" s="55" t="s">
        <v>82</v>
      </c>
      <c r="B70" s="3"/>
      <c r="C70" s="3"/>
      <c r="D70" s="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>
      <c r="A71" s="55" t="s">
        <v>83</v>
      </c>
      <c r="B71" s="3"/>
      <c r="C71" s="3"/>
      <c r="D71" s="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1:17">
      <c r="A72" s="55" t="s">
        <v>84</v>
      </c>
      <c r="B72" s="3"/>
      <c r="C72" s="3"/>
      <c r="D72" s="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>
      <c r="A73" s="55" t="s">
        <v>85</v>
      </c>
      <c r="B73" s="3"/>
      <c r="C73" s="3"/>
      <c r="D73" s="3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1:17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1:17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>
      <c r="A77" s="55" t="s">
        <v>86</v>
      </c>
      <c r="B77" s="3"/>
      <c r="C77" s="3"/>
      <c r="D77" s="3"/>
      <c r="E77" s="3"/>
      <c r="F77" s="3"/>
      <c r="G77" s="3"/>
      <c r="H77" s="3"/>
      <c r="I77" s="3"/>
      <c r="J77" s="3"/>
      <c r="K77" s="1"/>
      <c r="L77" s="1"/>
      <c r="M77" s="1"/>
      <c r="N77" s="1"/>
      <c r="O77" s="1"/>
      <c r="P77" s="1"/>
      <c r="Q77" s="1"/>
    </row>
    <row r="78" spans="1:17">
      <c r="A78" s="56" t="s">
        <v>87</v>
      </c>
      <c r="B78" s="3"/>
      <c r="C78" s="3"/>
      <c r="D78" s="3"/>
      <c r="E78" s="3"/>
      <c r="F78" s="3"/>
      <c r="G78" s="3"/>
      <c r="H78" s="3"/>
      <c r="I78" s="3"/>
      <c r="J78" s="3"/>
      <c r="K78" s="1"/>
      <c r="L78" s="1"/>
      <c r="M78" s="1"/>
      <c r="N78" s="1"/>
      <c r="O78" s="1"/>
      <c r="P78" s="1"/>
      <c r="Q78" s="1"/>
    </row>
    <row r="79" spans="1:17">
      <c r="A79" s="55" t="s">
        <v>88</v>
      </c>
      <c r="B79" s="3"/>
      <c r="C79" s="3"/>
      <c r="D79" s="3"/>
      <c r="E79" s="3"/>
      <c r="F79" s="3"/>
      <c r="G79" s="3"/>
      <c r="H79" s="3"/>
      <c r="I79" s="3"/>
      <c r="J79" s="3"/>
      <c r="K79" s="1"/>
      <c r="L79" s="1"/>
      <c r="M79" s="1"/>
      <c r="N79" s="1"/>
      <c r="O79" s="1"/>
      <c r="P79" s="1"/>
      <c r="Q79" s="1"/>
    </row>
    <row r="80" spans="1:17">
      <c r="A80" s="57" t="s">
        <v>89</v>
      </c>
      <c r="B80" s="1"/>
      <c r="C80" s="3"/>
      <c r="D80" s="3"/>
      <c r="E80" s="3"/>
      <c r="F80" s="3"/>
      <c r="G80" s="3"/>
      <c r="H80" s="3"/>
      <c r="I80" s="3"/>
      <c r="J80" s="3"/>
      <c r="K80" s="1"/>
      <c r="L80" s="1"/>
      <c r="M80" s="1"/>
      <c r="N80" s="1"/>
      <c r="O80" s="1"/>
      <c r="P80" s="1"/>
      <c r="Q80" s="1"/>
    </row>
    <row r="81" spans="1:17">
      <c r="A81" s="55" t="s">
        <v>90</v>
      </c>
      <c r="B81" s="3"/>
      <c r="C81" s="3"/>
      <c r="D81" s="3"/>
      <c r="E81" s="3"/>
      <c r="F81" s="3"/>
      <c r="G81" s="3"/>
      <c r="H81" s="3"/>
      <c r="I81" s="3"/>
      <c r="J81" s="3"/>
      <c r="K81" s="1"/>
      <c r="L81" s="1"/>
      <c r="M81" s="1"/>
      <c r="N81" s="1"/>
      <c r="O81" s="1"/>
      <c r="P81" s="1"/>
      <c r="Q81" s="1"/>
    </row>
    <row r="82" spans="1:17">
      <c r="A82" s="24" t="s">
        <v>91</v>
      </c>
      <c r="B82" s="1"/>
      <c r="C82" s="3"/>
      <c r="D82" s="3"/>
      <c r="E82" s="3"/>
      <c r="F82" s="3"/>
      <c r="G82" s="3"/>
      <c r="H82" s="3"/>
      <c r="I82" s="3"/>
      <c r="J82" s="3"/>
      <c r="K82" s="1"/>
      <c r="L82" s="1"/>
      <c r="M82" s="1"/>
      <c r="N82" s="1"/>
      <c r="O82" s="1"/>
      <c r="P82" s="1"/>
      <c r="Q82" s="1"/>
    </row>
    <row r="83" spans="1:17">
      <c r="A83" s="55" t="s">
        <v>92</v>
      </c>
      <c r="B83" s="3"/>
      <c r="C83" s="3"/>
      <c r="D83" s="3"/>
      <c r="E83" s="3"/>
      <c r="F83" s="3"/>
      <c r="G83" s="3"/>
      <c r="H83" s="3"/>
      <c r="I83" s="3"/>
      <c r="J83" s="3"/>
      <c r="K83" s="1"/>
      <c r="L83" s="1"/>
      <c r="M83" s="1"/>
      <c r="N83" s="1"/>
      <c r="O83" s="1"/>
      <c r="P83" s="1"/>
      <c r="Q83" s="1"/>
    </row>
    <row r="84" spans="1:17">
      <c r="A84" s="55" t="s">
        <v>93</v>
      </c>
      <c r="B84" s="3"/>
      <c r="C84" s="3"/>
      <c r="D84" s="3"/>
      <c r="E84" s="3"/>
      <c r="F84" s="3"/>
      <c r="G84" s="3"/>
      <c r="H84" s="3"/>
      <c r="I84" s="3"/>
      <c r="J84" s="3"/>
      <c r="K84" s="1"/>
      <c r="L84" s="1"/>
      <c r="M84" s="1"/>
      <c r="N84" s="1"/>
      <c r="O84" s="1"/>
      <c r="P84" s="1"/>
      <c r="Q84" s="1"/>
    </row>
    <row r="85" spans="1:17">
      <c r="A85" s="55" t="s">
        <v>94</v>
      </c>
      <c r="B85" s="3"/>
      <c r="C85" s="3"/>
      <c r="D85" s="3"/>
      <c r="E85" s="3"/>
      <c r="F85" s="3"/>
      <c r="G85" s="3"/>
      <c r="H85" s="3"/>
      <c r="I85" s="3"/>
      <c r="J85" s="3"/>
      <c r="K85" s="1"/>
      <c r="L85" s="1"/>
      <c r="M85" s="1"/>
      <c r="N85" s="1"/>
      <c r="O85" s="1"/>
      <c r="P85" s="1"/>
      <c r="Q85" s="1"/>
    </row>
    <row r="86" spans="1:17">
      <c r="A86" s="55" t="s">
        <v>95</v>
      </c>
      <c r="B86" s="3"/>
      <c r="C86" s="3"/>
      <c r="D86" s="3"/>
      <c r="E86" s="3"/>
      <c r="F86" s="3"/>
      <c r="G86" s="3"/>
      <c r="H86" s="3"/>
      <c r="I86" s="3"/>
      <c r="J86" s="3"/>
      <c r="K86" s="1"/>
      <c r="L86" s="1"/>
      <c r="M86" s="1"/>
      <c r="N86" s="1"/>
      <c r="O86" s="1"/>
      <c r="P86" s="1"/>
      <c r="Q86" s="1"/>
    </row>
    <row r="87" spans="1:17">
      <c r="A87" s="55" t="s">
        <v>96</v>
      </c>
      <c r="B87" s="3"/>
      <c r="C87" s="3"/>
      <c r="D87" s="3"/>
      <c r="E87" s="3"/>
      <c r="F87" s="3"/>
      <c r="G87" s="3"/>
      <c r="H87" s="3"/>
      <c r="I87" s="3"/>
      <c r="J87" s="3"/>
      <c r="K87" s="1"/>
      <c r="L87" s="1"/>
      <c r="M87" s="1"/>
      <c r="N87" s="1"/>
      <c r="O87" s="1"/>
      <c r="P87" s="1"/>
      <c r="Q87" s="1"/>
    </row>
    <row r="88" spans="1:17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1:17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55" t="s">
        <v>97</v>
      </c>
      <c r="B91" s="3"/>
      <c r="C91" s="3"/>
      <c r="D91" s="3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>
      <c r="A92" s="55" t="s">
        <v>98</v>
      </c>
      <c r="B92" s="3"/>
      <c r="C92" s="3"/>
      <c r="D92" s="3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1:17">
      <c r="A93" s="58" t="s">
        <v>99</v>
      </c>
      <c r="B93" s="3"/>
      <c r="C93" s="3"/>
      <c r="D93" s="3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>
      <c r="A94" s="58" t="s">
        <v>100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1:17">
      <c r="A95" s="58" t="s">
        <v>101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1:1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1:17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1:17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1:17">
      <c r="A100" s="1"/>
      <c r="B100" s="5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1:17" customHeight="1" ht="15.6">
      <c r="A101" s="1"/>
      <c r="B101" s="59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1:17" customHeight="1" ht="15.6">
      <c r="A102" s="1"/>
      <c r="B102" s="59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1:17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1:17">
      <c r="A104" s="1"/>
      <c r="B104" s="1"/>
      <c r="C104" s="47"/>
      <c r="D104" s="1"/>
      <c r="E104" s="1"/>
      <c r="F104" s="1"/>
      <c r="G104" s="1"/>
      <c r="H104" s="47"/>
      <c r="I104" s="47"/>
      <c r="J104" s="47"/>
      <c r="K104" s="1"/>
      <c r="L104" s="1"/>
      <c r="M104" s="1"/>
      <c r="N104" s="1"/>
      <c r="O104" s="1"/>
      <c r="P104" s="1"/>
      <c r="Q104" s="1"/>
    </row>
    <row r="105" spans="1:17">
      <c r="A105" s="1"/>
      <c r="B105" s="1"/>
      <c r="C105" s="47"/>
      <c r="D105" s="1"/>
      <c r="E105" s="1"/>
      <c r="F105" s="1"/>
      <c r="G105" s="1"/>
      <c r="H105" s="47"/>
      <c r="I105" s="47"/>
      <c r="J105" s="47"/>
      <c r="K105" s="1"/>
      <c r="L105" s="1"/>
      <c r="M105" s="1"/>
      <c r="N105" s="1"/>
      <c r="O105" s="1"/>
      <c r="P105" s="1"/>
      <c r="Q105" s="1"/>
    </row>
    <row r="106" spans="1:17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/>
      <c r="B107" s="1"/>
      <c r="C107" s="34"/>
      <c r="D107" s="1"/>
      <c r="E107" s="1"/>
      <c r="F107" s="1"/>
      <c r="G107" s="1"/>
      <c r="H107" s="34"/>
      <c r="I107" s="34"/>
      <c r="J107" s="34"/>
      <c r="K107" s="1"/>
      <c r="L107" s="1"/>
      <c r="M107" s="1"/>
      <c r="N107" s="1"/>
      <c r="O107" s="1"/>
      <c r="P107" s="1"/>
      <c r="Q107" s="1"/>
    </row>
    <row r="108" spans="1:17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1:17" customHeight="1" ht="15.6">
      <c r="A109" s="1"/>
      <c r="B109" s="60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1:17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1:17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1:17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1:17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</sheetData>
  <mergeCells>
    <mergeCell ref="M42:N42"/>
    <mergeCell ref="M44:N45"/>
    <mergeCell ref="O44:O45"/>
    <mergeCell ref="P44:Q45"/>
    <mergeCell ref="A56:K56"/>
    <mergeCell ref="M41:N41"/>
    <mergeCell ref="M33:Q34"/>
    <mergeCell ref="A35:K35"/>
    <mergeCell ref="M35:M36"/>
    <mergeCell ref="N35:N36"/>
    <mergeCell ref="O35:O36"/>
    <mergeCell ref="P35:P36"/>
    <mergeCell ref="Q35:Q36"/>
    <mergeCell ref="B36:D36"/>
    <mergeCell ref="F36:G36"/>
    <mergeCell ref="J36:K36"/>
    <mergeCell ref="B37:D37"/>
    <mergeCell ref="F37:G37"/>
    <mergeCell ref="J37:K37"/>
    <mergeCell ref="M39:O40"/>
    <mergeCell ref="P39:Q40"/>
    <mergeCell ref="A29:E29"/>
    <mergeCell ref="F3:I3"/>
    <mergeCell ref="F4:I4"/>
    <mergeCell ref="D7:F7"/>
    <mergeCell ref="I8:K8"/>
    <mergeCell ref="E9:F9"/>
    <mergeCell ref="I9:K9"/>
    <mergeCell ref="I11:K11"/>
    <mergeCell ref="A13:E13"/>
    <mergeCell ref="A14:C14"/>
    <mergeCell ref="A15:C15"/>
    <mergeCell ref="A19:E19"/>
    <mergeCell ref="C8:C9"/>
    <mergeCell ref="C36:E36"/>
    <mergeCell ref="G36:H36"/>
    <mergeCell ref="K36:L36"/>
    <mergeCell ref="C37:E37"/>
    <mergeCell ref="G37:H37"/>
    <mergeCell ref="K37:L37"/>
  </mergeCells>
  <dataValidations count="2">
    <dataValidation type="list" allowBlank="1" showDropDown="0" showInputMessage="1" showErrorMessage="1" sqref="E11">
      <formula1>$W$4:$W$8</formula1>
    </dataValidation>
    <dataValidation type="custom" allowBlank="0" showDropDown="0" showInputMessage="1" showErrorMessage="1" errorTitle="COMPROBAR CANTIDAD DE CAJAS" error="Se debe ingresar la cantidad de cajas" sqref="I11">
      <formula1>I8&gt;0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47"/>
  <sheetViews>
    <sheetView tabSelected="1" workbookViewId="0" showGridLines="true" showRowColHeaders="1">
      <selection activeCell="B40" sqref="B40:F47"/>
    </sheetView>
  </sheetViews>
  <sheetFormatPr defaultRowHeight="14.4" outlineLevelRow="0" outlineLevelCol="0"/>
  <cols>
    <col min="2" max="2" width="24.708" bestFit="true" customWidth="true" style="0"/>
    <col min="3" max="3" width="34.135" bestFit="true" customWidth="true" style="0"/>
    <col min="4" max="4" width="34.135" bestFit="true" customWidth="true" style="0"/>
  </cols>
  <sheetData>
    <row r="3" spans="1:9">
      <c r="B3" s="105" t="s">
        <v>102</v>
      </c>
      <c r="C3" s="104"/>
      <c r="D3" s="104"/>
      <c r="E3" s="104"/>
      <c r="F3" s="104"/>
      <c r="G3" s="104"/>
    </row>
    <row r="5" spans="1:9">
      <c r="B5" s="108" t="s">
        <v>103</v>
      </c>
      <c r="C5" s="110" t="s">
        <v>52</v>
      </c>
      <c r="D5" s="110" t="s">
        <v>53</v>
      </c>
      <c r="E5" s="110" t="s">
        <v>118</v>
      </c>
      <c r="F5" s="104"/>
    </row>
    <row r="6" spans="1:9">
      <c r="B6" s="104" t="s">
        <v>104</v>
      </c>
      <c r="C6" s="104">
        <v>0</v>
      </c>
      <c r="D6" s="104">
        <v>0</v>
      </c>
      <c r="E6" s="113">
        <v>116.0</v>
      </c>
      <c r="F6" s="104"/>
      <c r="H6" t="s">
        <v>119</v>
      </c>
      <c r="I6" t="s">
        <v>120</v>
      </c>
    </row>
    <row r="7" spans="1:9">
      <c r="B7" s="104" t="s">
        <v>105</v>
      </c>
      <c r="C7" s="104">
        <v>0</v>
      </c>
      <c r="D7" s="104">
        <v>0</v>
      </c>
      <c r="E7" s="114">
        <v>1.1</v>
      </c>
      <c r="F7" s="104"/>
      <c r="H7" t="s">
        <v>19</v>
      </c>
      <c r="I7">
        <v>350</v>
      </c>
    </row>
    <row r="8" spans="1:9">
      <c r="B8" s="104" t="s">
        <v>106</v>
      </c>
      <c r="C8" s="111">
        <v>4.525</v>
      </c>
      <c r="D8" s="111">
        <v>5.9</v>
      </c>
      <c r="E8" s="104"/>
      <c r="F8" s="104"/>
    </row>
    <row r="9" spans="1:9">
      <c r="B9" s="109" t="s">
        <v>107</v>
      </c>
      <c r="C9" s="111">
        <v>0.0</v>
      </c>
      <c r="D9" s="111">
        <v>0.0</v>
      </c>
      <c r="E9" s="104"/>
      <c r="F9" s="104"/>
    </row>
    <row r="10" spans="1:9">
      <c r="B10" s="104" t="s">
        <v>108</v>
      </c>
      <c r="C10" s="104">
        <v>120.0</v>
      </c>
      <c r="D10" s="104">
        <v>100.0</v>
      </c>
      <c r="E10" s="104">
        <f>SUM(C10:D10)</f>
        <v>220</v>
      </c>
      <c r="F10" s="104"/>
    </row>
    <row r="11" spans="1:9">
      <c r="B11" s="104" t="s">
        <v>109</v>
      </c>
      <c r="C11" s="111">
        <f>C8*C10</f>
        <v>543</v>
      </c>
      <c r="D11" s="111">
        <f>D8*D10</f>
        <v>590</v>
      </c>
      <c r="E11" s="104">
        <f>SUM(C11:D11)</f>
        <v>1133</v>
      </c>
      <c r="F11" s="104"/>
    </row>
    <row r="12" spans="1:9">
      <c r="B12" s="109" t="s">
        <v>110</v>
      </c>
      <c r="C12" s="111">
        <f>C10*C9</f>
        <v>0</v>
      </c>
      <c r="D12" s="111">
        <f>D10*D9</f>
        <v>0</v>
      </c>
      <c r="E12" s="104"/>
      <c r="F12" s="104"/>
    </row>
    <row r="13" spans="1:9">
      <c r="B13" s="104" t="s">
        <v>111</v>
      </c>
      <c r="C13" s="112">
        <f>C11/E11</f>
        <v>0.4792586054722</v>
      </c>
      <c r="D13" s="112">
        <f>D11/E11</f>
        <v>0.5207413945278</v>
      </c>
      <c r="E13" s="104"/>
      <c r="F13" s="104"/>
    </row>
    <row r="14" spans="1:9">
      <c r="B14" s="104" t="s">
        <v>112</v>
      </c>
      <c r="C14" s="111">
        <f>E14*C13</f>
        <v>110.70873786408</v>
      </c>
      <c r="D14" s="111">
        <f>E14*D13</f>
        <v>120.29126213592</v>
      </c>
      <c r="E14" s="104">
        <f>IF(E7&lt;1, I7*0.6, I7*0.6*E7)</f>
        <v>231</v>
      </c>
      <c r="F14" s="104"/>
    </row>
    <row r="15" spans="1:9">
      <c r="B15" s="104" t="s">
        <v>113</v>
      </c>
      <c r="C15" s="111">
        <f>C11+C14</f>
        <v>653.70873786408</v>
      </c>
      <c r="D15" s="111">
        <f>D11+D14</f>
        <v>710.29126213592</v>
      </c>
      <c r="E15" s="115">
        <f>SUM(C15:D15)</f>
        <v>1364</v>
      </c>
      <c r="F15" s="104"/>
    </row>
    <row r="16" spans="1:9">
      <c r="B16" s="109" t="s">
        <v>114</v>
      </c>
      <c r="C16" s="111">
        <f>C12+C14</f>
        <v>110.70873786408</v>
      </c>
      <c r="D16" s="111">
        <f>D12+D14</f>
        <v>120.29126213592</v>
      </c>
      <c r="E16" s="104"/>
      <c r="F16" s="104"/>
    </row>
    <row r="17" spans="1:9">
      <c r="B17" s="104" t="s">
        <v>115</v>
      </c>
      <c r="C17" s="111">
        <f>IF(E11&gt;5000,100*C13,50*C13)</f>
        <v>23.96293027361</v>
      </c>
      <c r="D17" s="111">
        <f>IF(E11&gt;5000,100*D13,50*D13)</f>
        <v>26.03706972639</v>
      </c>
      <c r="E17" s="104"/>
      <c r="F17" s="104"/>
    </row>
    <row r="18" spans="1:9">
      <c r="B18" s="104" t="s">
        <v>116</v>
      </c>
      <c r="C18" s="111">
        <f>C15+C17</f>
        <v>677.67166813769</v>
      </c>
      <c r="D18" s="111">
        <f>D15+D17</f>
        <v>736.32833186231</v>
      </c>
      <c r="E18" s="104"/>
      <c r="F18" s="104"/>
    </row>
    <row r="19" spans="1:9">
      <c r="B19" s="109" t="s">
        <v>117</v>
      </c>
      <c r="C19" s="111">
        <f>C16+C17</f>
        <v>134.67166813769</v>
      </c>
      <c r="D19" s="111">
        <f>D16+D17</f>
        <v>146.32833186231</v>
      </c>
      <c r="E19" s="104"/>
      <c r="F19" s="104"/>
    </row>
    <row r="23" spans="1:9">
      <c r="B23" s="105" t="s">
        <v>121</v>
      </c>
      <c r="C23" s="104"/>
      <c r="D23" s="104"/>
      <c r="E23" s="104"/>
    </row>
    <row r="26" spans="1:9">
      <c r="B26" t="s">
        <v>35</v>
      </c>
      <c r="C26" s="106">
        <v>0</v>
      </c>
      <c r="D26" s="106">
        <v>0</v>
      </c>
      <c r="E26" s="106">
        <f>SUM(C26:D26)</f>
        <v>0</v>
      </c>
    </row>
    <row r="27" spans="1:9">
      <c r="C27" s="107">
        <v>0.0</v>
      </c>
      <c r="D27" s="107">
        <v>0.06</v>
      </c>
    </row>
    <row r="28" spans="1:9">
      <c r="B28" s="104" t="s">
        <v>122</v>
      </c>
      <c r="C28" s="111">
        <f>MAX(C19,C18)*C27</f>
        <v>0</v>
      </c>
      <c r="D28" s="111">
        <f>MAX(D19,D18)*D27</f>
        <v>44.179699911739</v>
      </c>
      <c r="E28" s="111">
        <f>SUM(C28:D28)</f>
        <v>44.179699911739</v>
      </c>
      <c r="F28" s="104"/>
    </row>
    <row r="29" spans="1:9">
      <c r="B29" s="104" t="s">
        <v>33</v>
      </c>
      <c r="C29" s="111">
        <f>0.16*(MAX(C19,C18)+C28)</f>
        <v>108.42746690203</v>
      </c>
      <c r="D29" s="111">
        <f>0.16*(MAX(D19,D18)+D28)</f>
        <v>124.88128508385</v>
      </c>
      <c r="E29" s="111">
        <f>SUM(C29:D29)</f>
        <v>233.30875198588</v>
      </c>
      <c r="F29" s="104"/>
    </row>
    <row r="30" spans="1:9">
      <c r="B30" s="104" t="s">
        <v>34</v>
      </c>
      <c r="C30" s="111">
        <f>0.02*(MAX(C19,C18)+C28)</f>
        <v>13.553433362754</v>
      </c>
      <c r="D30" s="111">
        <f>0.02*(MAX(D19,D18)+D28)</f>
        <v>15.610160635481</v>
      </c>
      <c r="E30" s="111">
        <f>SUM(C30:D30)</f>
        <v>29.163593998235</v>
      </c>
      <c r="F30" s="104"/>
    </row>
    <row r="31" spans="1:9">
      <c r="B31" s="104" t="s">
        <v>123</v>
      </c>
      <c r="C31" s="111">
        <f>0.035*(MAX(C18,C19) +C28+C29+C30)</f>
        <v>27.987839894086</v>
      </c>
      <c r="D31" s="111">
        <f>0.035*(MAX(D18,D19) +D28+D29+D30)</f>
        <v>32.234981712268</v>
      </c>
      <c r="E31" s="111">
        <f>SUM(C31:D31)</f>
        <v>60.222821606355</v>
      </c>
      <c r="F31" s="104"/>
    </row>
    <row r="32" spans="1:9">
      <c r="B32" s="104" t="s">
        <v>39</v>
      </c>
      <c r="C32" s="111">
        <f>SUM(C28:C31)</f>
        <v>149.96874015887</v>
      </c>
      <c r="D32" s="111">
        <f>SUM(D28:D31)</f>
        <v>216.90612734334</v>
      </c>
      <c r="E32" s="111">
        <f>SUM(E28:E31)</f>
        <v>366.87486750221</v>
      </c>
      <c r="F32" s="104"/>
    </row>
    <row r="37" spans="1:9">
      <c r="B37" s="105" t="s">
        <v>124</v>
      </c>
      <c r="C37" s="104"/>
      <c r="D37" s="104"/>
      <c r="E37" s="104"/>
    </row>
    <row r="40" spans="1:9">
      <c r="B40" s="104" t="s">
        <v>125</v>
      </c>
      <c r="C40" s="111">
        <f>C13*E40</f>
        <v>73.805825242718</v>
      </c>
      <c r="D40" s="111">
        <f>D13*E40</f>
        <v>80.194174757282</v>
      </c>
      <c r="E40" s="104">
        <f>IF(E7&lt;1, I7*0.4, I7*0.4*E7)</f>
        <v>154</v>
      </c>
      <c r="F40" s="104"/>
    </row>
    <row r="41" spans="1:9">
      <c r="B41" s="104"/>
      <c r="C41" s="104"/>
      <c r="D41" s="104"/>
      <c r="E41" s="104"/>
      <c r="F41" s="104"/>
    </row>
    <row r="42" spans="1:9">
      <c r="B42" s="104"/>
      <c r="C42" s="104"/>
      <c r="D42" s="104"/>
      <c r="E42" s="104"/>
      <c r="F42" s="104"/>
    </row>
    <row r="43" spans="1:9">
      <c r="B43" s="104" t="s">
        <v>125</v>
      </c>
      <c r="C43" s="104" t="s">
        <v>52</v>
      </c>
      <c r="D43" s="104" t="s">
        <v>53</v>
      </c>
      <c r="E43" s="104" t="s">
        <v>118</v>
      </c>
      <c r="F43" s="104"/>
    </row>
    <row r="44" spans="1:9">
      <c r="B44" s="104" t="s">
        <v>126</v>
      </c>
      <c r="C44" s="111">
        <f>SUM(C15,C40,C32,(C26))</f>
        <v>877.48330326567</v>
      </c>
      <c r="D44" s="111">
        <f>SUM(D15,D40,D32,(D26))</f>
        <v>1007.3915642365</v>
      </c>
      <c r="E44" s="111">
        <f>SUM(C44:D44)</f>
        <v>1884.8748675022</v>
      </c>
      <c r="F44" s="104"/>
    </row>
    <row r="45" spans="1:9">
      <c r="B45" s="104" t="s">
        <v>127</v>
      </c>
      <c r="C45" s="104">
        <v>120.0</v>
      </c>
      <c r="D45" s="104">
        <v>100.0</v>
      </c>
      <c r="E45" s="104"/>
      <c r="F45" s="104"/>
    </row>
    <row r="46" spans="1:9">
      <c r="B46" s="104" t="s">
        <v>128</v>
      </c>
      <c r="C46" s="111">
        <f>SUM(C44/C45)</f>
        <v>7.3123608605472</v>
      </c>
      <c r="D46" s="111">
        <f>SUM(D44/D45)</f>
        <v>10.073915642365</v>
      </c>
      <c r="E46" s="104"/>
      <c r="F46" s="104"/>
    </row>
    <row r="47" spans="1:9">
      <c r="B47" s="104" t="s">
        <v>129</v>
      </c>
      <c r="C47" s="116">
        <f>C46*3.7</f>
        <v>27.055735184025</v>
      </c>
      <c r="D47" s="116">
        <f>D46*3.7</f>
        <v>37.273487876752</v>
      </c>
      <c r="E47" s="104"/>
      <c r="F47" s="104"/>
    </row>
  </sheetData>
  <mergeCells>
    <mergeCell ref="B3:G3"/>
    <mergeCell ref="B23:E23"/>
    <mergeCell ref="B37:E3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u202412824 (Torres Cuya, Francis Cristofer)</dc:creator>
  <cp:lastModifiedBy>Lenovo</cp:lastModifiedBy>
  <dcterms:created xsi:type="dcterms:W3CDTF">2025-08-27T22:00:37+00:00</dcterms:created>
  <dcterms:modified xsi:type="dcterms:W3CDTF">2025-08-28T18:02:10+00:00</dcterms:modified>
  <dc:title/>
  <dc:description/>
  <dc:subject/>
  <cp:keywords/>
  <cp:category/>
</cp:coreProperties>
</file>