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<sst xmlns="http://schemas.openxmlformats.org/spreadsheetml/2006/main" uniqueCount="135">
  <si>
    <t>COTIZACION Nº20240000001</t>
  </si>
  <si>
    <t>NOMBRE:</t>
  </si>
  <si>
    <t>Edison Benicio Mayhualla</t>
  </si>
  <si>
    <t>MARIBEL VILMA GONZALES HUANCA</t>
  </si>
  <si>
    <t>SERVICIO:</t>
  </si>
  <si>
    <t>CARGA CONSOLIDADA</t>
  </si>
  <si>
    <t>N° CAJAS:</t>
  </si>
  <si>
    <t>DNI/RUC:</t>
  </si>
  <si>
    <t>FECHA:</t>
  </si>
  <si>
    <t>PESO:</t>
  </si>
  <si>
    <t>100 Kg</t>
  </si>
  <si>
    <t>CORREO:</t>
  </si>
  <si>
    <t>ORIGEN:</t>
  </si>
  <si>
    <t>CHINA</t>
  </si>
  <si>
    <t>MEDIDA</t>
  </si>
  <si>
    <t>TELEFONO:</t>
  </si>
  <si>
    <t>51 940 469 505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</si>
  <si>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</si>
  <si>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</si>
  <si>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</si>
  <si>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</si>
  <si>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</si>
  <si>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</si>
  <si>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</si>
  <si>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</si>
  <si>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</si>
  <si>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</si>
  <si>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</si>
  <si>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</si>
  <si>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</si>
  <si>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</si>
  <si>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MARIBEL VILMA GONZALES HUANCA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</si>
  <si>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</si>
  <si>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</si>
  <si>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</si>
  <si>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</si>
  <si>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</si>
  <si>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</si>
  <si>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</si>
  <si>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</si>
  <si>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</si>
  <si>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</si>
  <si>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</si>
  <si>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</si>
  <si>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</si>
  <si>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</si>
  <si>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</si>
  <si>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</si>
  <si>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</si>
  <si>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</si>
  <si>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</si>
  <si>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GORRO CON TRENZAS PARA NIÑA</t>
  </si>
  <si>
    <t>SOMBRERO MODELO CON OREJITAS</t>
  </si>
  <si>
    <t>SOMBRERO VINTAGE PARA NIÑA</t>
  </si>
  <si>
    <t>SOMBRERO DE VERANO PARA NIÑAS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</si>
  <si>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</si>
  <si>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</si>
  <si>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</si>
  <si>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</si>
  <si>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</si>
  <si>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</si>
  <si>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</si>
  <si>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</si>
  <si>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</si>
  <si>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</si>
  <si>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</si>
  <si>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</si>
  <si>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</si>
  <si>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</si>
  <si>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</si>
  <si>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</si>
  <si>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</si>
  <si>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</si>
  <si>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</si>
  <si>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</si>
  <si>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</si>
  <si>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</si>
  <si>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</si>
  <si>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</si>
  <si>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</si>
  <si>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</si>
  <si>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</si>
  <si>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</si>
  <si>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</si>
  <si>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</si>
  <si>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</si>
  <si>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</si>
  <si>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</si>
  <si>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</si>
  <si>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</si>
  <si>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</si>
  <si>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</si>
  <si>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</si>
  <si>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</si>
  <si>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</si>
  <si>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</si>
  <si>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</si>
  <si>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</si>
  <si>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</si>
  <si>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</si>
  <si>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</si>
  <si>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</si>
  <si>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</si>
  <si>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</si>
  <si>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</si>
  <si>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</si>
  <si>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</si>
  <si>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</si>
  <si>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</si>
  <si>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</si>
  <si>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</si>
  <si>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</si>
  <si>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</si>
  <si>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</si>
  <si>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</si>
  <si>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</si>
  <si>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</si>
  <si>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</si>
  <si>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</si>
  <si>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SOMBRERO MODELO GIRASOL</t>
  </si>
  <si>
    <t>GORRO MODELO LAZO</t>
  </si>
  <si>
    <t>GORRO CON CUELLERA PARA INVIERNO</t>
  </si>
  <si>
    <t>GORRO DE INVIERNO MODELO CASTOR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</si>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</sst>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2" numFmtId="0" fillId="2" borderId="9" applyFont="1" applyNumberFormat="0" applyFill="1" applyBorder="1" applyAlignment="0"/>
    <xf xfId="0" fontId="4" numFmtId="0" fillId="2" borderId="9" applyFont="1" applyNumberFormat="0" applyFill="1" applyBorder="1" applyAlignment="0"/>
    <xf xfId="0" fontId="4" numFmtId="174" fillId="2" borderId="9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40" sqref="J40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SOMBRERO MODELO CON OREJITAS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45917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41877382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18</v>
      </c>
      <c r="G11" s="1"/>
      <c r="H11" s="1" t="s">
        <v>19</v>
      </c>
      <c r="I11" s="69" t="s">
        <v>20</v>
      </c>
      <c r="J11" s="115">
        <f>'2'!J7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21</v>
      </c>
      <c r="B13" s="70"/>
      <c r="C13" s="70"/>
      <c r="D13" s="70"/>
      <c r="E13" s="70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1" t="s">
        <v>24</v>
      </c>
      <c r="B14" s="71"/>
      <c r="C14" s="71"/>
      <c r="D14" s="3"/>
      <c r="E14" s="3"/>
      <c r="F14" s="3"/>
      <c r="G14" s="3"/>
      <c r="H14" s="1"/>
      <c r="I14" s="1"/>
      <c r="J14" s="25">
        <f>'2'!D18</f>
        <v>662.3623731017</v>
      </c>
      <c r="K14" s="26">
        <f>'2'!J11</f>
        <v>215.6</v>
      </c>
      <c r="L14" s="1"/>
      <c r="M14" s="1"/>
      <c r="N14" s="1"/>
      <c r="O14" s="1"/>
      <c r="P14" s="1"/>
      <c r="Q14" s="1"/>
    </row>
    <row r="15" spans="1:17">
      <c r="A15" s="72" t="s">
        <v>25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'2'!J14 + '2'!J17</f>
        <v>20.637101142642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28</v>
      </c>
      <c r="B19" s="70"/>
      <c r="C19" s="70"/>
      <c r="D19" s="70"/>
      <c r="E19" s="70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'2'!J28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'2'!J29</f>
        <v>37.797936182823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'2'!J30</f>
        <v>4.7247420228528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9.8614745374943</v>
      </c>
      <c r="J23" s="27">
        <f>'2'!D31</f>
        <v>27.3555660091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27.3555660091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'2'!J31</f>
        <v>9.7565922771911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27.3555660091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39</v>
      </c>
      <c r="B29" s="61"/>
      <c r="C29" s="61"/>
      <c r="D29" s="61"/>
      <c r="E29" s="61"/>
      <c r="F29" s="37"/>
      <c r="G29" s="37"/>
      <c r="H29" s="38"/>
      <c r="I29" s="38"/>
      <c r="J29" s="38" t="s">
        <v>22</v>
      </c>
      <c r="K29" s="38">
        <f>K14</f>
        <v>215.6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>662.3623731017</v>
      </c>
      <c r="K30" s="26">
        <f>IF(J11&lt;1, 350, 350*J11)</f>
        <v>350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52.279270482867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27.3555660091</v>
      </c>
      <c r="K32" s="28">
        <f>K29+K30+K31</f>
        <v>617.87927048287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75" t="s">
        <v>44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45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46</v>
      </c>
      <c r="N35" s="82" t="s">
        <v>47</v>
      </c>
      <c r="O35" s="84" t="s">
        <v>48</v>
      </c>
      <c r="P35" s="86" t="s">
        <v>49</v>
      </c>
      <c r="Q35" s="88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250</v>
      </c>
      <c r="G36" s="118">
        <f>'2'!C8</f>
        <v>1.8</v>
      </c>
      <c r="H36" s="42"/>
      <c r="I36" s="118">
        <f>'2'!C46</f>
        <v>2.4853902673388</v>
      </c>
      <c r="J36" s="116">
        <f>'2'!C44</f>
        <v>621.3475668347</v>
      </c>
      <c r="K36" s="117">
        <f>'2'!C47</f>
        <v>9.1959439891535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52</v>
      </c>
      <c r="D37" s="41"/>
      <c r="E37" s="41"/>
      <c r="F37" s="59">
        <f>'2'!D10</f>
        <v>390</v>
      </c>
      <c r="G37" s="118">
        <f>'2'!D8</f>
        <v>1.55</v>
      </c>
      <c r="H37" s="58"/>
      <c r="I37" s="119">
        <f>'2'!D46</f>
        <v>2.1401971746528</v>
      </c>
      <c r="J37" s="116">
        <f>'2'!D44</f>
        <v>834.67689811461</v>
      </c>
      <c r="K37" s="117">
        <f>'2'!D47</f>
        <v>7.9187295462155</v>
      </c>
      <c r="L37" s="42"/>
      <c r="M37" s="39">
        <v>1</v>
      </c>
      <c r="N37" s="40">
        <f>+B37</f>
        <v>2</v>
      </c>
      <c r="O37" s="43">
        <f>+F37</f>
        <v>390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53</v>
      </c>
      <c r="D38" s="41"/>
      <c r="E38" s="60"/>
      <c r="F38" s="41">
        <f>'2'!E10</f>
        <v>199</v>
      </c>
      <c r="G38" s="118">
        <f>'2'!E8</f>
        <v>2.05</v>
      </c>
      <c r="H38" s="42"/>
      <c r="I38" s="120">
        <f>'2'!E46</f>
        <v>2.8305833600247</v>
      </c>
      <c r="J38" s="121">
        <f>'2'!E44</f>
        <v>563.28608864492</v>
      </c>
      <c r="K38" s="122">
        <f>'2'!E47</f>
        <v>10.473158432091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41">
        <v>4</v>
      </c>
      <c r="C39" s="41" t="s">
        <v>54</v>
      </c>
      <c r="D39" s="41"/>
      <c r="E39" s="60"/>
      <c r="F39" s="41">
        <f>'2'!F10</f>
        <v>265</v>
      </c>
      <c r="G39" s="118">
        <f>'2'!F8</f>
        <v>1.65</v>
      </c>
      <c r="H39" s="42"/>
      <c r="I39" s="120">
        <f>'2'!F46</f>
        <v>2.2782744117272</v>
      </c>
      <c r="J39" s="121">
        <f>'2'!F44</f>
        <v>603.74271910771</v>
      </c>
      <c r="K39" s="122">
        <f>'2'!F47</f>
        <v>8.4296153233907</v>
      </c>
      <c r="L39" s="42"/>
      <c r="M39" s="90" t="s">
        <v>55</v>
      </c>
      <c r="N39" s="90"/>
      <c r="O39" s="90"/>
      <c r="P39" s="91" t="s">
        <v>56</v>
      </c>
      <c r="Q39" s="92"/>
    </row>
    <row r="40" spans="1:17" customHeight="1" ht="18">
      <c r="A40" s="48" t="s">
        <v>57</v>
      </c>
      <c r="B40" s="124" t="s">
        <v>38</v>
      </c>
      <c r="C40" s="123"/>
      <c r="D40" s="123"/>
      <c r="E40" s="123"/>
      <c r="F40" s="124">
        <f>SUM(F36:F39)</f>
        <v>1104</v>
      </c>
      <c r="G40" s="123"/>
      <c r="H40" s="123"/>
      <c r="I40" s="123"/>
      <c r="J40" s="125">
        <f>SUM(J36:J39)</f>
        <v>2623.0532727019</v>
      </c>
      <c r="K40" s="42"/>
      <c r="L40" s="42"/>
      <c r="M40" s="90"/>
      <c r="N40" s="90"/>
      <c r="O40" s="90"/>
      <c r="P40" s="93"/>
      <c r="Q40" s="94"/>
    </row>
    <row r="41" spans="1:17" customHeight="1" ht="21">
      <c r="A41" s="49" t="s">
        <v>58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59</v>
      </c>
      <c r="N41" s="74"/>
      <c r="O41" s="50" t="e">
        <f>+J31</f>
        <v>#VALUE!</v>
      </c>
      <c r="P41" s="51" t="s">
        <v>60</v>
      </c>
      <c r="Q41" s="1"/>
    </row>
    <row r="42" spans="1:17" customHeight="1" ht="21">
      <c r="A42" s="49" t="s">
        <v>61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62</v>
      </c>
      <c r="N42" s="74"/>
      <c r="O42" s="50">
        <f>+J32</f>
        <v>27.3555660091</v>
      </c>
      <c r="P42" s="51" t="s">
        <v>63</v>
      </c>
      <c r="Q42" s="1"/>
    </row>
    <row r="43" spans="1:17" customHeight="1" ht="18">
      <c r="A43" s="49" t="s">
        <v>64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65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66</v>
      </c>
      <c r="N44" s="95"/>
      <c r="O44" s="96" t="e">
        <f>+O41+O42+J14</f>
        <v>#VALUE!</v>
      </c>
      <c r="P44" s="98" t="s">
        <v>67</v>
      </c>
      <c r="Q44" s="99"/>
    </row>
    <row r="45" spans="1:17" customHeight="1" ht="18">
      <c r="A45" s="49" t="s">
        <v>68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69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70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71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72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73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74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75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76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77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78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79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80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81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82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83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84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85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86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87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88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89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90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91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92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93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94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95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96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97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98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99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100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47"/>
  <sheetViews>
    <sheetView tabSelected="1" workbookViewId="0" showGridLines="true" showRowColHeaders="1">
      <selection activeCell="B40" sqref="B40:L47"/>
    </sheetView>
  </sheetViews>
  <sheetFormatPr defaultRowHeight="14.4" outlineLevelRow="0" outlineLevelCol="0"/>
  <cols>
    <col min="2" max="2" width="24.708" bestFit="true" customWidth="true" style="0"/>
    <col min="3" max="3" width="32.992" bestFit="true" customWidth="true" style="0"/>
    <col min="4" max="4" width="34.135" bestFit="true" customWidth="true" style="0"/>
    <col min="5" max="5" width="31.707" bestFit="true" customWidth="true" style="0"/>
    <col min="6" max="6" width="35.277" bestFit="true" customWidth="true" style="0"/>
    <col min="7" max="7" width="28.136" bestFit="true" customWidth="true" style="0"/>
    <col min="8" max="8" width="21.138" bestFit="true" customWidth="true" style="0"/>
    <col min="9" max="9" width="38.848" bestFit="true" customWidth="true" style="0"/>
    <col min="10" max="10" width="37.705" bestFit="true" customWidth="true" style="0"/>
  </cols>
  <sheetData>
    <row r="3" spans="1:15">
      <c r="B3" s="102" t="s">
        <v>103</v>
      </c>
      <c r="C3" s="101"/>
      <c r="D3" s="101"/>
      <c r="E3" s="101"/>
      <c r="F3" s="101"/>
      <c r="G3" s="101"/>
    </row>
    <row r="5" spans="1:15">
      <c r="B5" s="105" t="s">
        <v>104</v>
      </c>
      <c r="C5" s="107" t="s">
        <v>51</v>
      </c>
      <c r="D5" s="107" t="s">
        <v>52</v>
      </c>
      <c r="E5" s="107" t="s">
        <v>53</v>
      </c>
      <c r="F5" s="107" t="s">
        <v>54</v>
      </c>
      <c r="G5" s="107" t="s">
        <v>119</v>
      </c>
      <c r="H5" s="107" t="s">
        <v>120</v>
      </c>
      <c r="I5" s="107" t="s">
        <v>121</v>
      </c>
      <c r="J5" s="107" t="s">
        <v>122</v>
      </c>
      <c r="K5" s="107" t="s">
        <v>123</v>
      </c>
      <c r="L5" s="101"/>
    </row>
    <row r="6" spans="1:15">
      <c r="B6" s="101" t="s">
        <v>105</v>
      </c>
      <c r="C6" s="101">
        <v>0</v>
      </c>
      <c r="D6" s="101">
        <v>0</v>
      </c>
      <c r="E6" s="101">
        <v>0</v>
      </c>
      <c r="F6" s="101">
        <v>0</v>
      </c>
      <c r="G6" s="101">
        <v>0</v>
      </c>
      <c r="H6" s="101">
        <v>0</v>
      </c>
      <c r="I6" s="101">
        <v>0</v>
      </c>
      <c r="J6" s="101">
        <v>0</v>
      </c>
      <c r="K6" s="110">
        <v>100.0</v>
      </c>
      <c r="L6" s="101"/>
      <c r="N6" t="s">
        <v>124</v>
      </c>
      <c r="O6" t="s">
        <v>125</v>
      </c>
    </row>
    <row r="7" spans="1:15">
      <c r="B7" s="101" t="s">
        <v>106</v>
      </c>
      <c r="C7" s="101">
        <v>0</v>
      </c>
      <c r="D7" s="101">
        <v>0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11">
        <v>1.55</v>
      </c>
      <c r="L7" s="101"/>
      <c r="N7" t="s">
        <v>18</v>
      </c>
      <c r="O7">
        <v>350</v>
      </c>
    </row>
    <row r="8" spans="1:15">
      <c r="B8" s="101" t="s">
        <v>107</v>
      </c>
      <c r="C8" s="108">
        <v>1.8</v>
      </c>
      <c r="D8" s="108">
        <v>1.55</v>
      </c>
      <c r="E8" s="108">
        <v>2.05</v>
      </c>
      <c r="F8" s="108">
        <v>1.65</v>
      </c>
      <c r="G8" s="108">
        <v>2.2</v>
      </c>
      <c r="H8" s="108">
        <v>1.65</v>
      </c>
      <c r="I8" s="108">
        <v>1.334375</v>
      </c>
      <c r="J8" s="108">
        <v>1.54</v>
      </c>
      <c r="K8" s="101"/>
      <c r="L8" s="101"/>
    </row>
    <row r="9" spans="1:15">
      <c r="B9" s="106" t="s">
        <v>108</v>
      </c>
      <c r="C9" s="108">
        <v>0.0</v>
      </c>
      <c r="D9" s="108">
        <v>0.0</v>
      </c>
      <c r="E9" s="108">
        <v>0.0</v>
      </c>
      <c r="F9" s="108">
        <v>0.0</v>
      </c>
      <c r="G9" s="108">
        <v>0.0</v>
      </c>
      <c r="H9" s="108">
        <v>0.0</v>
      </c>
      <c r="I9" s="108">
        <v>0.0</v>
      </c>
      <c r="J9" s="108">
        <v>0.0</v>
      </c>
      <c r="K9" s="101"/>
      <c r="L9" s="101"/>
    </row>
    <row r="10" spans="1:15">
      <c r="B10" s="101" t="s">
        <v>109</v>
      </c>
      <c r="C10" s="101">
        <v>250.0</v>
      </c>
      <c r="D10" s="101">
        <v>390.0</v>
      </c>
      <c r="E10" s="101">
        <v>199.0</v>
      </c>
      <c r="F10" s="101">
        <v>265.0</v>
      </c>
      <c r="G10" s="101">
        <v>300.0</v>
      </c>
      <c r="H10" s="101">
        <v>275.0</v>
      </c>
      <c r="I10" s="101">
        <v>520.0</v>
      </c>
      <c r="J10" s="101">
        <v>140.0</v>
      </c>
      <c r="K10" s="101">
        <f>SUM(C10:J10)</f>
        <v>2339</v>
      </c>
      <c r="L10" s="101"/>
    </row>
    <row r="11" spans="1:15">
      <c r="B11" s="101" t="s">
        <v>110</v>
      </c>
      <c r="C11" s="108">
        <f>C8*C10</f>
        <v>450</v>
      </c>
      <c r="D11" s="108">
        <f>D8*D10</f>
        <v>604.5</v>
      </c>
      <c r="E11" s="108">
        <f>E8*E10</f>
        <v>407.95</v>
      </c>
      <c r="F11" s="108">
        <f>F8*F10</f>
        <v>437.25</v>
      </c>
      <c r="G11" s="108">
        <f>G8*G10</f>
        <v>660</v>
      </c>
      <c r="H11" s="108">
        <f>H8*H10</f>
        <v>453.75</v>
      </c>
      <c r="I11" s="108">
        <f>I8*I10</f>
        <v>693.875</v>
      </c>
      <c r="J11" s="108">
        <f>J8*J10</f>
        <v>215.6</v>
      </c>
      <c r="K11" s="101">
        <f>SUM(C11:J11)</f>
        <v>3922.925</v>
      </c>
      <c r="L11" s="101"/>
    </row>
    <row r="12" spans="1:15">
      <c r="B12" s="106" t="s">
        <v>111</v>
      </c>
      <c r="C12" s="108">
        <f>C10*C9</f>
        <v>0</v>
      </c>
      <c r="D12" s="108">
        <f>D10*D9</f>
        <v>0</v>
      </c>
      <c r="E12" s="108">
        <f>E10*E9</f>
        <v>0</v>
      </c>
      <c r="F12" s="108">
        <f>F10*F9</f>
        <v>0</v>
      </c>
      <c r="G12" s="108">
        <f>G10*G9</f>
        <v>0</v>
      </c>
      <c r="H12" s="108">
        <f>H10*H9</f>
        <v>0</v>
      </c>
      <c r="I12" s="108">
        <f>I10*I9</f>
        <v>0</v>
      </c>
      <c r="J12" s="108">
        <f>J10*J9</f>
        <v>0</v>
      </c>
      <c r="K12" s="101"/>
      <c r="L12" s="101"/>
    </row>
    <row r="13" spans="1:15">
      <c r="B13" s="101" t="s">
        <v>112</v>
      </c>
      <c r="C13" s="109">
        <f>C11/K11</f>
        <v>0.11471032456649</v>
      </c>
      <c r="D13" s="109">
        <f>D11/K11</f>
        <v>0.15409420266765</v>
      </c>
      <c r="E13" s="109">
        <f>E11/K11</f>
        <v>0.10399128201533</v>
      </c>
      <c r="F13" s="109">
        <f>F11/K11</f>
        <v>0.11146019870377</v>
      </c>
      <c r="G13" s="109">
        <f>G11/K11</f>
        <v>0.16824180936419</v>
      </c>
      <c r="H13" s="109">
        <f>H11/K11</f>
        <v>0.11566624393788</v>
      </c>
      <c r="I13" s="109">
        <f>I11/K11</f>
        <v>0.17687694768572</v>
      </c>
      <c r="J13" s="109">
        <f>J11/K11</f>
        <v>0.054958991058967</v>
      </c>
      <c r="K13" s="101"/>
      <c r="L13" s="101"/>
    </row>
    <row r="14" spans="1:15">
      <c r="B14" s="101" t="s">
        <v>113</v>
      </c>
      <c r="C14" s="108">
        <f>K14*C13</f>
        <v>37.338210646393</v>
      </c>
      <c r="D14" s="108">
        <f>K14*D13</f>
        <v>50.157662968321</v>
      </c>
      <c r="E14" s="108">
        <f>K14*E13</f>
        <v>33.849162295991</v>
      </c>
      <c r="F14" s="108">
        <f>K14*F13</f>
        <v>36.280294678078</v>
      </c>
      <c r="G14" s="108">
        <f>K14*G13</f>
        <v>54.762708948043</v>
      </c>
      <c r="H14" s="108">
        <f>K14*H13</f>
        <v>37.649362401779</v>
      </c>
      <c r="I14" s="108">
        <f>K14*I13</f>
        <v>57.573446471702</v>
      </c>
      <c r="J14" s="108">
        <f>K14*J13</f>
        <v>17.889151589694</v>
      </c>
      <c r="K14" s="101">
        <f>IF(K7&lt;1, O7*0.6, O7*0.6*K7)</f>
        <v>325.5</v>
      </c>
      <c r="L14" s="101"/>
    </row>
    <row r="15" spans="1:15">
      <c r="B15" s="101" t="s">
        <v>114</v>
      </c>
      <c r="C15" s="108">
        <f>C11+C14</f>
        <v>487.33821064639</v>
      </c>
      <c r="D15" s="108">
        <f>D11+D14</f>
        <v>654.65766296832</v>
      </c>
      <c r="E15" s="108">
        <f>E11+E14</f>
        <v>441.79916229599</v>
      </c>
      <c r="F15" s="108">
        <f>F11+F14</f>
        <v>473.53029467808</v>
      </c>
      <c r="G15" s="108">
        <f>G11+G14</f>
        <v>714.76270894804</v>
      </c>
      <c r="H15" s="108">
        <f>H11+H14</f>
        <v>491.39936240178</v>
      </c>
      <c r="I15" s="108">
        <f>I11+I14</f>
        <v>751.4484464717</v>
      </c>
      <c r="J15" s="108">
        <f>J11+J14</f>
        <v>233.48915158969</v>
      </c>
      <c r="K15" s="112">
        <f>SUM(C15:J15)</f>
        <v>4248.425</v>
      </c>
      <c r="L15" s="101"/>
    </row>
    <row r="16" spans="1:15">
      <c r="B16" s="106" t="s">
        <v>115</v>
      </c>
      <c r="C16" s="108">
        <f>C12+C14</f>
        <v>37.338210646393</v>
      </c>
      <c r="D16" s="108">
        <f>D12+D14</f>
        <v>50.157662968321</v>
      </c>
      <c r="E16" s="108">
        <f>E12+E14</f>
        <v>33.849162295991</v>
      </c>
      <c r="F16" s="108">
        <f>F12+F14</f>
        <v>36.280294678078</v>
      </c>
      <c r="G16" s="108">
        <f>G12+G14</f>
        <v>54.762708948043</v>
      </c>
      <c r="H16" s="108">
        <f>H12+H14</f>
        <v>37.649362401779</v>
      </c>
      <c r="I16" s="108">
        <f>I12+I14</f>
        <v>57.573446471702</v>
      </c>
      <c r="J16" s="108">
        <f>J12+J14</f>
        <v>17.889151589694</v>
      </c>
      <c r="K16" s="101"/>
      <c r="L16" s="101"/>
    </row>
    <row r="17" spans="1:15">
      <c r="B17" s="101" t="s">
        <v>116</v>
      </c>
      <c r="C17" s="108">
        <f>IF(K11&gt;5000,100*C13,50*C13)</f>
        <v>5.7355162283245</v>
      </c>
      <c r="D17" s="108">
        <f>IF(K11&gt;5000,100*D13,50*D13)</f>
        <v>7.7047101333826</v>
      </c>
      <c r="E17" s="108">
        <f>IF(K11&gt;5000,100*E13,50*E13)</f>
        <v>5.1995641007666</v>
      </c>
      <c r="F17" s="108">
        <f>IF(K11&gt;5000,100*F13,50*F13)</f>
        <v>5.5730099351887</v>
      </c>
      <c r="G17" s="108">
        <f>IF(K11&gt;5000,100*G13,50*G13)</f>
        <v>8.4120904682093</v>
      </c>
      <c r="H17" s="108">
        <f>IF(K11&gt;5000,100*H13,50*H13)</f>
        <v>5.7833121968939</v>
      </c>
      <c r="I17" s="108">
        <f>IF(K11&gt;5000,100*I13,50*I13)</f>
        <v>8.843847384286</v>
      </c>
      <c r="J17" s="108">
        <f>IF(K11&gt;5000,100*J13,50*J13)</f>
        <v>2.7479495529484</v>
      </c>
      <c r="K17" s="101"/>
      <c r="L17" s="101"/>
    </row>
    <row r="18" spans="1:15">
      <c r="B18" s="101" t="s">
        <v>117</v>
      </c>
      <c r="C18" s="108">
        <f>C15+C17</f>
        <v>493.07372687472</v>
      </c>
      <c r="D18" s="108">
        <f>D15+D17</f>
        <v>662.3623731017</v>
      </c>
      <c r="E18" s="108">
        <f>E15+E17</f>
        <v>446.99872639676</v>
      </c>
      <c r="F18" s="108">
        <f>F15+F17</f>
        <v>479.10330461327</v>
      </c>
      <c r="G18" s="108">
        <f>G15+G17</f>
        <v>723.17479941625</v>
      </c>
      <c r="H18" s="108">
        <f>H15+H17</f>
        <v>497.18267459867</v>
      </c>
      <c r="I18" s="108">
        <f>I15+I17</f>
        <v>760.29229385599</v>
      </c>
      <c r="J18" s="108">
        <f>J15+J17</f>
        <v>236.23710114264</v>
      </c>
      <c r="K18" s="101"/>
      <c r="L18" s="101"/>
    </row>
    <row r="19" spans="1:15">
      <c r="B19" s="106" t="s">
        <v>118</v>
      </c>
      <c r="C19" s="108">
        <f>C16+C17</f>
        <v>43.073726874717</v>
      </c>
      <c r="D19" s="108">
        <f>D16+D17</f>
        <v>57.862373101703</v>
      </c>
      <c r="E19" s="108">
        <f>E16+E17</f>
        <v>39.048726396758</v>
      </c>
      <c r="F19" s="108">
        <f>F16+F17</f>
        <v>41.853304613267</v>
      </c>
      <c r="G19" s="108">
        <f>G16+G17</f>
        <v>63.174799416252</v>
      </c>
      <c r="H19" s="108">
        <f>H16+H17</f>
        <v>43.432674598673</v>
      </c>
      <c r="I19" s="108">
        <f>I16+I17</f>
        <v>66.417293855988</v>
      </c>
      <c r="J19" s="108">
        <f>J16+J17</f>
        <v>20.637101142642</v>
      </c>
      <c r="K19" s="101"/>
      <c r="L19" s="101"/>
    </row>
    <row r="23" spans="1:15">
      <c r="B23" s="102" t="s">
        <v>126</v>
      </c>
      <c r="C23" s="101"/>
      <c r="D23" s="101"/>
      <c r="E23" s="101"/>
    </row>
    <row r="26" spans="1:15">
      <c r="B26" t="s">
        <v>34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f>SUM(C26:J26)</f>
        <v>0</v>
      </c>
    </row>
    <row r="27" spans="1:15">
      <c r="C27" s="104">
        <v>0.0</v>
      </c>
      <c r="D27" s="104">
        <v>0.0</v>
      </c>
      <c r="E27" s="104">
        <v>0.0</v>
      </c>
      <c r="F27" s="104">
        <v>0.0</v>
      </c>
      <c r="G27" s="104">
        <v>0.0</v>
      </c>
      <c r="H27" s="104">
        <v>0.0</v>
      </c>
      <c r="I27" s="104">
        <v>0.0</v>
      </c>
      <c r="J27" s="104">
        <v>0.0</v>
      </c>
    </row>
    <row r="28" spans="1:15">
      <c r="B28" s="101" t="s">
        <v>127</v>
      </c>
      <c r="C28" s="108">
        <f>MAX(C19,C18)*C27</f>
        <v>0</v>
      </c>
      <c r="D28" s="108">
        <f>MAX(D19,D18)*D27</f>
        <v>0</v>
      </c>
      <c r="E28" s="108">
        <f>MAX(E19,E18)*E27</f>
        <v>0</v>
      </c>
      <c r="F28" s="108">
        <f>MAX(F19,F18)*F27</f>
        <v>0</v>
      </c>
      <c r="G28" s="108">
        <f>MAX(G19,G18)*G27</f>
        <v>0</v>
      </c>
      <c r="H28" s="108">
        <f>MAX(H19,H18)*H27</f>
        <v>0</v>
      </c>
      <c r="I28" s="108">
        <f>MAX(I19,I18)*I27</f>
        <v>0</v>
      </c>
      <c r="J28" s="108">
        <f>MAX(J19,J18)*J27</f>
        <v>0</v>
      </c>
      <c r="K28" s="108">
        <f>SUM(C28:J28)</f>
        <v>0</v>
      </c>
      <c r="L28" s="101"/>
    </row>
    <row r="29" spans="1:15">
      <c r="B29" s="101" t="s">
        <v>32</v>
      </c>
      <c r="C29" s="108">
        <f>0.16*(MAX(C19,C18)+C28)</f>
        <v>78.891796299955</v>
      </c>
      <c r="D29" s="108">
        <f>0.16*(MAX(D19,D18)+D28)</f>
        <v>105.97797969627</v>
      </c>
      <c r="E29" s="108">
        <f>0.16*(MAX(E19,E18)+E28)</f>
        <v>71.519796223481</v>
      </c>
      <c r="F29" s="108">
        <f>0.16*(MAX(F19,F18)+F28)</f>
        <v>76.656528738123</v>
      </c>
      <c r="G29" s="108">
        <f>0.16*(MAX(G19,G18)+G28)</f>
        <v>115.7079679066</v>
      </c>
      <c r="H29" s="108">
        <f>0.16*(MAX(H19,H18)+H28)</f>
        <v>79.549227935788</v>
      </c>
      <c r="I29" s="108">
        <f>0.16*(MAX(I19,I18)+I28)</f>
        <v>121.64676701696</v>
      </c>
      <c r="J29" s="108">
        <f>0.16*(MAX(J19,J18)+J28)</f>
        <v>37.797936182823</v>
      </c>
      <c r="K29" s="108">
        <f>SUM(C29:J29)</f>
        <v>687.748</v>
      </c>
      <c r="L29" s="101"/>
    </row>
    <row r="30" spans="1:15">
      <c r="B30" s="101" t="s">
        <v>33</v>
      </c>
      <c r="C30" s="108">
        <f>0.02*(MAX(C19,C18)+C28)</f>
        <v>9.8614745374943</v>
      </c>
      <c r="D30" s="108">
        <f>0.02*(MAX(D19,D18)+D28)</f>
        <v>13.247247462034</v>
      </c>
      <c r="E30" s="108">
        <f>0.02*(MAX(E19,E18)+E28)</f>
        <v>8.9399745279351</v>
      </c>
      <c r="F30" s="108">
        <f>0.02*(MAX(F19,F18)+F28)</f>
        <v>9.5820660922653</v>
      </c>
      <c r="G30" s="108">
        <f>0.02*(MAX(G19,G18)+G28)</f>
        <v>14.463495988325</v>
      </c>
      <c r="H30" s="108">
        <f>0.02*(MAX(H19,H18)+H28)</f>
        <v>9.9436534919735</v>
      </c>
      <c r="I30" s="108">
        <f>0.02*(MAX(I19,I18)+I28)</f>
        <v>15.20584587712</v>
      </c>
      <c r="J30" s="108">
        <f>0.02*(MAX(J19,J18)+J28)</f>
        <v>4.7247420228528</v>
      </c>
      <c r="K30" s="108">
        <f>SUM(C30:J30)</f>
        <v>85.9685</v>
      </c>
      <c r="L30" s="101"/>
    </row>
    <row r="31" spans="1:15">
      <c r="B31" s="101" t="s">
        <v>128</v>
      </c>
      <c r="C31" s="108">
        <f>0.035*(MAX(C18,C19) +C28+C29+C30)</f>
        <v>20.363944919926</v>
      </c>
      <c r="D31" s="108">
        <f>0.035*(MAX(D18,D19) +D28+D29+D30)</f>
        <v>27.3555660091</v>
      </c>
      <c r="E31" s="108">
        <f>0.035*(MAX(E18,E19) +E28+E29+E30)</f>
        <v>18.461047400186</v>
      </c>
      <c r="F31" s="108">
        <f>0.035*(MAX(F18,F19) +F28+F29+F30)</f>
        <v>19.786966480528</v>
      </c>
      <c r="G31" s="108">
        <f>0.035*(MAX(G18,G19) +G28+G29+G30)</f>
        <v>29.867119215891</v>
      </c>
      <c r="H31" s="108">
        <f>0.035*(MAX(H18,H19) +H28+H29+H30)</f>
        <v>20.533644460925</v>
      </c>
      <c r="I31" s="108">
        <f>0.035*(MAX(I18,I19) +I28+I29+I30)</f>
        <v>31.400071736252</v>
      </c>
      <c r="J31" s="108">
        <f>0.035*(MAX(J18,J19) +J28+J29+J30)</f>
        <v>9.7565922771911</v>
      </c>
      <c r="K31" s="108">
        <f>SUM(C31:J31)</f>
        <v>177.5249525</v>
      </c>
      <c r="L31" s="101"/>
    </row>
    <row r="32" spans="1:15">
      <c r="B32" s="101" t="s">
        <v>38</v>
      </c>
      <c r="C32" s="108">
        <f>SUM(C28:C31)</f>
        <v>109.11721575737</v>
      </c>
      <c r="D32" s="108">
        <f>SUM(D28:D31)</f>
        <v>146.58079316741</v>
      </c>
      <c r="E32" s="108">
        <f>SUM(E28:E31)</f>
        <v>98.920818151602</v>
      </c>
      <c r="F32" s="108">
        <f>SUM(F28:F31)</f>
        <v>106.02556131092</v>
      </c>
      <c r="G32" s="108">
        <f>SUM(G28:G31)</f>
        <v>160.03858311082</v>
      </c>
      <c r="H32" s="108">
        <f>SUM(H28:H31)</f>
        <v>110.02652588869</v>
      </c>
      <c r="I32" s="108">
        <f>SUM(I28:I31)</f>
        <v>168.25268463033</v>
      </c>
      <c r="J32" s="108">
        <f>SUM(J28:J31)</f>
        <v>52.279270482867</v>
      </c>
      <c r="K32" s="108">
        <f>SUM(K28:K31)</f>
        <v>951.2414525</v>
      </c>
      <c r="L32" s="101"/>
    </row>
    <row r="37" spans="1:15">
      <c r="B37" s="102" t="s">
        <v>129</v>
      </c>
      <c r="C37" s="101"/>
      <c r="D37" s="101"/>
      <c r="E37" s="101"/>
    </row>
    <row r="40" spans="1:15">
      <c r="B40" s="101" t="s">
        <v>130</v>
      </c>
      <c r="C40" s="108">
        <f>C13*K40</f>
        <v>24.892140430928</v>
      </c>
      <c r="D40" s="108">
        <f>D13*K40</f>
        <v>33.438441978881</v>
      </c>
      <c r="E40" s="108">
        <f>E13*K40</f>
        <v>22.566108197327</v>
      </c>
      <c r="F40" s="108">
        <f>F13*K40</f>
        <v>24.186863118719</v>
      </c>
      <c r="G40" s="108">
        <f>G13*K40</f>
        <v>36.508472632028</v>
      </c>
      <c r="H40" s="108">
        <f>H13*K40</f>
        <v>25.09957493452</v>
      </c>
      <c r="I40" s="108">
        <f>I13*K40</f>
        <v>38.382297647801</v>
      </c>
      <c r="J40" s="108">
        <f>J13*K40</f>
        <v>11.926101059796</v>
      </c>
      <c r="K40" s="101">
        <f>IF(K7&lt;1, O7*0.4, O7*0.4*K7)</f>
        <v>217</v>
      </c>
      <c r="L40" s="101"/>
    </row>
    <row r="41" spans="1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1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1:15">
      <c r="B43" s="101" t="s">
        <v>130</v>
      </c>
      <c r="C43" s="101" t="s">
        <v>51</v>
      </c>
      <c r="D43" s="101" t="s">
        <v>52</v>
      </c>
      <c r="E43" s="101" t="s">
        <v>53</v>
      </c>
      <c r="F43" s="101" t="s">
        <v>54</v>
      </c>
      <c r="G43" s="101" t="s">
        <v>119</v>
      </c>
      <c r="H43" s="101" t="s">
        <v>120</v>
      </c>
      <c r="I43" s="101" t="s">
        <v>121</v>
      </c>
      <c r="J43" s="101" t="s">
        <v>122</v>
      </c>
      <c r="K43" s="101" t="s">
        <v>123</v>
      </c>
      <c r="L43" s="101"/>
    </row>
    <row r="44" spans="1:15">
      <c r="B44" s="101" t="s">
        <v>131</v>
      </c>
      <c r="C44" s="108">
        <f>SUM(C15,C40,C32,(C26))</f>
        <v>621.3475668347</v>
      </c>
      <c r="D44" s="108">
        <f>SUM(D15,D40,D32,(D26))</f>
        <v>834.67689811461</v>
      </c>
      <c r="E44" s="108">
        <f>SUM(E15,E40,E32,(E26))</f>
        <v>563.28608864492</v>
      </c>
      <c r="F44" s="108">
        <f>SUM(F15,F40,F32,(F26))</f>
        <v>603.74271910771</v>
      </c>
      <c r="G44" s="108">
        <f>SUM(G15,G40,G32,(G26))</f>
        <v>911.30976469089</v>
      </c>
      <c r="H44" s="108">
        <f>SUM(H15,H40,H32,(H26))</f>
        <v>626.52546322499</v>
      </c>
      <c r="I44" s="108">
        <f>SUM(I15,I40,I32,(I26))</f>
        <v>958.08342874983</v>
      </c>
      <c r="J44" s="108">
        <f>SUM(J15,J40,J32,(J26))</f>
        <v>297.69452313236</v>
      </c>
      <c r="K44" s="108">
        <f>SUM(C44:J44)</f>
        <v>5416.6664525</v>
      </c>
      <c r="L44" s="101"/>
    </row>
    <row r="45" spans="1:15">
      <c r="B45" s="101" t="s">
        <v>132</v>
      </c>
      <c r="C45" s="101">
        <v>250.0</v>
      </c>
      <c r="D45" s="101">
        <v>390.0</v>
      </c>
      <c r="E45" s="101">
        <v>199.0</v>
      </c>
      <c r="F45" s="101">
        <v>265.0</v>
      </c>
      <c r="G45" s="101">
        <v>300.0</v>
      </c>
      <c r="H45" s="101">
        <v>275.0</v>
      </c>
      <c r="I45" s="101">
        <v>520.0</v>
      </c>
      <c r="J45" s="101">
        <v>140.0</v>
      </c>
      <c r="K45" s="101"/>
      <c r="L45" s="101"/>
    </row>
    <row r="46" spans="1:15">
      <c r="B46" s="101" t="s">
        <v>133</v>
      </c>
      <c r="C46" s="108">
        <f>SUM(C44/C45)</f>
        <v>2.4853902673388</v>
      </c>
      <c r="D46" s="108">
        <f>SUM(D44/D45)</f>
        <v>2.1401971746528</v>
      </c>
      <c r="E46" s="108">
        <f>SUM(E44/E45)</f>
        <v>2.8305833600247</v>
      </c>
      <c r="F46" s="108">
        <f>SUM(F44/F45)</f>
        <v>2.2782744117272</v>
      </c>
      <c r="G46" s="108">
        <f>SUM(G44/G45)</f>
        <v>3.0376992156363</v>
      </c>
      <c r="H46" s="108">
        <f>SUM(H44/H45)</f>
        <v>2.2782744117272</v>
      </c>
      <c r="I46" s="108">
        <f>SUM(I44/I45)</f>
        <v>1.8424681322112</v>
      </c>
      <c r="J46" s="108">
        <f>SUM(J44/J45)</f>
        <v>2.1263894509454</v>
      </c>
      <c r="K46" s="101"/>
      <c r="L46" s="101"/>
    </row>
    <row r="47" spans="1:15">
      <c r="B47" s="101" t="s">
        <v>134</v>
      </c>
      <c r="C47" s="113">
        <f>C46*3.7</f>
        <v>9.1959439891535</v>
      </c>
      <c r="D47" s="113">
        <f>D46*3.7</f>
        <v>7.9187295462155</v>
      </c>
      <c r="E47" s="113">
        <f>E46*3.7</f>
        <v>10.473158432091</v>
      </c>
      <c r="F47" s="113">
        <f>F46*3.7</f>
        <v>8.4296153233907</v>
      </c>
      <c r="G47" s="113">
        <f>G46*3.7</f>
        <v>11.239487097854</v>
      </c>
      <c r="H47" s="113">
        <f>H46*3.7</f>
        <v>8.4296153233907</v>
      </c>
      <c r="I47" s="113">
        <f>I46*3.7</f>
        <v>6.8171320891815</v>
      </c>
      <c r="J47" s="113">
        <f>J46*3.7</f>
        <v>7.867640968498</v>
      </c>
      <c r="K47" s="101"/>
      <c r="L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