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<sst xmlns="http://schemas.openxmlformats.org/spreadsheetml/2006/main" uniqueCount="135">
  <si>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COTIZACION Nº20240000001</t>
  </si>
  <si>
    <t>NOMBRE:</t>
  </si>
  <si>
    <t>Edison Benicio Mayhualla</t>
  </si>
  <si>
    <t>THALIA HUANCA MELO</t>
  </si>
  <si>
    <t>SERVICIO:</t>
  </si>
  <si>
    <t>CARGA CONSOLIDADA</t>
  </si>
  <si>
    <t>N° CAJAS:</t>
  </si>
  <si>
    <t>DNI/RUC:</t>
  </si>
  <si>
    <t>FECHA:</t>
  </si>
  <si>
    <t>PESO:</t>
  </si>
  <si>
    <t>24.1 Kg</t>
  </si>
  <si>
    <t>CORREO:</t>
  </si>
  <si>
    <t>ORIGEN:</t>
  </si>
  <si>
    <t>CHINA</t>
  </si>
  <si>
    <t>MEDIDA</t>
  </si>
  <si>
    <t>TELEFONO:</t>
  </si>
  <si>
    <t>51 963317709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</si>
  <si>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</si>
  <si>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</si>
  <si>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</si>
  <si>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</si>
  <si>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</si>
  <si>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</si>
  <si>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</si>
  <si>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</si>
  <si>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</si>
  <si>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</si>
  <si>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</si>
  <si>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</si>
  <si>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</si>
  <si>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</si>
  <si>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</si>
  <si>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THALIA HUANCA MELO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</si>
  <si>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</si>
  <si>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</si>
  <si>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</si>
  <si>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</si>
  <si>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</si>
  <si>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</si>
  <si>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</si>
  <si>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</si>
  <si>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</si>
  <si>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</si>
  <si>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</si>
  <si>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</si>
  <si>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</si>
  <si>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</si>
  <si>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</si>
  <si>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</si>
  <si>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</si>
  <si>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</si>
  <si>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</si>
  <si>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GUANTES DE INVIERTO</t>
  </si>
  <si>
    <t>BUFANDA DE PUNTO</t>
  </si>
  <si>
    <t>SOMBRERO DE PESCADOR</t>
  </si>
  <si>
    <t>GORRO DE INVIERNO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</si>
  <si>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</si>
  <si>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</si>
  <si>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</si>
  <si>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</si>
  <si>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</si>
  <si>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</si>
  <si>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</si>
  <si>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</si>
  <si>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</si>
  <si>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</si>
  <si>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</si>
  <si>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</si>
  <si>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</si>
  <si>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</si>
  <si>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</si>
  <si>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</si>
  <si>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</si>
  <si>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</si>
  <si>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</si>
  <si>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</si>
  <si>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</si>
  <si>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</si>
  <si>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</si>
  <si>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</si>
  <si>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</si>
  <si>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</si>
  <si>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</si>
  <si>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</si>
  <si>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</si>
  <si>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</si>
  <si>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</si>
  <si>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</si>
  <si>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</si>
  <si>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</si>
  <si>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</si>
  <si>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</si>
  <si>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</si>
  <si>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</si>
  <si>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</si>
  <si>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</si>
  <si>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</si>
  <si>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</si>
  <si>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</si>
  <si>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</si>
  <si>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</si>
  <si>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</si>
  <si>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</si>
  <si>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</si>
  <si>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</si>
  <si>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</si>
  <si>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</si>
  <si>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</si>
  <si>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</si>
  <si>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</si>
  <si>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</si>
  <si>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</si>
  <si>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</si>
  <si>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</si>
  <si>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</si>
  <si>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</si>
  <si>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</si>
  <si>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</si>
  <si>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</si>
  <si>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</si>
  <si>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GORRO DE BEISBOL</t>
  </si>
  <si>
    <t>GORRO DE INVIERNO DE OSO</t>
  </si>
  <si>
    <t>BUFANDA PARA INVIERNO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</si>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</sst>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BUFANDA DE PUNTO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77130005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'2'!I7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116.12243179522</v>
      </c>
      <c r="K14" s="26">
        <f>'2'!I11</f>
        <v>174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'2'!I14 + '2'!I17</f>
        <v>70.912765240822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'2'!I28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'2'!I29</f>
        <v>39.186042438532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'2'!I30</f>
        <v>4.8982553048165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1.6130461434827</v>
      </c>
      <c r="J23" s="27">
        <f>'2'!D31</f>
        <v>4.7958564331425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4.7958564331425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'2'!I31</f>
        <v>10.114897204446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4.7958564331425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174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116.12243179522</v>
      </c>
      <c r="K30" s="26">
        <f>IF(J11&lt;1, 320, 320*J11)</f>
        <v>320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54.199194947794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4.7958564331425</v>
      </c>
      <c r="K32" s="28">
        <f>K29+K30+K31</f>
        <v>548.1991949478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70</v>
      </c>
      <c r="G36" s="118">
        <f>'2'!C8</f>
        <v>0.81857142857143</v>
      </c>
      <c r="H36" s="42"/>
      <c r="I36" s="118">
        <f>'2'!C46</f>
        <v>1.5146777063465</v>
      </c>
      <c r="J36" s="116">
        <f>'2'!C44</f>
        <v>106.02743944426</v>
      </c>
      <c r="K36" s="117">
        <f>'2'!C47</f>
        <v>5.6043075134822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50</v>
      </c>
      <c r="G37" s="118">
        <f>'2'!D8</f>
        <v>1.65</v>
      </c>
      <c r="H37" s="58"/>
      <c r="I37" s="119">
        <f>'2'!D46</f>
        <v>3.0531461620074</v>
      </c>
      <c r="J37" s="116">
        <f>'2'!D44</f>
        <v>152.65730810037</v>
      </c>
      <c r="K37" s="117">
        <f>'2'!D47</f>
        <v>11.296640799427</v>
      </c>
      <c r="L37" s="42"/>
      <c r="M37" s="39">
        <v>1</v>
      </c>
      <c r="N37" s="40">
        <f>+B37</f>
        <v>2</v>
      </c>
      <c r="O37" s="43">
        <f>+F37</f>
        <v>50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60</v>
      </c>
      <c r="G38" s="118">
        <f>'2'!E8</f>
        <v>1.2</v>
      </c>
      <c r="H38" s="42"/>
      <c r="I38" s="120">
        <f>'2'!E46</f>
        <v>2.3442404022903</v>
      </c>
      <c r="J38" s="121">
        <f>'2'!E44</f>
        <v>140.65442413742</v>
      </c>
      <c r="K38" s="122">
        <f>'2'!E47</f>
        <v>8.6736894884742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50</v>
      </c>
      <c r="G39" s="118">
        <f>'2'!F8</f>
        <v>1.36</v>
      </c>
      <c r="H39" s="42"/>
      <c r="I39" s="120">
        <f>'2'!F46</f>
        <v>2.5165325941394</v>
      </c>
      <c r="J39" s="121">
        <f>'2'!F44</f>
        <v>125.82662970697</v>
      </c>
      <c r="K39" s="122">
        <f>'2'!F47</f>
        <v>9.3111705983159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230</v>
      </c>
      <c r="G40" s="123"/>
      <c r="H40" s="123"/>
      <c r="I40" s="123"/>
      <c r="J40" s="125">
        <f>SUM(J36:J39)</f>
        <v>525.16580138902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4.7958564331425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7"/>
  <sheetViews>
    <sheetView tabSelected="1" workbookViewId="0" showGridLines="true" showRowColHeaders="1">
      <selection activeCell="B40" sqref="B40:K47"/>
    </sheetView>
  </sheetViews>
  <sheetFormatPr defaultRowHeight="14.4" outlineLevelRow="0" outlineLevelCol="0"/>
  <cols>
    <col min="2" max="2" width="24.708" bestFit="true" customWidth="true" style="0"/>
    <col min="3" max="3" width="23.423" bestFit="true" customWidth="true" style="0"/>
    <col min="4" max="4" width="19.995" bestFit="true" customWidth="true" style="0"/>
    <col min="5" max="5" width="24.708" bestFit="true" customWidth="true" style="0"/>
    <col min="6" max="6" width="21.138" bestFit="true" customWidth="true" style="0"/>
    <col min="7" max="7" width="19.995" bestFit="true" customWidth="true" style="0"/>
    <col min="8" max="8" width="29.421" bestFit="true" customWidth="true" style="0"/>
    <col min="9" max="9" width="25.851" bestFit="true" customWidth="true" style="0"/>
  </cols>
  <sheetData>
    <row r="3" spans="1:14">
      <c r="B3" s="102" t="s">
        <v>104</v>
      </c>
      <c r="C3" s="101"/>
      <c r="D3" s="101"/>
      <c r="E3" s="101"/>
      <c r="F3" s="101"/>
      <c r="G3" s="101"/>
    </row>
    <row r="5" spans="1:14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7" t="s">
        <v>121</v>
      </c>
      <c r="I5" s="107" t="s">
        <v>122</v>
      </c>
      <c r="J5" s="107" t="s">
        <v>123</v>
      </c>
      <c r="K5" s="101"/>
    </row>
    <row r="6" spans="1:14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10">
        <v>24.1</v>
      </c>
      <c r="K6" s="101"/>
      <c r="M6" t="s">
        <v>124</v>
      </c>
      <c r="N6" t="s">
        <v>125</v>
      </c>
    </row>
    <row r="7" spans="1:14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11">
        <v>0.56</v>
      </c>
      <c r="K7" s="101"/>
      <c r="M7" t="s">
        <v>19</v>
      </c>
      <c r="N7">
        <v>320.0</v>
      </c>
    </row>
    <row r="8" spans="1:14">
      <c r="B8" s="101" t="s">
        <v>108</v>
      </c>
      <c r="C8" s="108">
        <v>0.81857142857143</v>
      </c>
      <c r="D8" s="108">
        <v>1.65</v>
      </c>
      <c r="E8" s="108">
        <v>1.2</v>
      </c>
      <c r="F8" s="108">
        <v>1.36</v>
      </c>
      <c r="G8" s="108">
        <v>1.4</v>
      </c>
      <c r="H8" s="108">
        <v>1.4</v>
      </c>
      <c r="I8" s="108">
        <v>2.4857142857143</v>
      </c>
      <c r="J8" s="101"/>
      <c r="K8" s="101"/>
    </row>
    <row r="9" spans="1:14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1"/>
      <c r="K9" s="101"/>
    </row>
    <row r="10" spans="1:14">
      <c r="B10" s="101" t="s">
        <v>110</v>
      </c>
      <c r="C10" s="101">
        <v>70.0</v>
      </c>
      <c r="D10" s="101">
        <v>50.0</v>
      </c>
      <c r="E10" s="101">
        <v>60.0</v>
      </c>
      <c r="F10" s="101">
        <v>50.0</v>
      </c>
      <c r="G10" s="101">
        <v>50.0</v>
      </c>
      <c r="H10" s="101">
        <v>50.0</v>
      </c>
      <c r="I10" s="101">
        <v>70.0</v>
      </c>
      <c r="J10" s="101">
        <f>SUM(C10:I10)</f>
        <v>400</v>
      </c>
      <c r="K10" s="101"/>
    </row>
    <row r="11" spans="1:14">
      <c r="B11" s="101" t="s">
        <v>111</v>
      </c>
      <c r="C11" s="108">
        <f>C8*C10</f>
        <v>57.3</v>
      </c>
      <c r="D11" s="108">
        <f>D8*D10</f>
        <v>82.5</v>
      </c>
      <c r="E11" s="108">
        <f>E8*E10</f>
        <v>72</v>
      </c>
      <c r="F11" s="108">
        <f>F8*F10</f>
        <v>68</v>
      </c>
      <c r="G11" s="108">
        <f>G8*G10</f>
        <v>70</v>
      </c>
      <c r="H11" s="108">
        <f>H8*H10</f>
        <v>70</v>
      </c>
      <c r="I11" s="108">
        <f>I8*I10</f>
        <v>174</v>
      </c>
      <c r="J11" s="101">
        <f>SUM(C11:I11)</f>
        <v>593.8</v>
      </c>
      <c r="K11" s="101"/>
    </row>
    <row r="12" spans="1:14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1"/>
      <c r="K12" s="101"/>
    </row>
    <row r="13" spans="1:14">
      <c r="B13" s="101" t="s">
        <v>113</v>
      </c>
      <c r="C13" s="109">
        <f>C11/J11</f>
        <v>0.096497137083193</v>
      </c>
      <c r="D13" s="109">
        <f>D11/J11</f>
        <v>0.13893566857528</v>
      </c>
      <c r="E13" s="109">
        <f>E11/J11</f>
        <v>0.12125294712024</v>
      </c>
      <c r="F13" s="109">
        <f>F11/J11</f>
        <v>0.11451667228023</v>
      </c>
      <c r="G13" s="109">
        <f>G11/J11</f>
        <v>0.11788480970024</v>
      </c>
      <c r="H13" s="109">
        <f>H11/J11</f>
        <v>0.11788480970024</v>
      </c>
      <c r="I13" s="109">
        <f>I11/J11</f>
        <v>0.29302795554059</v>
      </c>
      <c r="J13" s="101"/>
      <c r="K13" s="101"/>
    </row>
    <row r="14" spans="1:14">
      <c r="B14" s="101" t="s">
        <v>114</v>
      </c>
      <c r="C14" s="108">
        <f>J14*C13</f>
        <v>18.527450319973</v>
      </c>
      <c r="D14" s="108">
        <f>J14*D13</f>
        <v>26.675648366453</v>
      </c>
      <c r="E14" s="108">
        <f>J14*E13</f>
        <v>23.280565847087</v>
      </c>
      <c r="F14" s="108">
        <f>J14*F13</f>
        <v>21.987201077804</v>
      </c>
      <c r="G14" s="108">
        <f>J14*G13</f>
        <v>22.633883462445</v>
      </c>
      <c r="H14" s="108">
        <f>J14*H13</f>
        <v>22.633883462445</v>
      </c>
      <c r="I14" s="108">
        <f>J14*I13</f>
        <v>56.261367463793</v>
      </c>
      <c r="J14" s="101">
        <f>IF(J7&lt;1, N7*0.6, N7*0.6*J7)</f>
        <v>192</v>
      </c>
      <c r="K14" s="101"/>
    </row>
    <row r="15" spans="1:14">
      <c r="B15" s="101" t="s">
        <v>115</v>
      </c>
      <c r="C15" s="108">
        <f>C11+C14</f>
        <v>75.827450319973</v>
      </c>
      <c r="D15" s="108">
        <f>D11+D14</f>
        <v>109.17564836645</v>
      </c>
      <c r="E15" s="108">
        <f>E11+E14</f>
        <v>95.280565847087</v>
      </c>
      <c r="F15" s="108">
        <f>F11+F14</f>
        <v>89.987201077804</v>
      </c>
      <c r="G15" s="108">
        <f>G11+G14</f>
        <v>92.633883462445</v>
      </c>
      <c r="H15" s="108">
        <f>H11+H14</f>
        <v>92.633883462445</v>
      </c>
      <c r="I15" s="108">
        <f>I11+I14</f>
        <v>230.26136746379</v>
      </c>
      <c r="J15" s="112">
        <f>SUM(C15:I15)</f>
        <v>785.8</v>
      </c>
      <c r="K15" s="101"/>
    </row>
    <row r="16" spans="1:14">
      <c r="B16" s="106" t="s">
        <v>116</v>
      </c>
      <c r="C16" s="108">
        <f>C12+C14</f>
        <v>18.527450319973</v>
      </c>
      <c r="D16" s="108">
        <f>D12+D14</f>
        <v>26.675648366453</v>
      </c>
      <c r="E16" s="108">
        <f>E12+E14</f>
        <v>23.280565847087</v>
      </c>
      <c r="F16" s="108">
        <f>F12+F14</f>
        <v>21.987201077804</v>
      </c>
      <c r="G16" s="108">
        <f>G12+G14</f>
        <v>22.633883462445</v>
      </c>
      <c r="H16" s="108">
        <f>H12+H14</f>
        <v>22.633883462445</v>
      </c>
      <c r="I16" s="108">
        <f>I12+I14</f>
        <v>56.261367463793</v>
      </c>
      <c r="J16" s="101"/>
      <c r="K16" s="101"/>
    </row>
    <row r="17" spans="1:14">
      <c r="B17" s="101" t="s">
        <v>117</v>
      </c>
      <c r="C17" s="108">
        <f>IF(J11&gt;5000,100*C13,50*C13)</f>
        <v>4.8248568541596</v>
      </c>
      <c r="D17" s="108">
        <f>IF(J11&gt;5000,100*D13,50*D13)</f>
        <v>6.9467834287639</v>
      </c>
      <c r="E17" s="108">
        <f>IF(J11&gt;5000,100*E13,50*E13)</f>
        <v>6.0626473560121</v>
      </c>
      <c r="F17" s="108">
        <f>IF(J11&gt;5000,100*F13,50*F13)</f>
        <v>5.7258336140114</v>
      </c>
      <c r="G17" s="108">
        <f>IF(J11&gt;5000,100*G13,50*G13)</f>
        <v>5.8942404850118</v>
      </c>
      <c r="H17" s="108">
        <f>IF(J11&gt;5000,100*H13,50*H13)</f>
        <v>5.8942404850118</v>
      </c>
      <c r="I17" s="108">
        <f>IF(J11&gt;5000,100*I13,50*I13)</f>
        <v>14.651397777029</v>
      </c>
      <c r="J17" s="101"/>
      <c r="K17" s="101"/>
    </row>
    <row r="18" spans="1:14">
      <c r="B18" s="101" t="s">
        <v>118</v>
      </c>
      <c r="C18" s="108">
        <f>C15+C17</f>
        <v>80.652307174133</v>
      </c>
      <c r="D18" s="108">
        <f>D15+D17</f>
        <v>116.12243179522</v>
      </c>
      <c r="E18" s="108">
        <f>E15+E17</f>
        <v>101.3432132031</v>
      </c>
      <c r="F18" s="108">
        <f>F15+F17</f>
        <v>95.713034691815</v>
      </c>
      <c r="G18" s="108">
        <f>G15+G17</f>
        <v>98.528123947457</v>
      </c>
      <c r="H18" s="108">
        <f>H15+H17</f>
        <v>98.528123947457</v>
      </c>
      <c r="I18" s="108">
        <f>I15+I17</f>
        <v>244.91276524082</v>
      </c>
      <c r="J18" s="101"/>
      <c r="K18" s="101"/>
    </row>
    <row r="19" spans="1:14">
      <c r="B19" s="106" t="s">
        <v>119</v>
      </c>
      <c r="C19" s="108">
        <f>C16+C17</f>
        <v>23.352307174133</v>
      </c>
      <c r="D19" s="108">
        <f>D16+D17</f>
        <v>33.622431795217</v>
      </c>
      <c r="E19" s="108">
        <f>E16+E17</f>
        <v>29.343213203099</v>
      </c>
      <c r="F19" s="108">
        <f>F16+F17</f>
        <v>27.713034691815</v>
      </c>
      <c r="G19" s="108">
        <f>G16+G17</f>
        <v>28.528123947457</v>
      </c>
      <c r="H19" s="108">
        <f>H16+H17</f>
        <v>28.528123947457</v>
      </c>
      <c r="I19" s="108">
        <f>I16+I17</f>
        <v>70.912765240822</v>
      </c>
      <c r="J19" s="101"/>
      <c r="K19" s="101"/>
    </row>
    <row r="23" spans="1:14">
      <c r="B23" s="102" t="s">
        <v>126</v>
      </c>
      <c r="C23" s="101"/>
      <c r="D23" s="101"/>
      <c r="E23" s="101"/>
    </row>
    <row r="26" spans="1:14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f>SUM(C26:I26)</f>
        <v>0</v>
      </c>
    </row>
    <row r="27" spans="1:14">
      <c r="C27" s="104">
        <v>0.0</v>
      </c>
      <c r="D27" s="104">
        <v>0.0</v>
      </c>
      <c r="E27" s="104">
        <v>0.06</v>
      </c>
      <c r="F27" s="104">
        <v>0.0</v>
      </c>
      <c r="G27" s="104">
        <v>0.0</v>
      </c>
      <c r="H27" s="104">
        <v>0.0</v>
      </c>
      <c r="I27" s="104">
        <v>0.0</v>
      </c>
    </row>
    <row r="28" spans="1:14">
      <c r="B28" s="101" t="s">
        <v>127</v>
      </c>
      <c r="C28" s="108">
        <f>MAX(C19,C18)*C27</f>
        <v>0</v>
      </c>
      <c r="D28" s="108">
        <f>MAX(D19,D18)*D27</f>
        <v>0</v>
      </c>
      <c r="E28" s="108">
        <f>MAX(E19,E18)*E27</f>
        <v>6.0805927921859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SUM(C28:I28)</f>
        <v>6.0805927921859</v>
      </c>
      <c r="K28" s="101"/>
    </row>
    <row r="29" spans="1:14">
      <c r="B29" s="101" t="s">
        <v>33</v>
      </c>
      <c r="C29" s="108">
        <f>0.16*(MAX(C19,C18)+C28)</f>
        <v>12.904369147861</v>
      </c>
      <c r="D29" s="108">
        <f>0.16*(MAX(D19,D18)+D28)</f>
        <v>18.579589087235</v>
      </c>
      <c r="E29" s="108">
        <f>0.16*(MAX(E19,E18)+E28)</f>
        <v>17.187808959246</v>
      </c>
      <c r="F29" s="108">
        <f>0.16*(MAX(F19,F18)+F28)</f>
        <v>15.31408555069</v>
      </c>
      <c r="G29" s="108">
        <f>0.16*(MAX(G19,G18)+G28)</f>
        <v>15.764499831593</v>
      </c>
      <c r="H29" s="108">
        <f>0.16*(MAX(H19,H18)+H28)</f>
        <v>15.764499831593</v>
      </c>
      <c r="I29" s="108">
        <f>0.16*(MAX(I19,I18)+I28)</f>
        <v>39.186042438532</v>
      </c>
      <c r="J29" s="108">
        <f>SUM(C29:I29)</f>
        <v>134.70089484675</v>
      </c>
      <c r="K29" s="101"/>
    </row>
    <row r="30" spans="1:14">
      <c r="B30" s="101" t="s">
        <v>34</v>
      </c>
      <c r="C30" s="108">
        <f>0.02*(MAX(C19,C18)+C28)</f>
        <v>1.6130461434827</v>
      </c>
      <c r="D30" s="108">
        <f>0.02*(MAX(D19,D18)+D28)</f>
        <v>2.3224486359043</v>
      </c>
      <c r="E30" s="108">
        <f>0.02*(MAX(E19,E18)+E28)</f>
        <v>2.1484761199057</v>
      </c>
      <c r="F30" s="108">
        <f>0.02*(MAX(F19,F18)+F28)</f>
        <v>1.9142606938363</v>
      </c>
      <c r="G30" s="108">
        <f>0.02*(MAX(G19,G18)+G28)</f>
        <v>1.9705624789491</v>
      </c>
      <c r="H30" s="108">
        <f>0.02*(MAX(H19,H18)+H28)</f>
        <v>1.9705624789491</v>
      </c>
      <c r="I30" s="108">
        <f>0.02*(MAX(I19,I18)+I28)</f>
        <v>4.8982553048165</v>
      </c>
      <c r="J30" s="108">
        <f>SUM(C30:I30)</f>
        <v>16.837611855844</v>
      </c>
      <c r="K30" s="101"/>
    </row>
    <row r="31" spans="1:14">
      <c r="B31" s="101" t="s">
        <v>128</v>
      </c>
      <c r="C31" s="108">
        <f>0.035*(MAX(C18,C19) +C28+C29+C30)</f>
        <v>3.3309402862917</v>
      </c>
      <c r="D31" s="108">
        <f>0.035*(MAX(D18,D19) +D28+D29+D30)</f>
        <v>4.7958564331425</v>
      </c>
      <c r="E31" s="108">
        <f>0.035*(MAX(E18,E19) +E28+E29+E30)</f>
        <v>4.4366031876053</v>
      </c>
      <c r="F31" s="108">
        <f>0.035*(MAX(F18,F19) +F28+F29+F30)</f>
        <v>3.952948332772</v>
      </c>
      <c r="G31" s="108">
        <f>0.035*(MAX(G18,G19) +G28+G29+G30)</f>
        <v>4.06921151903</v>
      </c>
      <c r="H31" s="108">
        <f>0.035*(MAX(H18,H19) +H28+H29+H30)</f>
        <v>4.06921151903</v>
      </c>
      <c r="I31" s="108">
        <f>0.035*(MAX(I18,I19) +I28+I29+I30)</f>
        <v>10.114897204446</v>
      </c>
      <c r="J31" s="108">
        <f>SUM(C31:I31)</f>
        <v>34.769668482317</v>
      </c>
      <c r="K31" s="101"/>
    </row>
    <row r="32" spans="1:14">
      <c r="B32" s="101" t="s">
        <v>39</v>
      </c>
      <c r="C32" s="108">
        <f>SUM(C28:C31)</f>
        <v>17.848355577636</v>
      </c>
      <c r="D32" s="108">
        <f>SUM(D28:D31)</f>
        <v>25.697894156282</v>
      </c>
      <c r="E32" s="108">
        <f>SUM(E28:E31)</f>
        <v>29.853481058942</v>
      </c>
      <c r="F32" s="108">
        <f>SUM(F28:F31)</f>
        <v>21.181294577299</v>
      </c>
      <c r="G32" s="108">
        <f>SUM(G28:G31)</f>
        <v>21.804273829572</v>
      </c>
      <c r="H32" s="108">
        <f>SUM(H28:H31)</f>
        <v>21.804273829572</v>
      </c>
      <c r="I32" s="108">
        <f>SUM(I28:I31)</f>
        <v>54.199194947794</v>
      </c>
      <c r="J32" s="108">
        <f>SUM(J28:J31)</f>
        <v>192.3887679771</v>
      </c>
      <c r="K32" s="101"/>
    </row>
    <row r="37" spans="1:14">
      <c r="B37" s="102" t="s">
        <v>129</v>
      </c>
      <c r="C37" s="101"/>
      <c r="D37" s="101"/>
      <c r="E37" s="101"/>
    </row>
    <row r="40" spans="1:14">
      <c r="B40" s="101" t="s">
        <v>130</v>
      </c>
      <c r="C40" s="108">
        <f>C13*J40</f>
        <v>12.351633546649</v>
      </c>
      <c r="D40" s="108">
        <f>D13*J40</f>
        <v>17.783765577636</v>
      </c>
      <c r="E40" s="108">
        <f>E13*J40</f>
        <v>15.520377231391</v>
      </c>
      <c r="F40" s="108">
        <f>F13*J40</f>
        <v>14.658134051869</v>
      </c>
      <c r="G40" s="108">
        <f>G13*J40</f>
        <v>15.08925564163</v>
      </c>
      <c r="H40" s="108">
        <f>H13*J40</f>
        <v>15.08925564163</v>
      </c>
      <c r="I40" s="108">
        <f>I13*J40</f>
        <v>37.507578309195</v>
      </c>
      <c r="J40" s="101">
        <f>IF(J7&lt;1, N7*0.4, N7*0.4*J7)</f>
        <v>128</v>
      </c>
      <c r="K40" s="101"/>
    </row>
    <row r="41" spans="1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1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1:14">
      <c r="B43" s="101" t="s">
        <v>130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 t="s">
        <v>121</v>
      </c>
      <c r="I43" s="101" t="s">
        <v>122</v>
      </c>
      <c r="J43" s="101" t="s">
        <v>123</v>
      </c>
      <c r="K43" s="101"/>
    </row>
    <row r="44" spans="1:14">
      <c r="B44" s="101" t="s">
        <v>131</v>
      </c>
      <c r="C44" s="108">
        <f>SUM(C15,C40,C32,(C26))</f>
        <v>106.02743944426</v>
      </c>
      <c r="D44" s="108">
        <f>SUM(D15,D40,D32,(D26))</f>
        <v>152.65730810037</v>
      </c>
      <c r="E44" s="108">
        <f>SUM(E15,E40,E32,(E26))</f>
        <v>140.65442413742</v>
      </c>
      <c r="F44" s="108">
        <f>SUM(F15,F40,F32,(F26))</f>
        <v>125.82662970697</v>
      </c>
      <c r="G44" s="108">
        <f>SUM(G15,G40,G32,(G26))</f>
        <v>129.52741293365</v>
      </c>
      <c r="H44" s="108">
        <f>SUM(H15,H40,H32,(H26))</f>
        <v>129.52741293365</v>
      </c>
      <c r="I44" s="108">
        <f>SUM(I15,I40,I32,(I26))</f>
        <v>321.96814072078</v>
      </c>
      <c r="J44" s="108">
        <f>SUM(C44:I44)</f>
        <v>1106.1887679771</v>
      </c>
      <c r="K44" s="101"/>
    </row>
    <row r="45" spans="1:14">
      <c r="B45" s="101" t="s">
        <v>132</v>
      </c>
      <c r="C45" s="101">
        <v>70.0</v>
      </c>
      <c r="D45" s="101">
        <v>50.0</v>
      </c>
      <c r="E45" s="101">
        <v>60.0</v>
      </c>
      <c r="F45" s="101">
        <v>50.0</v>
      </c>
      <c r="G45" s="101">
        <v>50.0</v>
      </c>
      <c r="H45" s="101">
        <v>50.0</v>
      </c>
      <c r="I45" s="101">
        <v>70.0</v>
      </c>
      <c r="J45" s="101"/>
      <c r="K45" s="101"/>
    </row>
    <row r="46" spans="1:14">
      <c r="B46" s="101" t="s">
        <v>133</v>
      </c>
      <c r="C46" s="108">
        <f>SUM(C44/C45)</f>
        <v>1.5146777063465</v>
      </c>
      <c r="D46" s="108">
        <f>SUM(D44/D45)</f>
        <v>3.0531461620074</v>
      </c>
      <c r="E46" s="108">
        <f>SUM(E44/E45)</f>
        <v>2.3442404022903</v>
      </c>
      <c r="F46" s="108">
        <f>SUM(F44/F45)</f>
        <v>2.5165325941394</v>
      </c>
      <c r="G46" s="108">
        <f>SUM(G44/G45)</f>
        <v>2.590548258673</v>
      </c>
      <c r="H46" s="108">
        <f>SUM(H44/H45)</f>
        <v>2.590548258673</v>
      </c>
      <c r="I46" s="108">
        <f>SUM(I44/I45)</f>
        <v>4.5995448674398</v>
      </c>
      <c r="J46" s="101"/>
      <c r="K46" s="101"/>
    </row>
    <row r="47" spans="1:14">
      <c r="B47" s="101" t="s">
        <v>134</v>
      </c>
      <c r="C47" s="113">
        <f>C46*3.7</f>
        <v>5.6043075134822</v>
      </c>
      <c r="D47" s="113">
        <f>D46*3.7</f>
        <v>11.296640799427</v>
      </c>
      <c r="E47" s="113">
        <f>E46*3.7</f>
        <v>8.6736894884742</v>
      </c>
      <c r="F47" s="113">
        <f>F46*3.7</f>
        <v>9.3111705983159</v>
      </c>
      <c r="G47" s="113">
        <f>G46*3.7</f>
        <v>9.5850285570899</v>
      </c>
      <c r="H47" s="113">
        <f>H46*3.7</f>
        <v>9.5850285570899</v>
      </c>
      <c r="I47" s="113">
        <f>I46*3.7</f>
        <v>17.018316009527</v>
      </c>
      <c r="J47" s="101"/>
      <c r="K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