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<sst xmlns="http://schemas.openxmlformats.org/spreadsheetml/2006/main" uniqueCount="135">
  <si>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COTIZACION Nº20240000001</t>
  </si>
  <si>
    <t>NOMBRE:</t>
  </si>
  <si>
    <t>Edison Benicio Mayhualla</t>
  </si>
  <si>
    <t>VICTOR LUIS SAN MIGUEL CASAS</t>
  </si>
  <si>
    <t>SERVICIO:</t>
  </si>
  <si>
    <t>CARGA CONSOLIDADA</t>
  </si>
  <si>
    <t>N° CAJAS:</t>
  </si>
  <si>
    <t>DNI/RUC:</t>
  </si>
  <si>
    <t>FECHA:</t>
  </si>
  <si>
    <t>PESO:</t>
  </si>
  <si>
    <t>800 Kg</t>
  </si>
  <si>
    <t>CORREO:</t>
  </si>
  <si>
    <t>ORIGEN:</t>
  </si>
  <si>
    <t>CHINA</t>
  </si>
  <si>
    <t>MEDIDA</t>
  </si>
  <si>
    <t>TELEFONO:</t>
  </si>
  <si>
    <t>51 956 686 057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</si>
  <si>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</si>
  <si>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</si>
  <si>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</si>
  <si>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</si>
  <si>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</si>
  <si>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</si>
  <si>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</si>
  <si>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</si>
  <si>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</si>
  <si>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</si>
  <si>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</si>
  <si>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</si>
  <si>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</si>
  <si>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</si>
  <si>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</si>
  <si>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VICTOR LUIS SAN MIGUEL CASAS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</si>
  <si>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</si>
  <si>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</si>
  <si>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</si>
  <si>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</si>
  <si>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</si>
  <si>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</si>
  <si>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</si>
  <si>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</si>
  <si>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</si>
  <si>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</si>
  <si>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</si>
  <si>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</si>
  <si>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</si>
  <si>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</si>
  <si>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</si>
  <si>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</si>
  <si>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</si>
  <si>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</si>
  <si>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</si>
  <si>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CASACA TACTICA MILITAR</t>
  </si>
  <si>
    <t>PANTALON TACTICO MILITAR</t>
  </si>
  <si>
    <t>PULSERA MULTIFUNCIONAL 5 EN 1</t>
  </si>
  <si>
    <t>PASAMONTAÑA MILITAR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</si>
  <si>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</si>
  <si>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</si>
  <si>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</si>
  <si>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</si>
  <si>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</si>
  <si>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</si>
  <si>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</si>
  <si>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</si>
  <si>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</si>
  <si>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</si>
  <si>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</si>
  <si>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</si>
  <si>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</si>
  <si>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</si>
  <si>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</si>
  <si>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</si>
  <si>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</si>
  <si>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</si>
  <si>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</si>
  <si>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</si>
  <si>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</si>
  <si>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</si>
  <si>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</si>
  <si>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</si>
  <si>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</si>
  <si>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</si>
  <si>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</si>
  <si>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</si>
  <si>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</si>
  <si>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</si>
  <si>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</si>
  <si>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</si>
  <si>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</si>
  <si>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</si>
  <si>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</si>
  <si>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</si>
  <si>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</si>
  <si>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</si>
  <si>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</si>
  <si>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</si>
  <si>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</si>
  <si>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</si>
  <si>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</si>
  <si>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</si>
  <si>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</si>
  <si>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</si>
  <si>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</si>
  <si>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</si>
  <si>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</si>
  <si>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</si>
  <si>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</si>
  <si>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</si>
  <si>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</si>
  <si>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</si>
  <si>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</si>
  <si>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</si>
  <si>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</si>
  <si>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</si>
  <si>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</si>
  <si>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</si>
  <si>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</si>
  <si>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</si>
  <si>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</si>
  <si>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</si>
  <si>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GORRO TACTICO MILITAR</t>
  </si>
  <si>
    <t>CAMISETA TACTICA MILITAR</t>
  </si>
  <si>
    <t>CAMISETA MANGA LARGA MILITAR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</si>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</sst>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PANTALON TACTICO MILITAR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74143306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'2'!I7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3951.5550856297</v>
      </c>
      <c r="K14" s="26">
        <f>'2'!I11</f>
        <v>629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'2'!I14 + '2'!I17</f>
        <v>53.556130402604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'2'!I28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'2'!I29</f>
        <v>109.20898086442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'2'!I30</f>
        <v>13.651122608052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41.008710213108</v>
      </c>
      <c r="J23" s="27">
        <f>'2'!D31</f>
        <v>181.15113979052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181.15113979052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'2'!I31</f>
        <v>28.189568185628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181.15113979052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629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3951.5550856297</v>
      </c>
      <c r="K30" s="26">
        <f>IF(J11&lt;1, 321.88, 321.88*J11)</f>
        <v>321.88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151.0496716581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181.15113979052</v>
      </c>
      <c r="K32" s="28">
        <f>K29+K30+K31</f>
        <v>1101.9296716581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200</v>
      </c>
      <c r="G36" s="118">
        <f>'2'!C8</f>
        <v>9.44775</v>
      </c>
      <c r="H36" s="42"/>
      <c r="I36" s="118">
        <f>'2'!C46</f>
        <v>12.830979862239</v>
      </c>
      <c r="J36" s="116">
        <f>'2'!C44</f>
        <v>2566.1959724478</v>
      </c>
      <c r="K36" s="117">
        <f>'2'!C47</f>
        <v>47.474625490284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442</v>
      </c>
      <c r="G37" s="118">
        <f>'2'!D8</f>
        <v>8.2386877828054</v>
      </c>
      <c r="H37" s="58"/>
      <c r="I37" s="119">
        <f>'2'!D46</f>
        <v>12.390002911436</v>
      </c>
      <c r="J37" s="116">
        <f>'2'!D44</f>
        <v>5476.3812868547</v>
      </c>
      <c r="K37" s="117">
        <f>'2'!D47</f>
        <v>45.843010772313</v>
      </c>
      <c r="L37" s="42"/>
      <c r="M37" s="39">
        <v>1</v>
      </c>
      <c r="N37" s="40">
        <f>+B37</f>
        <v>2</v>
      </c>
      <c r="O37" s="43">
        <f>+F37</f>
        <v>442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50</v>
      </c>
      <c r="G38" s="118">
        <f>'2'!E8</f>
        <v>0.76</v>
      </c>
      <c r="H38" s="42"/>
      <c r="I38" s="120">
        <f>'2'!E46</f>
        <v>1.0321552428146</v>
      </c>
      <c r="J38" s="121">
        <f>'2'!E44</f>
        <v>51.60776214073</v>
      </c>
      <c r="K38" s="122">
        <f>'2'!E47</f>
        <v>3.818974398414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55</v>
      </c>
      <c r="D39" s="41"/>
      <c r="E39" s="60"/>
      <c r="F39" s="41">
        <f>'2'!F10</f>
        <v>50</v>
      </c>
      <c r="G39" s="118">
        <f>'2'!F8</f>
        <v>1.45</v>
      </c>
      <c r="H39" s="42"/>
      <c r="I39" s="120">
        <f>'2'!F46</f>
        <v>2.0845435629682</v>
      </c>
      <c r="J39" s="121">
        <f>'2'!F44</f>
        <v>104.22717814841</v>
      </c>
      <c r="K39" s="122">
        <f>'2'!F47</f>
        <v>7.7128111829822</v>
      </c>
      <c r="L39" s="42"/>
      <c r="M39" s="90" t="s">
        <v>56</v>
      </c>
      <c r="N39" s="90"/>
      <c r="O39" s="90"/>
      <c r="P39" s="91" t="s">
        <v>57</v>
      </c>
      <c r="Q39" s="92"/>
    </row>
    <row r="40" spans="1:17" customHeight="1" ht="18">
      <c r="A40" s="48" t="s">
        <v>58</v>
      </c>
      <c r="B40" s="124" t="s">
        <v>39</v>
      </c>
      <c r="C40" s="123"/>
      <c r="D40" s="123"/>
      <c r="E40" s="123"/>
      <c r="F40" s="124">
        <f>SUM(F36:F39)</f>
        <v>742</v>
      </c>
      <c r="G40" s="123"/>
      <c r="H40" s="123"/>
      <c r="I40" s="123"/>
      <c r="J40" s="125">
        <f>SUM(J36:J39)</f>
        <v>8198.4121995916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60</v>
      </c>
      <c r="N41" s="74"/>
      <c r="O41" s="50" t="e">
        <f>+J31</f>
        <v>#VALUE!</v>
      </c>
      <c r="P41" s="51" t="s">
        <v>61</v>
      </c>
      <c r="Q41" s="1"/>
    </row>
    <row r="42" spans="1:17" customHeight="1" ht="21">
      <c r="A42" s="49" t="s">
        <v>62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63</v>
      </c>
      <c r="N42" s="74"/>
      <c r="O42" s="50">
        <f>+J32</f>
        <v>181.15113979052</v>
      </c>
      <c r="P42" s="51" t="s">
        <v>64</v>
      </c>
      <c r="Q42" s="1"/>
    </row>
    <row r="43" spans="1:17" customHeight="1" ht="18">
      <c r="A43" s="49" t="s">
        <v>65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66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67</v>
      </c>
      <c r="N44" s="95"/>
      <c r="O44" s="96" t="e">
        <f>+O41+O42+J14</f>
        <v>#VALUE!</v>
      </c>
      <c r="P44" s="98" t="s">
        <v>68</v>
      </c>
      <c r="Q44" s="99"/>
    </row>
    <row r="45" spans="1:17" customHeight="1" ht="18">
      <c r="A45" s="49" t="s">
        <v>69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72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73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74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75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76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77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78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79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80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81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82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83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84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85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86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87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88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89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90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91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93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94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95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96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97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98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99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100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101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7"/>
  <sheetViews>
    <sheetView tabSelected="1" workbookViewId="0" showGridLines="true" showRowColHeaders="1">
      <selection activeCell="B40" sqref="B40:K47"/>
    </sheetView>
  </sheetViews>
  <sheetFormatPr defaultRowHeight="14.4" outlineLevelRow="0" outlineLevelCol="0"/>
  <cols>
    <col min="2" max="2" width="24.708" bestFit="true" customWidth="true" style="0"/>
    <col min="3" max="3" width="26.993" bestFit="true" customWidth="true" style="0"/>
    <col min="4" max="4" width="29.421" bestFit="true" customWidth="true" style="0"/>
    <col min="5" max="5" width="35.277" bestFit="true" customWidth="true" style="0"/>
    <col min="6" max="6" width="23.423" bestFit="true" customWidth="true" style="0"/>
    <col min="7" max="7" width="25.851" bestFit="true" customWidth="true" style="0"/>
    <col min="8" max="8" width="29.421" bestFit="true" customWidth="true" style="0"/>
    <col min="9" max="9" width="34.135" bestFit="true" customWidth="true" style="0"/>
  </cols>
  <sheetData>
    <row r="3" spans="1:14">
      <c r="B3" s="102" t="s">
        <v>104</v>
      </c>
      <c r="C3" s="101"/>
      <c r="D3" s="101"/>
      <c r="E3" s="101"/>
      <c r="F3" s="101"/>
      <c r="G3" s="101"/>
    </row>
    <row r="5" spans="1:14">
      <c r="B5" s="105" t="s">
        <v>105</v>
      </c>
      <c r="C5" s="107" t="s">
        <v>52</v>
      </c>
      <c r="D5" s="107" t="s">
        <v>53</v>
      </c>
      <c r="E5" s="107" t="s">
        <v>54</v>
      </c>
      <c r="F5" s="107" t="s">
        <v>55</v>
      </c>
      <c r="G5" s="107" t="s">
        <v>120</v>
      </c>
      <c r="H5" s="107" t="s">
        <v>121</v>
      </c>
      <c r="I5" s="107" t="s">
        <v>122</v>
      </c>
      <c r="J5" s="107" t="s">
        <v>123</v>
      </c>
      <c r="K5" s="101"/>
    </row>
    <row r="6" spans="1:14">
      <c r="B6" s="101" t="s">
        <v>106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10">
        <v>800.0</v>
      </c>
      <c r="K6" s="101"/>
      <c r="M6" t="s">
        <v>124</v>
      </c>
      <c r="N6" t="s">
        <v>125</v>
      </c>
    </row>
    <row r="7" spans="1:14">
      <c r="B7" s="101" t="s">
        <v>107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11">
        <v>2.55</v>
      </c>
      <c r="K7" s="101"/>
      <c r="M7" t="s">
        <v>19</v>
      </c>
      <c r="N7">
        <v>321.88</v>
      </c>
    </row>
    <row r="8" spans="1:14">
      <c r="B8" s="101" t="s">
        <v>108</v>
      </c>
      <c r="C8" s="108">
        <v>9.44775</v>
      </c>
      <c r="D8" s="108">
        <v>8.2386877828054</v>
      </c>
      <c r="E8" s="108">
        <v>0.76</v>
      </c>
      <c r="F8" s="108">
        <v>1.45</v>
      </c>
      <c r="G8" s="108">
        <v>1.2182608695652</v>
      </c>
      <c r="H8" s="108">
        <v>2.5</v>
      </c>
      <c r="I8" s="108">
        <v>7.4</v>
      </c>
      <c r="J8" s="101"/>
      <c r="K8" s="101"/>
    </row>
    <row r="9" spans="1:14">
      <c r="B9" s="106" t="s">
        <v>109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1"/>
      <c r="K9" s="101"/>
    </row>
    <row r="10" spans="1:14">
      <c r="B10" s="101" t="s">
        <v>110</v>
      </c>
      <c r="C10" s="101">
        <v>200.0</v>
      </c>
      <c r="D10" s="101">
        <v>442.0</v>
      </c>
      <c r="E10" s="101">
        <v>50.0</v>
      </c>
      <c r="F10" s="101">
        <v>50.0</v>
      </c>
      <c r="G10" s="101">
        <v>460.0</v>
      </c>
      <c r="H10" s="101">
        <v>51.0</v>
      </c>
      <c r="I10" s="101">
        <v>85.0</v>
      </c>
      <c r="J10" s="101">
        <f>SUM(C10:I10)</f>
        <v>1338</v>
      </c>
      <c r="K10" s="101"/>
    </row>
    <row r="11" spans="1:14">
      <c r="B11" s="101" t="s">
        <v>111</v>
      </c>
      <c r="C11" s="108">
        <f>C8*C10</f>
        <v>1889.55</v>
      </c>
      <c r="D11" s="108">
        <f>D8*D10</f>
        <v>3641.5</v>
      </c>
      <c r="E11" s="108">
        <f>E8*E10</f>
        <v>38</v>
      </c>
      <c r="F11" s="108">
        <f>F8*F10</f>
        <v>72.5</v>
      </c>
      <c r="G11" s="108">
        <f>G8*G10</f>
        <v>560.39999999999</v>
      </c>
      <c r="H11" s="108">
        <f>H8*H10</f>
        <v>127.5</v>
      </c>
      <c r="I11" s="108">
        <f>I8*I10</f>
        <v>629</v>
      </c>
      <c r="J11" s="101">
        <f>SUM(C11:I11)</f>
        <v>6958.45</v>
      </c>
      <c r="K11" s="101"/>
    </row>
    <row r="12" spans="1:14">
      <c r="B12" s="106" t="s">
        <v>112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1"/>
      <c r="K12" s="101"/>
    </row>
    <row r="13" spans="1:14">
      <c r="B13" s="101" t="s">
        <v>113</v>
      </c>
      <c r="C13" s="109">
        <f>C11/J11</f>
        <v>0.27154754291545</v>
      </c>
      <c r="D13" s="109">
        <f>D11/J11</f>
        <v>0.52332056708031</v>
      </c>
      <c r="E13" s="109">
        <f>E11/J11</f>
        <v>0.0054609862828647</v>
      </c>
      <c r="F13" s="109">
        <f>F11/J11</f>
        <v>0.010418986987045</v>
      </c>
      <c r="G13" s="109">
        <f>G11/J11</f>
        <v>0.08053517665572</v>
      </c>
      <c r="H13" s="109">
        <f>H11/J11</f>
        <v>0.018323046080665</v>
      </c>
      <c r="I13" s="109">
        <f>I11/J11</f>
        <v>0.090393693997945</v>
      </c>
      <c r="J13" s="101"/>
      <c r="K13" s="101"/>
    </row>
    <row r="14" spans="1:14">
      <c r="B14" s="101" t="s">
        <v>114</v>
      </c>
      <c r="C14" s="108">
        <f>J14*C13</f>
        <v>133.73075636385</v>
      </c>
      <c r="D14" s="108">
        <f>J14*D13</f>
        <v>257.72302892167</v>
      </c>
      <c r="E14" s="108">
        <f>J14*E13</f>
        <v>2.6894068650346</v>
      </c>
      <c r="F14" s="108">
        <f>J14*F13</f>
        <v>5.1311052030266</v>
      </c>
      <c r="G14" s="108">
        <f>J14*G13</f>
        <v>39.661673872773</v>
      </c>
      <c r="H14" s="108">
        <f>J14*H13</f>
        <v>9.0236677708398</v>
      </c>
      <c r="I14" s="108">
        <f>J14*I13</f>
        <v>44.51676100281</v>
      </c>
      <c r="J14" s="101">
        <f>IF(J7&lt;1, N7*0.6, N7*0.6*J7)</f>
        <v>492.4764</v>
      </c>
      <c r="K14" s="101"/>
    </row>
    <row r="15" spans="1:14">
      <c r="B15" s="101" t="s">
        <v>115</v>
      </c>
      <c r="C15" s="108">
        <f>C11+C14</f>
        <v>2023.2807563638</v>
      </c>
      <c r="D15" s="108">
        <f>D11+D14</f>
        <v>3899.2230289217</v>
      </c>
      <c r="E15" s="108">
        <f>E11+E14</f>
        <v>40.689406865035</v>
      </c>
      <c r="F15" s="108">
        <f>F11+F14</f>
        <v>77.631105203027</v>
      </c>
      <c r="G15" s="108">
        <f>G11+G14</f>
        <v>600.06167387276</v>
      </c>
      <c r="H15" s="108">
        <f>H11+H14</f>
        <v>136.52366777084</v>
      </c>
      <c r="I15" s="108">
        <f>I11+I14</f>
        <v>673.51676100281</v>
      </c>
      <c r="J15" s="112">
        <f>SUM(C15:I15)</f>
        <v>7450.9264</v>
      </c>
      <c r="K15" s="101"/>
    </row>
    <row r="16" spans="1:14">
      <c r="B16" s="106" t="s">
        <v>116</v>
      </c>
      <c r="C16" s="108">
        <f>C12+C14</f>
        <v>133.73075636385</v>
      </c>
      <c r="D16" s="108">
        <f>D12+D14</f>
        <v>257.72302892167</v>
      </c>
      <c r="E16" s="108">
        <f>E12+E14</f>
        <v>2.6894068650346</v>
      </c>
      <c r="F16" s="108">
        <f>F12+F14</f>
        <v>5.1311052030266</v>
      </c>
      <c r="G16" s="108">
        <f>G12+G14</f>
        <v>39.661673872773</v>
      </c>
      <c r="H16" s="108">
        <f>H12+H14</f>
        <v>9.0236677708398</v>
      </c>
      <c r="I16" s="108">
        <f>I12+I14</f>
        <v>44.51676100281</v>
      </c>
      <c r="J16" s="101"/>
      <c r="K16" s="101"/>
    </row>
    <row r="17" spans="1:14">
      <c r="B17" s="101" t="s">
        <v>117</v>
      </c>
      <c r="C17" s="108">
        <f>IF(J11&gt;5000,100*C13,50*C13)</f>
        <v>27.154754291545</v>
      </c>
      <c r="D17" s="108">
        <f>IF(J11&gt;5000,100*D13,50*D13)</f>
        <v>52.332056708031</v>
      </c>
      <c r="E17" s="108">
        <f>IF(J11&gt;5000,100*E13,50*E13)</f>
        <v>0.54609862828647</v>
      </c>
      <c r="F17" s="108">
        <f>IF(J11&gt;5000,100*F13,50*F13)</f>
        <v>1.0418986987045</v>
      </c>
      <c r="G17" s="108">
        <f>IF(J11&gt;5000,100*G13,50*G13)</f>
        <v>8.053517665572</v>
      </c>
      <c r="H17" s="108">
        <f>IF(J11&gt;5000,100*H13,50*H13)</f>
        <v>1.8323046080665</v>
      </c>
      <c r="I17" s="108">
        <f>IF(J11&gt;5000,100*I13,50*I13)</f>
        <v>9.0393693997945</v>
      </c>
      <c r="J17" s="101"/>
      <c r="K17" s="101"/>
    </row>
    <row r="18" spans="1:14">
      <c r="B18" s="101" t="s">
        <v>118</v>
      </c>
      <c r="C18" s="108">
        <f>C15+C17</f>
        <v>2050.4355106554</v>
      </c>
      <c r="D18" s="108">
        <f>D15+D17</f>
        <v>3951.5550856297</v>
      </c>
      <c r="E18" s="108">
        <f>E15+E17</f>
        <v>41.235505493321</v>
      </c>
      <c r="F18" s="108">
        <f>F15+F17</f>
        <v>78.673003901731</v>
      </c>
      <c r="G18" s="108">
        <f>G15+G17</f>
        <v>608.11519153834</v>
      </c>
      <c r="H18" s="108">
        <f>H15+H17</f>
        <v>138.35597237891</v>
      </c>
      <c r="I18" s="108">
        <f>I15+I17</f>
        <v>682.5561304026</v>
      </c>
      <c r="J18" s="101"/>
      <c r="K18" s="101"/>
    </row>
    <row r="19" spans="1:14">
      <c r="B19" s="106" t="s">
        <v>119</v>
      </c>
      <c r="C19" s="108">
        <f>C16+C17</f>
        <v>160.88551065539</v>
      </c>
      <c r="D19" s="108">
        <f>D16+D17</f>
        <v>310.0550856297</v>
      </c>
      <c r="E19" s="108">
        <f>E16+E17</f>
        <v>3.2355054933211</v>
      </c>
      <c r="F19" s="108">
        <f>F16+F17</f>
        <v>6.173003901731</v>
      </c>
      <c r="G19" s="108">
        <f>G16+G17</f>
        <v>47.715191538345</v>
      </c>
      <c r="H19" s="108">
        <f>H16+H17</f>
        <v>10.855972378906</v>
      </c>
      <c r="I19" s="108">
        <f>I16+I17</f>
        <v>53.556130402604</v>
      </c>
      <c r="J19" s="101"/>
      <c r="K19" s="101"/>
    </row>
    <row r="23" spans="1:14">
      <c r="B23" s="102" t="s">
        <v>126</v>
      </c>
      <c r="C23" s="101"/>
      <c r="D23" s="101"/>
      <c r="E23" s="101"/>
    </row>
    <row r="26" spans="1:14">
      <c r="B26" t="s">
        <v>35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f>SUM(C26:I26)</f>
        <v>0</v>
      </c>
    </row>
    <row r="27" spans="1:14">
      <c r="C27" s="104">
        <v>0.0</v>
      </c>
      <c r="D27" s="104">
        <v>0.11</v>
      </c>
      <c r="E27" s="104">
        <v>0.0</v>
      </c>
      <c r="F27" s="104">
        <v>0.06</v>
      </c>
      <c r="G27" s="104">
        <v>0.0</v>
      </c>
      <c r="H27" s="104">
        <v>0.0</v>
      </c>
      <c r="I27" s="104">
        <v>0.0</v>
      </c>
    </row>
    <row r="28" spans="1:14">
      <c r="B28" s="101" t="s">
        <v>127</v>
      </c>
      <c r="C28" s="108">
        <f>MAX(C19,C18)*C27</f>
        <v>0</v>
      </c>
      <c r="D28" s="108">
        <f>MAX(D19,D18)*D27</f>
        <v>434.67105941927</v>
      </c>
      <c r="E28" s="108">
        <f>MAX(E19,E18)*E27</f>
        <v>0</v>
      </c>
      <c r="F28" s="108">
        <f>MAX(F19,F18)*F27</f>
        <v>4.7203802341039</v>
      </c>
      <c r="G28" s="108">
        <f>MAX(G19,G18)*G27</f>
        <v>0</v>
      </c>
      <c r="H28" s="108">
        <f>MAX(H19,H18)*H27</f>
        <v>0</v>
      </c>
      <c r="I28" s="108">
        <f>MAX(I19,I18)*I27</f>
        <v>0</v>
      </c>
      <c r="J28" s="108">
        <f>SUM(C28:I28)</f>
        <v>439.39143965337</v>
      </c>
      <c r="K28" s="101"/>
    </row>
    <row r="29" spans="1:14">
      <c r="B29" s="101" t="s">
        <v>33</v>
      </c>
      <c r="C29" s="108">
        <f>0.16*(MAX(C19,C18)+C28)</f>
        <v>328.06968170486</v>
      </c>
      <c r="D29" s="108">
        <f>0.16*(MAX(D19,D18)+D28)</f>
        <v>701.79618320783</v>
      </c>
      <c r="E29" s="108">
        <f>0.16*(MAX(E19,E18)+E28)</f>
        <v>6.5976808789314</v>
      </c>
      <c r="F29" s="108">
        <f>0.16*(MAX(F19,F18)+F28)</f>
        <v>13.342941461734</v>
      </c>
      <c r="G29" s="108">
        <f>0.16*(MAX(G19,G18)+G28)</f>
        <v>97.298430646134</v>
      </c>
      <c r="H29" s="108">
        <f>0.16*(MAX(H19,H18)+H28)</f>
        <v>22.136955580625</v>
      </c>
      <c r="I29" s="108">
        <f>0.16*(MAX(I19,I18)+I28)</f>
        <v>109.20898086442</v>
      </c>
      <c r="J29" s="108">
        <f>SUM(C29:I29)</f>
        <v>1278.4508543445</v>
      </c>
      <c r="K29" s="101"/>
    </row>
    <row r="30" spans="1:14">
      <c r="B30" s="101" t="s">
        <v>34</v>
      </c>
      <c r="C30" s="108">
        <f>0.02*(MAX(C19,C18)+C28)</f>
        <v>41.008710213108</v>
      </c>
      <c r="D30" s="108">
        <f>0.02*(MAX(D19,D18)+D28)</f>
        <v>87.724522900979</v>
      </c>
      <c r="E30" s="108">
        <f>0.02*(MAX(E19,E18)+E28)</f>
        <v>0.82471010986642</v>
      </c>
      <c r="F30" s="108">
        <f>0.02*(MAX(F19,F18)+F28)</f>
        <v>1.6678676827167</v>
      </c>
      <c r="G30" s="108">
        <f>0.02*(MAX(G19,G18)+G28)</f>
        <v>12.162303830767</v>
      </c>
      <c r="H30" s="108">
        <f>0.02*(MAX(H19,H18)+H28)</f>
        <v>2.7671194475781</v>
      </c>
      <c r="I30" s="108">
        <f>0.02*(MAX(I19,I18)+I28)</f>
        <v>13.651122608052</v>
      </c>
      <c r="J30" s="108">
        <f>SUM(C30:I30)</f>
        <v>159.80635679307</v>
      </c>
      <c r="K30" s="101"/>
    </row>
    <row r="31" spans="1:14">
      <c r="B31" s="101" t="s">
        <v>128</v>
      </c>
      <c r="C31" s="108">
        <f>0.035*(MAX(C18,C19) +C28+C29+C30)</f>
        <v>84.682986590068</v>
      </c>
      <c r="D31" s="108">
        <f>0.035*(MAX(D18,D19) +D28+D29+D30)</f>
        <v>181.15113979052</v>
      </c>
      <c r="E31" s="108">
        <f>0.035*(MAX(E18,E19) +E28+E29+E30)</f>
        <v>1.7030263768742</v>
      </c>
      <c r="F31" s="108">
        <f>0.035*(MAX(F18,F19) +F28+F29+F30)</f>
        <v>3.44414676481</v>
      </c>
      <c r="G31" s="108">
        <f>0.035*(MAX(G18,G19) +G28+G29+G30)</f>
        <v>25.115157410533</v>
      </c>
      <c r="H31" s="108">
        <f>0.035*(MAX(H18,H19) +H28+H29+H30)</f>
        <v>5.7141016592488</v>
      </c>
      <c r="I31" s="108">
        <f>0.035*(MAX(I18,I19) +I28+I29+I30)</f>
        <v>28.189568185628</v>
      </c>
      <c r="J31" s="108">
        <f>SUM(C31:I31)</f>
        <v>330.00012677768</v>
      </c>
      <c r="K31" s="101"/>
    </row>
    <row r="32" spans="1:14">
      <c r="B32" s="101" t="s">
        <v>39</v>
      </c>
      <c r="C32" s="108">
        <f>SUM(C28:C31)</f>
        <v>453.76137850804</v>
      </c>
      <c r="D32" s="108">
        <f>SUM(D28:D31)</f>
        <v>1405.3429053186</v>
      </c>
      <c r="E32" s="108">
        <f>SUM(E28:E31)</f>
        <v>9.125417365672</v>
      </c>
      <c r="F32" s="108">
        <f>SUM(F28:F31)</f>
        <v>23.175336143364</v>
      </c>
      <c r="G32" s="108">
        <f>SUM(G28:G31)</f>
        <v>134.57589188743</v>
      </c>
      <c r="H32" s="108">
        <f>SUM(H28:H31)</f>
        <v>30.618176687452</v>
      </c>
      <c r="I32" s="108">
        <f>SUM(I28:I31)</f>
        <v>151.0496716581</v>
      </c>
      <c r="J32" s="108">
        <f>SUM(J28:J31)</f>
        <v>2207.6487775687</v>
      </c>
      <c r="K32" s="101"/>
    </row>
    <row r="37" spans="1:14">
      <c r="B37" s="102" t="s">
        <v>129</v>
      </c>
      <c r="C37" s="101"/>
      <c r="D37" s="101"/>
      <c r="E37" s="101"/>
    </row>
    <row r="40" spans="1:14">
      <c r="B40" s="101" t="s">
        <v>130</v>
      </c>
      <c r="C40" s="108">
        <f>C13*J40</f>
        <v>89.153837575897</v>
      </c>
      <c r="D40" s="108">
        <f>D13*J40</f>
        <v>171.81535261445</v>
      </c>
      <c r="E40" s="108">
        <f>E13*J40</f>
        <v>1.7929379100231</v>
      </c>
      <c r="F40" s="108">
        <f>F13*J40</f>
        <v>3.4207368020177</v>
      </c>
      <c r="G40" s="108">
        <f>G13*J40</f>
        <v>26.441115915182</v>
      </c>
      <c r="H40" s="108">
        <f>H13*J40</f>
        <v>6.0157785138932</v>
      </c>
      <c r="I40" s="108">
        <f>I13*J40</f>
        <v>29.67784066854</v>
      </c>
      <c r="J40" s="101">
        <f>IF(J7&lt;1, N7*0.4, N7*0.4*J7)</f>
        <v>328.3176</v>
      </c>
      <c r="K40" s="101"/>
    </row>
    <row r="41" spans="1:14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1:14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1:14">
      <c r="B43" s="101" t="s">
        <v>130</v>
      </c>
      <c r="C43" s="101" t="s">
        <v>52</v>
      </c>
      <c r="D43" s="101" t="s">
        <v>53</v>
      </c>
      <c r="E43" s="101" t="s">
        <v>54</v>
      </c>
      <c r="F43" s="101" t="s">
        <v>55</v>
      </c>
      <c r="G43" s="101" t="s">
        <v>120</v>
      </c>
      <c r="H43" s="101" t="s">
        <v>121</v>
      </c>
      <c r="I43" s="101" t="s">
        <v>122</v>
      </c>
      <c r="J43" s="101" t="s">
        <v>123</v>
      </c>
      <c r="K43" s="101"/>
    </row>
    <row r="44" spans="1:14">
      <c r="B44" s="101" t="s">
        <v>131</v>
      </c>
      <c r="C44" s="108">
        <f>SUM(C15,C40,C32,(C26))</f>
        <v>2566.1959724478</v>
      </c>
      <c r="D44" s="108">
        <f>SUM(D15,D40,D32,(D26))</f>
        <v>5476.3812868547</v>
      </c>
      <c r="E44" s="108">
        <f>SUM(E15,E40,E32,(E26))</f>
        <v>51.60776214073</v>
      </c>
      <c r="F44" s="108">
        <f>SUM(F15,F40,F32,(F26))</f>
        <v>104.22717814841</v>
      </c>
      <c r="G44" s="108">
        <f>SUM(G15,G40,G32,(G26))</f>
        <v>761.07868167538</v>
      </c>
      <c r="H44" s="108">
        <f>SUM(H15,H40,H32,(H26))</f>
        <v>173.15762297218</v>
      </c>
      <c r="I44" s="108">
        <f>SUM(I15,I40,I32,(I26))</f>
        <v>854.24427332945</v>
      </c>
      <c r="J44" s="108">
        <f>SUM(C44:I44)</f>
        <v>9986.8927775686</v>
      </c>
      <c r="K44" s="101"/>
    </row>
    <row r="45" spans="1:14">
      <c r="B45" s="101" t="s">
        <v>132</v>
      </c>
      <c r="C45" s="101">
        <v>200.0</v>
      </c>
      <c r="D45" s="101">
        <v>442.0</v>
      </c>
      <c r="E45" s="101">
        <v>50.0</v>
      </c>
      <c r="F45" s="101">
        <v>50.0</v>
      </c>
      <c r="G45" s="101">
        <v>460.0</v>
      </c>
      <c r="H45" s="101">
        <v>51.0</v>
      </c>
      <c r="I45" s="101">
        <v>85.0</v>
      </c>
      <c r="J45" s="101"/>
      <c r="K45" s="101"/>
    </row>
    <row r="46" spans="1:14">
      <c r="B46" s="101" t="s">
        <v>133</v>
      </c>
      <c r="C46" s="108">
        <f>SUM(C44/C45)</f>
        <v>12.830979862239</v>
      </c>
      <c r="D46" s="108">
        <f>SUM(D44/D45)</f>
        <v>12.390002911436</v>
      </c>
      <c r="E46" s="108">
        <f>SUM(E44/E45)</f>
        <v>1.0321552428146</v>
      </c>
      <c r="F46" s="108">
        <f>SUM(F44/F45)</f>
        <v>2.0845435629682</v>
      </c>
      <c r="G46" s="108">
        <f>SUM(G44/G45)</f>
        <v>1.6545188732073</v>
      </c>
      <c r="H46" s="108">
        <f>SUM(H44/H45)</f>
        <v>3.3952475092585</v>
      </c>
      <c r="I46" s="108">
        <f>SUM(I44/I45)</f>
        <v>10.049932627405</v>
      </c>
      <c r="J46" s="101"/>
      <c r="K46" s="101"/>
    </row>
    <row r="47" spans="1:14">
      <c r="B47" s="101" t="s">
        <v>134</v>
      </c>
      <c r="C47" s="113">
        <f>C46*3.7</f>
        <v>47.474625490284</v>
      </c>
      <c r="D47" s="113">
        <f>D46*3.7</f>
        <v>45.843010772313</v>
      </c>
      <c r="E47" s="113">
        <f>E46*3.7</f>
        <v>3.818974398414</v>
      </c>
      <c r="F47" s="113">
        <f>F46*3.7</f>
        <v>7.7128111829822</v>
      </c>
      <c r="G47" s="113">
        <f>G46*3.7</f>
        <v>6.1217198308672</v>
      </c>
      <c r="H47" s="113">
        <f>H46*3.7</f>
        <v>12.562415784257</v>
      </c>
      <c r="I47" s="113">
        <f>I46*3.7</f>
        <v>37.184750721399</v>
      </c>
      <c r="J47" s="101"/>
      <c r="K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