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oyectos\Probusiness\probusiness_intranetv2_back\public\assets\templates\"/>
    </mc:Choice>
  </mc:AlternateContent>
  <xr:revisionPtr revIDLastSave="0" documentId="13_ncr:1_{CFEF3A72-E856-4B85-914D-0047ADAEF325}" xr6:coauthVersionLast="47" xr6:coauthVersionMax="47" xr10:uidLastSave="{00000000-0000-0000-0000-000000000000}"/>
  <bookViews>
    <workbookView xWindow="28680" yWindow="-120" windowWidth="20730" windowHeight="11040" activeTab="1" xr2:uid="{257BA261-74CC-4916-BA91-38C0DD91A292}"/>
  </bookViews>
  <sheets>
    <sheet name="1" sheetId="1" r:id="rId1"/>
    <sheet name="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D51" i="2" s="1"/>
  <c r="C52" i="2"/>
  <c r="D50" i="2"/>
  <c r="C50" i="2"/>
  <c r="D44" i="2"/>
  <c r="C31" i="2"/>
  <c r="D31" i="2" s="1"/>
  <c r="L22" i="2"/>
  <c r="K22" i="2"/>
  <c r="K21" i="2"/>
  <c r="K20" i="2"/>
  <c r="L19" i="2"/>
  <c r="N19" i="2" s="1"/>
  <c r="K19" i="2"/>
  <c r="C19" i="2"/>
  <c r="D19" i="2" s="1"/>
  <c r="K18" i="2"/>
  <c r="C18" i="2"/>
  <c r="D18" i="2" s="1"/>
  <c r="D24" i="2" s="1"/>
  <c r="K17" i="2"/>
  <c r="D17" i="2"/>
  <c r="D52" i="2" s="1"/>
  <c r="G16" i="2"/>
  <c r="D14" i="2"/>
  <c r="D13" i="2"/>
  <c r="D12" i="2"/>
  <c r="D8" i="2"/>
  <c r="D6" i="2"/>
  <c r="D5" i="2"/>
  <c r="D4" i="2"/>
  <c r="F37" i="1"/>
  <c r="O37" i="1" s="1"/>
  <c r="B37" i="1"/>
  <c r="N37" i="1" s="1"/>
  <c r="I23" i="1"/>
  <c r="I20" i="1"/>
  <c r="E9" i="1"/>
  <c r="C20" i="2" l="1"/>
  <c r="C24" i="2" l="1"/>
  <c r="C44" i="2"/>
  <c r="I11" i="1"/>
  <c r="I9" i="1"/>
  <c r="I8" i="1"/>
  <c r="M19" i="2"/>
  <c r="L18" i="2"/>
  <c r="N18" i="2" s="1"/>
  <c r="J31" i="1" l="1"/>
  <c r="L21" i="2"/>
  <c r="N21" i="2" s="1"/>
  <c r="M17" i="2" l="1"/>
  <c r="L17" i="2"/>
  <c r="N17" i="2" s="1"/>
  <c r="M20" i="2"/>
  <c r="L20" i="2"/>
  <c r="N20" i="2" s="1"/>
  <c r="N21" i="1"/>
  <c r="O41" i="1"/>
  <c r="M18" i="2" l="1"/>
  <c r="J14" i="1"/>
  <c r="D21" i="2" l="1"/>
  <c r="C21" i="2" s="1"/>
  <c r="M21" i="2"/>
  <c r="E37" i="1"/>
  <c r="J30" i="1"/>
  <c r="C23" i="2" l="1"/>
  <c r="C22" i="2"/>
  <c r="E38" i="1"/>
  <c r="J23" i="1"/>
  <c r="J15" i="1"/>
  <c r="J16" i="1" s="1"/>
  <c r="D22" i="2" l="1"/>
  <c r="C25" i="2"/>
  <c r="D23" i="2"/>
  <c r="C26" i="2"/>
  <c r="D26" i="2" s="1"/>
  <c r="D25" i="2" l="1"/>
  <c r="C34" i="2"/>
  <c r="D34" i="2" l="1"/>
  <c r="C36" i="2"/>
  <c r="D36" i="2" s="1"/>
  <c r="C35" i="2"/>
  <c r="D35" i="2" s="1"/>
  <c r="C37" i="2" l="1"/>
  <c r="D37" i="2" s="1"/>
  <c r="C38" i="2" l="1"/>
  <c r="J22" i="1"/>
  <c r="J21" i="1"/>
  <c r="J20" i="1"/>
  <c r="J24" i="1" s="1"/>
  <c r="D38" i="2" l="1"/>
  <c r="D53" i="2" s="1"/>
  <c r="D54" i="2" s="1"/>
  <c r="C51" i="2"/>
  <c r="C53" i="2" s="1"/>
  <c r="C54" i="2" s="1"/>
  <c r="J26" i="1"/>
  <c r="J27" i="1" s="1"/>
  <c r="J32" i="1" s="1"/>
  <c r="H37" i="1" l="1"/>
  <c r="O42" i="1"/>
  <c r="O44" i="1" s="1"/>
  <c r="J33" i="1"/>
  <c r="P37" i="1"/>
  <c r="Q37" i="1" s="1"/>
  <c r="J37" i="1"/>
  <c r="I37" i="1"/>
  <c r="I38" i="1" s="1"/>
  <c r="C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21" authorId="0" shapeId="0" xr:uid="{6F531CDC-C0BB-410A-B38D-949BB6853088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80% del de detalle de carga</t>
        </r>
      </text>
    </comment>
    <comment ref="B24" authorId="0" shapeId="0" xr:uid="{76B7883D-DAAB-4320-ABAC-236DEDC8D0E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<sst xmlns="http://schemas.openxmlformats.org/spreadsheetml/2006/main" count="167" uniqueCount="130">
  <si>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</si>
  <si>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</si>
  <si>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</si>
  <si>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</si>
  <si>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</si>
  <si>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</si>
  <si>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</si>
  <si>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</si>
  <si>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</si>
  <si>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</si>
  <si>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</si>
  <si>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</si>
  <si>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</si>
  <si>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</si>
  <si>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</si>
  <si>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</si>
  <si>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</si>
  <si>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</si>
  <si>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</si>
  <si>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</si>
  <si>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</si>
  <si>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</si>
  <si>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</si>
  <si>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</si>
  <si>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</si>
  <si>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</si>
  <si>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</si>
  <si>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</si>
  <si>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</si>
  <si>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</si>
  <si>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</si>
  <si>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</si>
  <si>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</si>
  <si>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</si>
  <si>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</si>
  <si>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</si>
  <si>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</si>
  <si>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</si>
  <si>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</si>
  <si>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</si>
  <si>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</si>
  <si>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</si>
  <si>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</si>
  <si>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</si>
  <si>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</si>
  <si>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</si>
  <si>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</si>
  <si>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</si>
  <si>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</si>
  <si>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</si>
  <si>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</si>
  <si>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</si>
  <si>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</si>
  <si>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</si>
  <si>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</si>
  <si>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t>PRIMER PAGO</t>
  </si>
  <si>
    <t>Servicio de Consolidado antes de la Fecha de Corte 30/06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</si>
  <si>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</si>
  <si>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t>SEGUNDO PAGO</t>
  </si>
  <si>
    <t>Pago de Impuestos antes del Arribo 13/08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</si>
  <si>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el </t>
    </r>
    <r>
      <rPr>
        <b/>
        <sz val="14"/>
        <color theme="1"/>
        <rFont val="Calibri Light"/>
        <family val="2"/>
        <scheme val="major"/>
      </rPr>
      <t>Servicio de Importación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</si>
  <si>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</si>
  <si>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</si>
  <si>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</si>
  <si>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El cálculo de Impuestos puede variar por parte de </t>
    </r>
    <r>
      <rPr>
        <b/>
        <sz val="14"/>
        <color theme="1"/>
        <rFont val="Calibri Light"/>
        <family val="2"/>
        <scheme val="major"/>
      </rPr>
      <t>Aduanas</t>
    </r>
    <r>
      <rPr>
        <sz val="14"/>
        <color theme="1"/>
        <rFont val="Calibri Light"/>
        <family val="2"/>
        <scheme val="major"/>
      </rPr>
      <t>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</si>
  <si>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Si la carga ocupa más volumen de lo cotizado, se le tendrá que </t>
    </r>
    <r>
      <rPr>
        <b/>
        <sz val="14"/>
        <color theme="1"/>
        <rFont val="Calibri Light"/>
        <family val="2"/>
        <scheme val="major"/>
      </rPr>
      <t>actualizar</t>
    </r>
    <r>
      <rPr>
        <sz val="14"/>
        <color theme="1"/>
        <rFont val="Calibri Light"/>
        <family val="2"/>
        <scheme val="major"/>
      </rPr>
      <t xml:space="preserve"> su cotización.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</si>
  <si>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Habrá un costo extra del servicio del *monta cargas* en Lima (aplica para los Pallets)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</si>
  <si>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</si>
  <si>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</si>
  <si>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</si>
  <si>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</si>
  <si>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</si>
  <si>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</si>
  <si>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</si>
  <si>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</si>
  <si>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</si>
  <si>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</si>
  <si>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</si>
  <si>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</si>
  <si>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</si>
  <si>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</si>
  <si>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</si>
  <si>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</si>
  <si>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</si>
  <si>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</si>
  <si>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</si>
  <si>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</si>
  <si>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</si>
  <si>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</si>
  <si>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</si>
  <si>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</si>
  <si>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</si>
  <si>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</si>
  <si>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</si>
  <si>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</si>
  <si>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</si>
  <si>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</si>
  <si>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</si>
  <si>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</si>
  <si>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</si>
  <si>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TOTALES</t>
  </si>
  <si>
    <t>N PROVEEDOR</t>
  </si>
  <si>
    <t>PESO (KG)</t>
  </si>
  <si>
    <t>VOL.  X PROVEEDOR</t>
  </si>
  <si>
    <t>NOMBRE</t>
  </si>
  <si>
    <t>varillas cromadas dura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</si>
  <si>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</si>
  <si>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</si>
  <si>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</si>
  <si>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</si>
  <si>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</si>
  <si>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</si>
  <si>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</si>
  <si>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</si>
  <si>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DISTRIBUCIÓN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</si>
  <si>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</si>
  <si>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</si>
  <si>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</si>
  <si>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</si>
  <si>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</si>
  <si>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</si>
  <si>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</si>
  <si>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</si>
  <si>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</si>
  <si>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COSTOS DESTINOS</t>
  </si>
  <si>
    <t>ITEM</t>
  </si>
  <si>
    <t>COSTO TOTAL DE IMPORTACIÓN</t>
  </si>
  <si>
    <t>COSTO TOTAL</t>
  </si>
  <si>
    <t>COSTO UNITARIO</t>
  </si>
  <si>
    <t>COSTO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</si>
</sst>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S/&quot;\ * #,##0.00_-;\-&quot;S/&quot;\ * #,##0.00_-;_-&quot;S/&quot;\ * &quot;-&quot;??_-;_-@_-"/>
    <numFmt numFmtId="43" formatCode="_-* #,##0.00_-;\-* #,##0.00_-;_-* &quot;-&quot;??_-;_-@_-"/>
    <numFmt numFmtId="164" formatCode="0.0\ &quot;kg&quot;"/>
    <numFmt numFmtId="165" formatCode="0.0\ &quot;cm&quot;"/>
    <numFmt numFmtId="166" formatCode="#,##0.000\ &quot;m3&quot;"/>
    <numFmt numFmtId="167" formatCode="0.00\ &quot;cm&quot;"/>
    <numFmt numFmtId="168" formatCode="_-[$$-540A]* #,##0.00_ ;_-[$$-540A]* \-#,##0.00\ ;_-[$$-540A]* &quot;-&quot;??_ ;_-@_ "/>
    <numFmt numFmtId="169" formatCode="_-[$$-540A]* #,##0.000_ ;_-[$$-540A]* \-#,##0.000\ ;_-[$$-540A]* &quot;-&quot;???_ ;_-@_ "/>
    <numFmt numFmtId="170" formatCode="0.00\ &quot;x UC&quot;"/>
    <numFmt numFmtId="171" formatCode="[$$-409]#,##0"/>
    <numFmt numFmtId="172" formatCode="_-[$S/-280A]\ * #,##0.00_-;\-[$S/-280A]\ * #,##0.00_-;_-[$S/-280A]\ * &quot;-&quot;??_-;_-@_-"/>
    <numFmt numFmtId="173" formatCode="_-[$$-409]* #,##0.00_ ;_-[$$-409]* \-#,##0.00\ ;_-[$$-409]* &quot;-&quot;??_ ;_-@_ "/>
    <numFmt numFmtId="174" formatCode="_-[$$-409]* #,##0.0_ ;_-[$$-409]* \-#,##0.0\ ;_-[$$-409]* &quot;-&quot;??_ ;_-@_ "/>
    <numFmt numFmtId="175" formatCode="_-[$$-409]* #,##0.000_ ;_-[$$-409]* \-#,##0.000\ ;_-[$$-409]* &quot;-&quot;??_ ;_-@_ "/>
    <numFmt numFmtId="176" formatCode="[$$-54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0"/>
      <name val="Arial"/>
      <family val="2"/>
    </font>
    <font>
      <sz val="11"/>
      <color theme="0"/>
      <name val="Calibri Light"/>
      <family val="2"/>
      <scheme val="major"/>
    </font>
    <font>
      <sz val="12"/>
      <color theme="0"/>
      <name val="Arial"/>
      <family val="2"/>
    </font>
    <font>
      <b/>
      <sz val="11"/>
      <color theme="0"/>
      <name val="Calibri Light"/>
      <family val="2"/>
      <scheme val="major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Arial"/>
      <family val="2"/>
    </font>
    <font>
      <sz val="18"/>
      <color theme="1"/>
      <name val="Calibri"/>
      <family val="2"/>
      <scheme val="minor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 Light"/>
      <family val="2"/>
      <scheme val="major"/>
    </font>
    <font>
      <sz val="7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E37C1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center" vertical="center"/>
    </xf>
    <xf numFmtId="0" fontId="8" fillId="2" borderId="0" xfId="0" applyFont="1" applyFill="1"/>
    <xf numFmtId="0" fontId="9" fillId="0" borderId="0" xfId="0" applyFont="1"/>
    <xf numFmtId="0" fontId="9" fillId="2" borderId="0" xfId="0" applyFont="1" applyFill="1"/>
    <xf numFmtId="0" fontId="7" fillId="3" borderId="0" xfId="0" applyFont="1" applyFill="1" applyAlignment="1">
      <alignment horizontal="center"/>
    </xf>
    <xf numFmtId="0" fontId="9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9" fillId="2" borderId="5" xfId="0" applyFont="1" applyFill="1" applyBorder="1"/>
    <xf numFmtId="0" fontId="4" fillId="2" borderId="5" xfId="0" applyFont="1" applyFill="1" applyBorder="1"/>
    <xf numFmtId="0" fontId="0" fillId="2" borderId="6" xfId="0" applyFill="1" applyBorder="1"/>
    <xf numFmtId="165" fontId="7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9" fillId="2" borderId="7" xfId="0" applyFont="1" applyFill="1" applyBorder="1"/>
    <xf numFmtId="0" fontId="7" fillId="2" borderId="1" xfId="0" applyFont="1" applyFill="1" applyBorder="1"/>
    <xf numFmtId="0" fontId="7" fillId="2" borderId="8" xfId="0" applyFont="1" applyFill="1" applyBorder="1"/>
    <xf numFmtId="167" fontId="0" fillId="2" borderId="0" xfId="0" applyNumberForma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68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8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6" borderId="0" xfId="0" applyFill="1"/>
    <xf numFmtId="169" fontId="0" fillId="6" borderId="0" xfId="0" applyNumberFormat="1" applyFill="1"/>
    <xf numFmtId="170" fontId="0" fillId="2" borderId="1" xfId="0" applyNumberFormat="1" applyFill="1" applyBorder="1" applyAlignment="1">
      <alignment horizontal="center"/>
    </xf>
    <xf numFmtId="169" fontId="0" fillId="2" borderId="0" xfId="0" applyNumberFormat="1" applyFill="1"/>
    <xf numFmtId="0" fontId="0" fillId="2" borderId="0" xfId="0" applyFill="1" applyAlignment="1">
      <alignment horizontal="center"/>
    </xf>
    <xf numFmtId="171" fontId="7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3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173" fontId="0" fillId="2" borderId="11" xfId="0" applyNumberFormat="1" applyFill="1" applyBorder="1" applyAlignment="1">
      <alignment horizontal="center"/>
    </xf>
    <xf numFmtId="173" fontId="0" fillId="2" borderId="11" xfId="0" applyNumberFormat="1" applyFill="1" applyBorder="1"/>
    <xf numFmtId="172" fontId="16" fillId="2" borderId="9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3" fontId="17" fillId="2" borderId="3" xfId="0" applyNumberFormat="1" applyFont="1" applyFill="1" applyBorder="1"/>
    <xf numFmtId="0" fontId="4" fillId="2" borderId="0" xfId="0" applyFont="1" applyFill="1" applyAlignment="1">
      <alignment horizontal="right"/>
    </xf>
    <xf numFmtId="2" fontId="17" fillId="2" borderId="0" xfId="0" applyNumberFormat="1" applyFont="1" applyFill="1" applyAlignment="1">
      <alignment horizontal="left"/>
    </xf>
    <xf numFmtId="174" fontId="17" fillId="2" borderId="0" xfId="0" applyNumberFormat="1" applyFont="1" applyFill="1"/>
    <xf numFmtId="0" fontId="20" fillId="2" borderId="0" xfId="0" applyFont="1" applyFill="1"/>
    <xf numFmtId="0" fontId="21" fillId="2" borderId="0" xfId="0" applyFont="1" applyFill="1"/>
    <xf numFmtId="168" fontId="22" fillId="2" borderId="9" xfId="0" applyNumberFormat="1" applyFont="1" applyFill="1" applyBorder="1" applyAlignment="1">
      <alignment horizontal="center"/>
    </xf>
    <xf numFmtId="0" fontId="23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4" fillId="2" borderId="0" xfId="0" applyFont="1" applyFill="1"/>
    <xf numFmtId="0" fontId="27" fillId="2" borderId="0" xfId="0" applyFont="1" applyFill="1"/>
    <xf numFmtId="0" fontId="28" fillId="2" borderId="0" xfId="0" applyFont="1" applyFill="1" applyAlignment="1">
      <alignment vertical="center"/>
    </xf>
    <xf numFmtId="0" fontId="2" fillId="11" borderId="23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/>
    </xf>
    <xf numFmtId="164" fontId="7" fillId="12" borderId="9" xfId="0" applyNumberFormat="1" applyFont="1" applyFill="1" applyBorder="1" applyAlignment="1">
      <alignment horizontal="center"/>
    </xf>
    <xf numFmtId="166" fontId="7" fillId="2" borderId="9" xfId="0" applyNumberFormat="1" applyFont="1" applyFill="1" applyBorder="1" applyAlignment="1">
      <alignment horizontal="center"/>
    </xf>
    <xf numFmtId="166" fontId="7" fillId="6" borderId="9" xfId="0" applyNumberFormat="1" applyFont="1" applyFill="1" applyBorder="1" applyAlignment="1">
      <alignment horizontal="center"/>
    </xf>
    <xf numFmtId="0" fontId="0" fillId="3" borderId="27" xfId="0" applyFill="1" applyBorder="1"/>
    <xf numFmtId="175" fontId="0" fillId="2" borderId="27" xfId="0" applyNumberFormat="1" applyFill="1" applyBorder="1" applyAlignment="1">
      <alignment horizontal="center"/>
    </xf>
    <xf numFmtId="173" fontId="0" fillId="2" borderId="0" xfId="0" applyNumberFormat="1" applyFill="1"/>
    <xf numFmtId="0" fontId="0" fillId="6" borderId="9" xfId="0" applyFill="1" applyBorder="1"/>
    <xf numFmtId="175" fontId="0" fillId="6" borderId="9" xfId="0" applyNumberFormat="1" applyFill="1" applyBorder="1" applyAlignment="1">
      <alignment horizontal="center"/>
    </xf>
    <xf numFmtId="173" fontId="0" fillId="2" borderId="9" xfId="0" applyNumberFormat="1" applyFill="1" applyBorder="1" applyAlignment="1">
      <alignment horizontal="center" vertical="center"/>
    </xf>
    <xf numFmtId="9" fontId="0" fillId="2" borderId="0" xfId="2" applyFont="1" applyFill="1"/>
    <xf numFmtId="0" fontId="0" fillId="3" borderId="9" xfId="0" applyFill="1" applyBorder="1"/>
    <xf numFmtId="173" fontId="0" fillId="2" borderId="9" xfId="0" applyNumberFormat="1" applyFill="1" applyBorder="1"/>
    <xf numFmtId="176" fontId="0" fillId="2" borderId="9" xfId="0" applyNumberFormat="1" applyFill="1" applyBorder="1" applyAlignment="1">
      <alignment horizontal="center" vertical="center"/>
    </xf>
    <xf numFmtId="0" fontId="4" fillId="10" borderId="9" xfId="0" applyFont="1" applyFill="1" applyBorder="1"/>
    <xf numFmtId="173" fontId="4" fillId="10" borderId="9" xfId="0" applyNumberFormat="1" applyFont="1" applyFill="1" applyBorder="1" applyAlignment="1">
      <alignment horizontal="center"/>
    </xf>
    <xf numFmtId="0" fontId="4" fillId="6" borderId="9" xfId="0" applyFont="1" applyFill="1" applyBorder="1"/>
    <xf numFmtId="173" fontId="4" fillId="6" borderId="9" xfId="0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9" fontId="0" fillId="2" borderId="0" xfId="0" applyNumberFormat="1" applyFill="1"/>
    <xf numFmtId="173" fontId="0" fillId="2" borderId="9" xfId="0" applyNumberFormat="1" applyFill="1" applyBorder="1" applyAlignment="1">
      <alignment horizontal="center"/>
    </xf>
    <xf numFmtId="173" fontId="0" fillId="3" borderId="9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28" xfId="0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168" fontId="4" fillId="2" borderId="9" xfId="0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73" fontId="4" fillId="2" borderId="9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9" xfId="0" applyFont="1" applyFill="1" applyBorder="1" applyAlignment="1">
      <alignment horizontal="left"/>
    </xf>
    <xf numFmtId="173" fontId="3" fillId="2" borderId="9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173" fontId="1" fillId="10" borderId="9" xfId="1" applyNumberFormat="1" applyFont="1" applyFill="1" applyBorder="1" applyAlignment="1">
      <alignment horizontal="center"/>
    </xf>
    <xf numFmtId="0" fontId="0" fillId="10" borderId="0" xfId="0" applyFill="1"/>
    <xf numFmtId="173" fontId="0" fillId="2" borderId="0" xfId="0" applyNumberFormat="1" applyFill="1" applyAlignment="1">
      <alignment horizontal="center"/>
    </xf>
    <xf numFmtId="9" fontId="0" fillId="2" borderId="9" xfId="0" applyNumberFormat="1" applyFill="1" applyBorder="1" applyAlignment="1">
      <alignment horizontal="center"/>
    </xf>
    <xf numFmtId="173" fontId="0" fillId="10" borderId="9" xfId="0" applyNumberFormat="1" applyFill="1" applyBorder="1" applyAlignment="1">
      <alignment horizontal="center"/>
    </xf>
    <xf numFmtId="0" fontId="4" fillId="10" borderId="0" xfId="0" applyFont="1" applyFill="1"/>
    <xf numFmtId="0" fontId="4" fillId="2" borderId="9" xfId="0" applyFont="1" applyFill="1" applyBorder="1" applyAlignment="1">
      <alignment horizontal="left"/>
    </xf>
    <xf numFmtId="0" fontId="0" fillId="2" borderId="9" xfId="3" applyNumberFormat="1" applyFont="1" applyFill="1" applyBorder="1" applyAlignment="1">
      <alignment horizontal="center"/>
    </xf>
    <xf numFmtId="0" fontId="0" fillId="10" borderId="9" xfId="0" applyFill="1" applyBorder="1"/>
    <xf numFmtId="44" fontId="0" fillId="2" borderId="9" xfId="1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24" fillId="9" borderId="9" xfId="0" applyFont="1" applyFill="1" applyBorder="1" applyAlignment="1">
      <alignment horizontal="center" vertical="center"/>
    </xf>
    <xf numFmtId="168" fontId="22" fillId="2" borderId="9" xfId="0" applyNumberFormat="1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14" fillId="8" borderId="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172" fontId="15" fillId="8" borderId="5" xfId="0" applyNumberFormat="1" applyFont="1" applyFill="1" applyBorder="1" applyAlignment="1">
      <alignment horizontal="center" vertical="center"/>
    </xf>
    <xf numFmtId="172" fontId="15" fillId="8" borderId="7" xfId="0" applyNumberFormat="1" applyFont="1" applyFill="1" applyBorder="1" applyAlignment="1">
      <alignment horizontal="center" vertical="center"/>
    </xf>
    <xf numFmtId="172" fontId="15" fillId="8" borderId="14" xfId="0" applyNumberFormat="1" applyFont="1" applyFill="1" applyBorder="1" applyAlignment="1">
      <alignment horizontal="center" vertical="center" wrapText="1"/>
    </xf>
    <xf numFmtId="172" fontId="15" fillId="8" borderId="17" xfId="0" applyNumberFormat="1" applyFont="1" applyFill="1" applyBorder="1" applyAlignment="1">
      <alignment horizontal="center" vertical="center" wrapText="1"/>
    </xf>
    <xf numFmtId="172" fontId="15" fillId="8" borderId="0" xfId="0" applyNumberFormat="1" applyFont="1" applyFill="1" applyAlignment="1">
      <alignment horizontal="center" vertical="center" wrapText="1"/>
    </xf>
    <xf numFmtId="172" fontId="15" fillId="8" borderId="1" xfId="0" applyNumberFormat="1" applyFont="1" applyFill="1" applyBorder="1" applyAlignment="1">
      <alignment horizontal="center" vertical="center" wrapText="1"/>
    </xf>
    <xf numFmtId="172" fontId="15" fillId="8" borderId="15" xfId="0" applyNumberFormat="1" applyFont="1" applyFill="1" applyBorder="1" applyAlignment="1">
      <alignment horizontal="center" vertical="center" wrapText="1"/>
    </xf>
    <xf numFmtId="172" fontId="15" fillId="8" borderId="18" xfId="0" applyNumberFormat="1" applyFont="1" applyFill="1" applyBorder="1" applyAlignment="1">
      <alignment horizontal="center" vertical="center" wrapText="1"/>
    </xf>
    <xf numFmtId="172" fontId="15" fillId="8" borderId="16" xfId="0" applyNumberFormat="1" applyFont="1" applyFill="1" applyBorder="1" applyAlignment="1">
      <alignment horizontal="center" vertical="center" wrapText="1"/>
    </xf>
    <xf numFmtId="172" fontId="15" fillId="8" borderId="19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72" fontId="5" fillId="5" borderId="9" xfId="0" applyNumberFormat="1" applyFont="1" applyFill="1" applyBorder="1" applyAlignment="1">
      <alignment horizontal="center"/>
    </xf>
    <xf numFmtId="173" fontId="0" fillId="2" borderId="11" xfId="0" applyNumberFormat="1" applyFill="1" applyBorder="1" applyAlignment="1">
      <alignment horizontal="center"/>
    </xf>
    <xf numFmtId="173" fontId="0" fillId="2" borderId="13" xfId="0" applyNumberFormat="1" applyFill="1" applyBorder="1" applyAlignment="1">
      <alignment horizontal="center"/>
    </xf>
    <xf numFmtId="0" fontId="18" fillId="9" borderId="9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left"/>
    </xf>
    <xf numFmtId="14" fontId="7" fillId="2" borderId="6" xfId="0" applyNumberFormat="1" applyFont="1" applyFill="1" applyBorder="1" applyAlignment="1">
      <alignment horizontal="left"/>
    </xf>
    <xf numFmtId="164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4" fillId="10" borderId="20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173" fontId="0" fillId="2" borderId="0" xfId="0" applyNumberFormat="1" applyFill="1" applyAlignment="1">
      <alignment horizontal="center"/>
    </xf>
    <xf numFmtId="0" fontId="29" fillId="1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4" fillId="10" borderId="0" xfId="0" applyFont="1" applyFill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147864</xdr:rowOff>
    </xdr:from>
    <xdr:to>
      <xdr:col>1</xdr:col>
      <xdr:colOff>299357</xdr:colOff>
      <xdr:row>58</xdr:row>
      <xdr:rowOff>27214</xdr:rowOff>
    </xdr:to>
    <xdr:sp macro="" textlink="">
      <xdr:nvSpPr>
        <xdr:cNvPr id="2" name="Rectángulo: esquinas redondeadas 5">
          <a:extLst>
            <a:ext uri="{FF2B5EF4-FFF2-40B4-BE49-F238E27FC236}">
              <a16:creationId xmlns:a16="http://schemas.microsoft.com/office/drawing/2014/main" id="{D1A07A01-1282-4161-8B3A-979BF77BD304}"/>
            </a:ext>
          </a:extLst>
        </xdr:cNvPr>
        <xdr:cNvSpPr/>
      </xdr:nvSpPr>
      <xdr:spPr>
        <a:xfrm>
          <a:off x="57150" y="11692164"/>
          <a:ext cx="1166132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0</xdr:col>
      <xdr:colOff>7258</xdr:colOff>
      <xdr:row>56</xdr:row>
      <xdr:rowOff>139247</xdr:rowOff>
    </xdr:from>
    <xdr:to>
      <xdr:col>1</xdr:col>
      <xdr:colOff>503464</xdr:colOff>
      <xdr:row>58</xdr:row>
      <xdr:rowOff>40822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5567009-A808-4462-BB4E-0916A5D979AA}"/>
            </a:ext>
          </a:extLst>
        </xdr:cNvPr>
        <xdr:cNvSpPr txBox="1"/>
      </xdr:nvSpPr>
      <xdr:spPr>
        <a:xfrm>
          <a:off x="7258" y="11683547"/>
          <a:ext cx="1420131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51938</xdr:colOff>
      <xdr:row>73</xdr:row>
      <xdr:rowOff>147864</xdr:rowOff>
    </xdr:from>
    <xdr:to>
      <xdr:col>2</xdr:col>
      <xdr:colOff>161126</xdr:colOff>
      <xdr:row>75</xdr:row>
      <xdr:rowOff>27214</xdr:rowOff>
    </xdr:to>
    <xdr:sp macro="" textlink="">
      <xdr:nvSpPr>
        <xdr:cNvPr id="4" name="Rectángulo: esquinas redondeadas 5">
          <a:extLst>
            <a:ext uri="{FF2B5EF4-FFF2-40B4-BE49-F238E27FC236}">
              <a16:creationId xmlns:a16="http://schemas.microsoft.com/office/drawing/2014/main" id="{93110C10-8557-4BEE-A9DF-D3C5EC354C2D}"/>
            </a:ext>
          </a:extLst>
        </xdr:cNvPr>
        <xdr:cNvSpPr/>
      </xdr:nvSpPr>
      <xdr:spPr>
        <a:xfrm>
          <a:off x="51938" y="14930664"/>
          <a:ext cx="2576163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0</xdr:col>
      <xdr:colOff>20865</xdr:colOff>
      <xdr:row>73</xdr:row>
      <xdr:rowOff>139247</xdr:rowOff>
    </xdr:from>
    <xdr:to>
      <xdr:col>2</xdr:col>
      <xdr:colOff>258536</xdr:colOff>
      <xdr:row>75</xdr:row>
      <xdr:rowOff>108857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1A25FAE-C380-418F-9D88-5DF5F0CBFDB5}"/>
            </a:ext>
          </a:extLst>
        </xdr:cNvPr>
        <xdr:cNvSpPr txBox="1"/>
      </xdr:nvSpPr>
      <xdr:spPr>
        <a:xfrm>
          <a:off x="20865" y="14922047"/>
          <a:ext cx="2609396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0</xdr:col>
      <xdr:colOff>68035</xdr:colOff>
      <xdr:row>87</xdr:row>
      <xdr:rowOff>147864</xdr:rowOff>
    </xdr:from>
    <xdr:to>
      <xdr:col>1</xdr:col>
      <xdr:colOff>629124</xdr:colOff>
      <xdr:row>89</xdr:row>
      <xdr:rowOff>27214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FD524106-B234-4D77-A732-284E047B6CDA}"/>
            </a:ext>
          </a:extLst>
        </xdr:cNvPr>
        <xdr:cNvSpPr/>
      </xdr:nvSpPr>
      <xdr:spPr>
        <a:xfrm>
          <a:off x="68035" y="17597664"/>
          <a:ext cx="1485014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0</xdr:col>
      <xdr:colOff>48080</xdr:colOff>
      <xdr:row>87</xdr:row>
      <xdr:rowOff>139248</xdr:rowOff>
    </xdr:from>
    <xdr:to>
      <xdr:col>2</xdr:col>
      <xdr:colOff>462643</xdr:colOff>
      <xdr:row>89</xdr:row>
      <xdr:rowOff>54430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B8BF8F3-100F-4A3D-8F09-9DC4790FA162}"/>
            </a:ext>
          </a:extLst>
        </xdr:cNvPr>
        <xdr:cNvSpPr txBox="1"/>
      </xdr:nvSpPr>
      <xdr:spPr>
        <a:xfrm>
          <a:off x="48080" y="17589048"/>
          <a:ext cx="2576738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523792</xdr:colOff>
      <xdr:row>24</xdr:row>
      <xdr:rowOff>190497</xdr:rowOff>
    </xdr:from>
    <xdr:to>
      <xdr:col>7</xdr:col>
      <xdr:colOff>14520</xdr:colOff>
      <xdr:row>54</xdr:row>
      <xdr:rowOff>133554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A6E2F84-F5AA-4A14-A390-D12C71FDD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09" t="9881" r="9525" b="9613"/>
        <a:stretch/>
      </xdr:blipFill>
      <xdr:spPr>
        <a:xfrm>
          <a:off x="1285792" y="4871354"/>
          <a:ext cx="5532300" cy="6352021"/>
        </a:xfrm>
        <a:prstGeom prst="rect">
          <a:avLst/>
        </a:prstGeom>
      </xdr:spPr>
    </xdr:pic>
    <xdr:clientData/>
  </xdr:twoCellAnchor>
  <xdr:twoCellAnchor>
    <xdr:from>
      <xdr:col>3</xdr:col>
      <xdr:colOff>607219</xdr:colOff>
      <xdr:row>49</xdr:row>
      <xdr:rowOff>59531</xdr:rowOff>
    </xdr:from>
    <xdr:to>
      <xdr:col>9</xdr:col>
      <xdr:colOff>218434</xdr:colOff>
      <xdr:row>54</xdr:row>
      <xdr:rowOff>94305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1EBB786-2843-4BA7-907D-5352EF291B1A}"/>
            </a:ext>
          </a:extLst>
        </xdr:cNvPr>
        <xdr:cNvSpPr txBox="1"/>
      </xdr:nvSpPr>
      <xdr:spPr>
        <a:xfrm>
          <a:off x="3236119" y="10098881"/>
          <a:ext cx="3764115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PRO MUNDO COMEX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20612452432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1</xdr:col>
      <xdr:colOff>813593</xdr:colOff>
      <xdr:row>48</xdr:row>
      <xdr:rowOff>174625</xdr:rowOff>
    </xdr:from>
    <xdr:to>
      <xdr:col>2</xdr:col>
      <xdr:colOff>84729</xdr:colOff>
      <xdr:row>55</xdr:row>
      <xdr:rowOff>34944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02A874F-4A72-47C7-B7D9-7F830698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518" y="10023475"/>
          <a:ext cx="1189743" cy="1193819"/>
        </a:xfrm>
        <a:prstGeom prst="rect">
          <a:avLst/>
        </a:prstGeom>
      </xdr:spPr>
    </xdr:pic>
    <xdr:clientData/>
  </xdr:twoCellAnchor>
  <xdr:twoCellAnchor editAs="oneCell">
    <xdr:from>
      <xdr:col>0</xdr:col>
      <xdr:colOff>587375</xdr:colOff>
      <xdr:row>0</xdr:row>
      <xdr:rowOff>0</xdr:rowOff>
    </xdr:from>
    <xdr:to>
      <xdr:col>1</xdr:col>
      <xdr:colOff>537371</xdr:colOff>
      <xdr:row>6</xdr:row>
      <xdr:rowOff>50819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09D7663-31EC-48D9-899A-F88D6D14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0"/>
          <a:ext cx="1215460" cy="1193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79078</xdr:rowOff>
    </xdr:from>
    <xdr:to>
      <xdr:col>6</xdr:col>
      <xdr:colOff>168121</xdr:colOff>
      <xdr:row>94</xdr:row>
      <xdr:rowOff>33834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65E6AE1-46EC-423B-AC67-976EB235A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1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11"/>
        <a:stretch/>
      </xdr:blipFill>
      <xdr:spPr>
        <a:xfrm>
          <a:off x="0" y="12766378"/>
          <a:ext cx="6713157" cy="6050756"/>
        </a:xfrm>
        <a:prstGeom prst="rect">
          <a:avLst/>
        </a:prstGeom>
      </xdr:spPr>
    </xdr:pic>
    <xdr:clientData/>
  </xdr:twoCellAnchor>
  <xdr:twoCellAnchor>
    <xdr:from>
      <xdr:col>3</xdr:col>
      <xdr:colOff>31750</xdr:colOff>
      <xdr:row>0</xdr:row>
      <xdr:rowOff>0</xdr:rowOff>
    </xdr:from>
    <xdr:to>
      <xdr:col>8</xdr:col>
      <xdr:colOff>389090</xdr:colOff>
      <xdr:row>5</xdr:row>
      <xdr:rowOff>34774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1F102FA-124B-4980-B163-27B07FF10BDF}"/>
            </a:ext>
          </a:extLst>
        </xdr:cNvPr>
        <xdr:cNvSpPr txBox="1"/>
      </xdr:nvSpPr>
      <xdr:spPr>
        <a:xfrm>
          <a:off x="2660650" y="0"/>
          <a:ext cx="359584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PRO MUNDO COMEX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20612452432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0</xdr:col>
      <xdr:colOff>809977</xdr:colOff>
      <xdr:row>96</xdr:row>
      <xdr:rowOff>166510</xdr:rowOff>
    </xdr:from>
    <xdr:to>
      <xdr:col>4</xdr:col>
      <xdr:colOff>277995</xdr:colOff>
      <xdr:row>112</xdr:row>
      <xdr:rowOff>15875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A57019B-D492-4CDD-ACA0-A090308D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977" y="19330810"/>
          <a:ext cx="4176089" cy="2897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1753474651_JULIO%20GARCIA.xlsm" TargetMode="External"/><Relationship Id="rId1" Type="http://schemas.openxmlformats.org/officeDocument/2006/relationships/externalLinkPath" Target="file:///C:\Users\User\Downloads\1753474651_JULIO%20GAR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</sheetNames>
    <sheetDataSet>
      <sheetData sheetId="0">
        <row r="31">
          <cell r="J31">
            <v>385</v>
          </cell>
        </row>
      </sheetData>
      <sheetData sheetId="1">
        <row r="20">
          <cell r="C20">
            <v>0.17951653944020357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6386-E8E9-4535-87BF-26316FC0121C}">
  <dimension ref="A1:Q113"/>
  <sheetViews>
    <sheetView topLeftCell="A55" zoomScale="70" zoomScaleNormal="70" workbookViewId="0">
      <selection activeCell="T38" sqref="T38"/>
    </sheetView>
  </sheetViews>
  <sheetFormatPr baseColWidth="10" defaultRowHeight="15" x14ac:dyDescent="0.25"/>
  <cols>
    <col min="1" max="1" width="19" customWidth="1"/>
    <col min="2" max="2" width="28.7109375" customWidth="1"/>
    <col min="6" max="6" width="16.140625" customWidth="1"/>
  </cols>
  <sheetData>
    <row r="1" spans="1:17" ht="18.75" x14ac:dyDescent="0.3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ht="18.75" x14ac:dyDescent="0.3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54"/>
      <c r="G3" s="154"/>
      <c r="H3" s="154"/>
      <c r="I3" s="154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55"/>
      <c r="G4" s="155"/>
      <c r="H4" s="155"/>
      <c r="I4" s="155"/>
      <c r="J4" s="5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56" t="s">
        <v>0</v>
      </c>
      <c r="E7" s="156"/>
      <c r="F7" s="156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7">
        <f>+'2'!D5</f>
        <v>1</v>
      </c>
      <c r="J8" s="157"/>
      <c r="K8" s="157"/>
      <c r="L8" s="1"/>
      <c r="M8" s="1"/>
      <c r="N8" s="1"/>
      <c r="O8" s="1"/>
      <c r="P8" s="1"/>
      <c r="Q8" s="1"/>
    </row>
    <row r="9" spans="1:17" x14ac:dyDescent="0.25">
      <c r="A9" s="7" t="s">
        <v>6</v>
      </c>
      <c r="B9" s="8"/>
      <c r="C9" s="1"/>
      <c r="D9" s="12" t="s">
        <v>7</v>
      </c>
      <c r="E9" s="158">
        <f ca="1">+TODAY()</f>
        <v>45896</v>
      </c>
      <c r="F9" s="159"/>
      <c r="G9" s="3"/>
      <c r="H9" s="1" t="s">
        <v>8</v>
      </c>
      <c r="I9" s="160">
        <f>+'2'!D6</f>
        <v>1133</v>
      </c>
      <c r="J9" s="160"/>
      <c r="K9" s="160"/>
      <c r="L9" s="1"/>
      <c r="M9" s="1"/>
      <c r="N9" s="1"/>
      <c r="O9" s="1"/>
      <c r="P9" s="1"/>
      <c r="Q9" s="1"/>
    </row>
    <row r="10" spans="1:17" x14ac:dyDescent="0.25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 x14ac:dyDescent="0.25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61">
        <f>+'2'!D8</f>
        <v>1.075</v>
      </c>
      <c r="J11" s="161"/>
      <c r="K11" s="161"/>
      <c r="L11" s="20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62" t="s">
        <v>17</v>
      </c>
      <c r="B13" s="162"/>
      <c r="C13" s="162"/>
      <c r="D13" s="162"/>
      <c r="E13" s="162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 x14ac:dyDescent="0.25">
      <c r="A14" s="163" t="s">
        <v>20</v>
      </c>
      <c r="B14" s="163"/>
      <c r="C14" s="163"/>
      <c r="D14" s="3"/>
      <c r="E14" s="3"/>
      <c r="F14" s="3"/>
      <c r="G14" s="3"/>
      <c r="H14" s="1"/>
      <c r="I14" s="1"/>
      <c r="J14" s="25">
        <f>'2'!D18</f>
        <v>2451</v>
      </c>
      <c r="K14" s="26" t="s">
        <v>21</v>
      </c>
      <c r="L14" s="1"/>
      <c r="M14" s="1"/>
      <c r="N14" s="1"/>
      <c r="O14" s="1"/>
      <c r="P14" s="1"/>
      <c r="Q14" s="1"/>
    </row>
    <row r="15" spans="1:17" x14ac:dyDescent="0.25">
      <c r="A15" s="164" t="s">
        <v>22</v>
      </c>
      <c r="B15" s="164"/>
      <c r="C15" s="164"/>
      <c r="D15" s="18"/>
      <c r="E15" s="18"/>
      <c r="F15" s="18"/>
      <c r="G15" s="18"/>
      <c r="H15" s="18"/>
      <c r="I15" s="18"/>
      <c r="J15" s="27">
        <f>IF(I11&lt;1,'2'!D21+'2'!D24,60%*(T16*I11)+'2'!D24)</f>
        <v>50</v>
      </c>
      <c r="K15" s="28" t="s">
        <v>21</v>
      </c>
      <c r="L15" s="1"/>
      <c r="M15" s="1"/>
      <c r="N15" s="1"/>
      <c r="O15" s="1"/>
      <c r="P15" s="1"/>
      <c r="Q15" s="1"/>
    </row>
    <row r="16" spans="1:17" x14ac:dyDescent="0.25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2501</v>
      </c>
      <c r="K16" s="26" t="s">
        <v>21</v>
      </c>
      <c r="L16" s="1"/>
      <c r="M16" s="1"/>
      <c r="N16" s="1"/>
      <c r="O16" s="4"/>
      <c r="P16" s="1"/>
      <c r="Q16" s="1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 x14ac:dyDescent="0.25">
      <c r="A19" s="162" t="s">
        <v>24</v>
      </c>
      <c r="B19" s="162"/>
      <c r="C19" s="162"/>
      <c r="D19" s="162"/>
      <c r="E19" s="162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 x14ac:dyDescent="0.25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400.16</v>
      </c>
      <c r="K21" s="26" t="s">
        <v>21</v>
      </c>
      <c r="L21" s="1"/>
      <c r="M21" s="1"/>
      <c r="N21" s="31">
        <f>J31/I11</f>
        <v>0</v>
      </c>
      <c r="O21" s="1"/>
      <c r="P21" s="1"/>
      <c r="Q21" s="1"/>
    </row>
    <row r="22" spans="1:17" x14ac:dyDescent="0.25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50.02</v>
      </c>
      <c r="K22" s="26" t="s">
        <v>21</v>
      </c>
      <c r="L22" s="1"/>
      <c r="M22" s="1"/>
      <c r="N22" s="1"/>
      <c r="O22" s="1"/>
      <c r="P22" s="1"/>
      <c r="Q22" s="1"/>
    </row>
    <row r="23" spans="1:17" x14ac:dyDescent="0.25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 x14ac:dyDescent="0.25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450.18</v>
      </c>
      <c r="K24" s="26" t="s">
        <v>21</v>
      </c>
      <c r="L24" s="33"/>
      <c r="M24" s="1"/>
      <c r="N24" s="1"/>
      <c r="O24" s="1"/>
      <c r="P24" s="1"/>
      <c r="Q24" s="1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 x14ac:dyDescent="0.25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103.29130000000001</v>
      </c>
      <c r="K26" s="28" t="s">
        <v>21</v>
      </c>
      <c r="L26" s="1"/>
      <c r="M26" s="1"/>
      <c r="N26" s="1"/>
      <c r="O26" s="1"/>
      <c r="P26" s="1"/>
      <c r="Q26" s="1"/>
    </row>
    <row r="27" spans="1:17" x14ac:dyDescent="0.25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553.47130000000004</v>
      </c>
      <c r="K27" s="26" t="s">
        <v>21</v>
      </c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53" t="s">
        <v>35</v>
      </c>
      <c r="B29" s="153"/>
      <c r="C29" s="153"/>
      <c r="D29" s="153"/>
      <c r="E29" s="153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 x14ac:dyDescent="0.25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2451</v>
      </c>
      <c r="K30" s="26" t="s">
        <v>21</v>
      </c>
      <c r="L30" s="1"/>
      <c r="M30" s="1"/>
      <c r="N30" s="1"/>
      <c r="O30" s="1"/>
      <c r="P30" s="1"/>
      <c r="Q30" s="1"/>
    </row>
    <row r="31" spans="1:17" x14ac:dyDescent="0.25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 x14ac:dyDescent="0.25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553.47130000000004</v>
      </c>
      <c r="K32" s="28" t="s">
        <v>21</v>
      </c>
      <c r="L32" s="1"/>
      <c r="M32" s="1"/>
      <c r="N32" s="34"/>
      <c r="O32" s="1"/>
      <c r="P32" s="1"/>
      <c r="Q32" s="1"/>
    </row>
    <row r="33" spans="1:17" x14ac:dyDescent="0.25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3004.4713000000002</v>
      </c>
      <c r="K33" s="26" t="s">
        <v>21</v>
      </c>
      <c r="L33" s="1"/>
      <c r="M33" s="127" t="s">
        <v>40</v>
      </c>
      <c r="N33" s="127"/>
      <c r="O33" s="127"/>
      <c r="P33" s="127"/>
      <c r="Q33" s="127"/>
    </row>
    <row r="34" spans="1:17" x14ac:dyDescent="0.25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8"/>
      <c r="N34" s="128"/>
      <c r="O34" s="128"/>
      <c r="P34" s="128"/>
      <c r="Q34" s="128"/>
    </row>
    <row r="35" spans="1:17" x14ac:dyDescent="0.25">
      <c r="A35" s="129" t="s">
        <v>41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1"/>
      <c r="L35" s="1"/>
      <c r="M35" s="132" t="s">
        <v>42</v>
      </c>
      <c r="N35" s="134" t="s">
        <v>43</v>
      </c>
      <c r="O35" s="136" t="s">
        <v>44</v>
      </c>
      <c r="P35" s="138" t="s">
        <v>45</v>
      </c>
      <c r="Q35" s="140" t="s">
        <v>46</v>
      </c>
    </row>
    <row r="36" spans="1:17" x14ac:dyDescent="0.25">
      <c r="A36" s="39" t="s">
        <v>42</v>
      </c>
      <c r="B36" s="142" t="s">
        <v>43</v>
      </c>
      <c r="C36" s="143"/>
      <c r="D36" s="144"/>
      <c r="E36" s="42" t="s">
        <v>47</v>
      </c>
      <c r="F36" s="142" t="s">
        <v>48</v>
      </c>
      <c r="G36" s="144"/>
      <c r="H36" s="43" t="s">
        <v>49</v>
      </c>
      <c r="I36" s="41" t="s">
        <v>34</v>
      </c>
      <c r="J36" s="145" t="s">
        <v>50</v>
      </c>
      <c r="K36" s="145"/>
      <c r="L36" s="1"/>
      <c r="M36" s="133"/>
      <c r="N36" s="135"/>
      <c r="O36" s="137"/>
      <c r="P36" s="139"/>
      <c r="Q36" s="141"/>
    </row>
    <row r="37" spans="1:17" x14ac:dyDescent="0.25">
      <c r="A37" s="39">
        <v>1</v>
      </c>
      <c r="B37" s="142" t="str">
        <f>+'2'!$C$11</f>
        <v>varillas cromadas dura</v>
      </c>
      <c r="C37" s="143"/>
      <c r="D37" s="144"/>
      <c r="E37" s="42">
        <f>+'2'!$C$52</f>
        <v>300</v>
      </c>
      <c r="F37" s="146">
        <f>+'2'!$C$15</f>
        <v>8.17</v>
      </c>
      <c r="G37" s="147"/>
      <c r="H37" s="45">
        <f>+'2'!$C$53</f>
        <v>10.245283892281595</v>
      </c>
      <c r="I37" s="45">
        <f t="shared" ref="I37" si="0">+E37*H37</f>
        <v>3073.5851676844786</v>
      </c>
      <c r="J37" s="145">
        <f>H37*3.8</f>
        <v>38.932078790670062</v>
      </c>
      <c r="K37" s="145"/>
      <c r="L37" s="1"/>
      <c r="M37" s="39">
        <v>1</v>
      </c>
      <c r="N37" s="40" t="str">
        <f>+B37</f>
        <v>varillas cromadas dura</v>
      </c>
      <c r="O37" s="44">
        <f>+F37</f>
        <v>8.17</v>
      </c>
      <c r="P37" s="45">
        <f>+H37</f>
        <v>10.245283892281595</v>
      </c>
      <c r="Q37" s="46">
        <f>P37*3.8</f>
        <v>38.932078790670062</v>
      </c>
    </row>
    <row r="38" spans="1:17" ht="15.75" x14ac:dyDescent="0.25">
      <c r="A38" s="47" t="s">
        <v>34</v>
      </c>
      <c r="B38" s="34"/>
      <c r="C38" s="34"/>
      <c r="D38" s="34"/>
      <c r="E38" s="48">
        <f>+SUM(E37:E37)</f>
        <v>300</v>
      </c>
      <c r="F38" s="34"/>
      <c r="G38" s="34"/>
      <c r="H38" s="1"/>
      <c r="I38" s="49">
        <f>+SUM(I37:I37)</f>
        <v>3073.5851676844786</v>
      </c>
      <c r="J38" s="50"/>
      <c r="K38" s="51"/>
      <c r="L38" s="34"/>
      <c r="M38" s="1"/>
      <c r="N38" s="1"/>
      <c r="O38" s="1"/>
      <c r="P38" s="1"/>
      <c r="Q38" s="1"/>
    </row>
    <row r="39" spans="1:17" ht="15.75" x14ac:dyDescent="0.2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48" t="s">
        <v>51</v>
      </c>
      <c r="N39" s="148"/>
      <c r="O39" s="148"/>
      <c r="P39" s="149" t="s">
        <v>52</v>
      </c>
      <c r="Q39" s="150"/>
    </row>
    <row r="40" spans="1:17" ht="18.75" x14ac:dyDescent="0.3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8"/>
      <c r="N40" s="148"/>
      <c r="O40" s="148"/>
      <c r="P40" s="151"/>
      <c r="Q40" s="152"/>
    </row>
    <row r="41" spans="1:17" ht="21" x14ac:dyDescent="0.35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9" t="s">
        <v>55</v>
      </c>
      <c r="N41" s="120"/>
      <c r="O41" s="55">
        <f>+J31</f>
        <v>0</v>
      </c>
      <c r="P41" s="56" t="s">
        <v>56</v>
      </c>
      <c r="Q41" s="1"/>
    </row>
    <row r="42" spans="1:17" ht="21" x14ac:dyDescent="0.35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9" t="s">
        <v>58</v>
      </c>
      <c r="N42" s="120"/>
      <c r="O42" s="55">
        <f>+J32</f>
        <v>553.47130000000004</v>
      </c>
      <c r="P42" s="56" t="s">
        <v>59</v>
      </c>
      <c r="Q42" s="1"/>
    </row>
    <row r="43" spans="1:17" ht="18.75" x14ac:dyDescent="0.3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ht="18.75" x14ac:dyDescent="0.3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21" t="s">
        <v>62</v>
      </c>
      <c r="N44" s="121"/>
      <c r="O44" s="122">
        <f>+O41+O42+J14</f>
        <v>3004.4713000000002</v>
      </c>
      <c r="P44" s="124" t="s">
        <v>63</v>
      </c>
      <c r="Q44" s="125"/>
    </row>
    <row r="45" spans="1:17" ht="18.75" x14ac:dyDescent="0.3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21"/>
      <c r="N45" s="121"/>
      <c r="O45" s="123"/>
      <c r="P45" s="124"/>
      <c r="Q45" s="125"/>
    </row>
    <row r="46" spans="1:17" ht="18.75" x14ac:dyDescent="0.3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ht="18.75" x14ac:dyDescent="0.3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ht="18.75" x14ac:dyDescent="0.3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8.75" x14ac:dyDescent="0.3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ht="18.75" x14ac:dyDescent="0.3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21" x14ac:dyDescent="0.35">
      <c r="A56" s="126" t="s">
        <v>68</v>
      </c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 x14ac:dyDescent="0.25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 x14ac:dyDescent="0.25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 x14ac:dyDescent="0.25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 x14ac:dyDescent="0.25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 x14ac:dyDescent="0.25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 x14ac:dyDescent="0.25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 x14ac:dyDescent="0.25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 x14ac:dyDescent="0.25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 x14ac:dyDescent="0.25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 x14ac:dyDescent="0.25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 count="33"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InputMessage="1" showErrorMessage="1" sqref="E11" xr:uid="{775CAE99-E7F4-4AE4-A212-83F2D488659D}">
      <formula1>$W$4:$W$8</formula1>
    </dataValidation>
    <dataValidation type="custom" showInputMessage="1" showErrorMessage="1" errorTitle="COMPROBAR CANTIDAD DE CAJAS" error="Se debe ingresar la cantidad de cajas" sqref="I11" xr:uid="{61D23CAE-9EE2-41F3-8FE1-0350056DE482}">
      <formula1>I8&gt;0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ABF7-BCCA-45EB-B3E0-134BA949F2DB}">
  <dimension ref="A1:R54"/>
  <sheetViews>
    <sheetView tabSelected="1" topLeftCell="A37" workbookViewId="0">
      <selection activeCell="C54" sqref="C54"/>
    </sheetView>
  </sheetViews>
  <sheetFormatPr baseColWidth="10" defaultRowHeight="15" x14ac:dyDescent="0.25"/>
  <cols>
    <col min="1" max="1" width="5.7109375" customWidth="1"/>
    <col min="2" max="2" width="16.5703125" customWidth="1"/>
    <col min="3" max="3" width="29.5703125" customWidth="1"/>
    <col min="4" max="4" width="18.7109375" customWidth="1"/>
  </cols>
  <sheetData>
    <row r="1" spans="1:16" ht="15.75" thickBot="1" x14ac:dyDescent="0.3">
      <c r="A1" s="1"/>
      <c r="B1" s="165" t="s">
        <v>99</v>
      </c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1"/>
      <c r="N1" s="1"/>
      <c r="O1" s="1"/>
      <c r="P1" s="1"/>
    </row>
    <row r="2" spans="1:16" x14ac:dyDescent="0.25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1"/>
      <c r="N2" s="1"/>
      <c r="O2" s="1"/>
      <c r="P2" s="1"/>
    </row>
    <row r="3" spans="1:16" x14ac:dyDescent="0.25">
      <c r="A3" s="1"/>
      <c r="B3" s="48"/>
      <c r="C3" s="48"/>
      <c r="D3" s="63" t="s">
        <v>100</v>
      </c>
      <c r="E3" s="48"/>
      <c r="F3" s="48"/>
      <c r="G3" s="48"/>
      <c r="H3" s="48"/>
      <c r="I3" s="48"/>
      <c r="J3" s="48"/>
      <c r="K3" s="48"/>
      <c r="L3" s="48"/>
      <c r="M3" s="1"/>
      <c r="N3" s="1"/>
      <c r="O3" s="1"/>
      <c r="P3" s="1"/>
    </row>
    <row r="4" spans="1:16" x14ac:dyDescent="0.25">
      <c r="A4" s="1"/>
      <c r="B4" s="64" t="s">
        <v>101</v>
      </c>
      <c r="C4" s="65">
        <v>1</v>
      </c>
      <c r="D4" s="63">
        <f>COUNT(C4:C4)</f>
        <v>1</v>
      </c>
      <c r="E4" s="48"/>
      <c r="F4" s="48"/>
      <c r="G4" s="48"/>
      <c r="H4" s="48"/>
      <c r="I4" s="48"/>
      <c r="J4" s="48"/>
      <c r="K4" s="48"/>
      <c r="L4" s="48"/>
      <c r="M4" s="1"/>
      <c r="N4" s="1"/>
      <c r="O4" s="1"/>
      <c r="P4" s="1"/>
    </row>
    <row r="5" spans="1:16" x14ac:dyDescent="0.25">
      <c r="A5" s="1"/>
      <c r="B5" s="64" t="s">
        <v>5</v>
      </c>
      <c r="C5" s="66">
        <v>1</v>
      </c>
      <c r="D5" s="63">
        <f>SUM(C5:C5)</f>
        <v>1</v>
      </c>
      <c r="E5" s="34"/>
      <c r="F5" s="34"/>
      <c r="G5" s="34"/>
      <c r="H5" s="34"/>
      <c r="I5" s="34"/>
      <c r="J5" s="34"/>
      <c r="K5" s="34"/>
      <c r="L5" s="34"/>
      <c r="M5" s="1"/>
      <c r="N5" s="1"/>
      <c r="O5" s="1"/>
      <c r="P5" s="1"/>
    </row>
    <row r="6" spans="1:16" x14ac:dyDescent="0.25">
      <c r="A6" s="1"/>
      <c r="B6" s="64" t="s">
        <v>102</v>
      </c>
      <c r="C6" s="67">
        <v>1133</v>
      </c>
      <c r="D6" s="63">
        <f>SUM(C6:C6)</f>
        <v>1133</v>
      </c>
      <c r="E6" s="34"/>
      <c r="F6" s="34"/>
      <c r="G6" s="34"/>
      <c r="H6" s="34"/>
      <c r="I6" s="34"/>
      <c r="J6" s="34"/>
      <c r="K6" s="34"/>
      <c r="L6" s="34"/>
      <c r="M6" s="1"/>
      <c r="N6" s="1"/>
      <c r="O6" s="1"/>
      <c r="P6" s="1"/>
    </row>
    <row r="7" spans="1:16" x14ac:dyDescent="0.25">
      <c r="A7" s="1"/>
      <c r="B7" s="68" t="s">
        <v>12</v>
      </c>
      <c r="C7" s="69"/>
      <c r="D7" s="34"/>
      <c r="E7" s="34"/>
      <c r="F7" s="34"/>
      <c r="G7" s="34"/>
      <c r="H7" s="34"/>
      <c r="I7" s="34"/>
      <c r="J7" s="34"/>
      <c r="K7" s="34"/>
      <c r="L7" s="34"/>
      <c r="M7" s="1"/>
      <c r="N7" s="1"/>
      <c r="O7" s="1"/>
      <c r="P7" s="1"/>
    </row>
    <row r="8" spans="1:16" x14ac:dyDescent="0.25">
      <c r="A8" s="1"/>
      <c r="B8" s="64" t="s">
        <v>103</v>
      </c>
      <c r="C8" s="70">
        <v>1.075</v>
      </c>
      <c r="D8" s="63">
        <f>SUM(C8:C8)</f>
        <v>1.075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</row>
    <row r="9" spans="1:16" x14ac:dyDescent="0.25">
      <c r="A9" s="1"/>
      <c r="B9" s="71"/>
      <c r="C9" s="34"/>
      <c r="D9" s="72"/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</row>
    <row r="10" spans="1:16" x14ac:dyDescent="0.25">
      <c r="A10" s="1"/>
      <c r="B10" s="1"/>
      <c r="C10" s="73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</row>
    <row r="11" spans="1:16" x14ac:dyDescent="0.25">
      <c r="A11" s="1"/>
      <c r="B11" s="74" t="s">
        <v>104</v>
      </c>
      <c r="C11" s="74" t="s">
        <v>105</v>
      </c>
      <c r="D11" s="74" t="s">
        <v>34</v>
      </c>
      <c r="E11" s="34"/>
      <c r="F11" s="34"/>
      <c r="G11" s="34"/>
      <c r="H11" s="34"/>
      <c r="I11" s="34"/>
      <c r="J11" s="34"/>
      <c r="K11" s="34"/>
      <c r="L11" s="34"/>
      <c r="M11" s="1"/>
      <c r="N11" s="1"/>
      <c r="O11" s="1"/>
      <c r="P11" s="1"/>
    </row>
    <row r="12" spans="1:16" x14ac:dyDescent="0.25">
      <c r="A12" s="1"/>
      <c r="B12" s="43" t="s">
        <v>106</v>
      </c>
      <c r="C12" s="42"/>
      <c r="D12" s="75">
        <f>SUM(C12:C12)</f>
        <v>0</v>
      </c>
      <c r="E12" s="34"/>
      <c r="F12" s="34"/>
      <c r="G12" s="34"/>
      <c r="H12" s="34"/>
      <c r="I12" s="34"/>
      <c r="J12" s="34"/>
      <c r="K12" s="34"/>
      <c r="L12" s="34"/>
      <c r="M12" s="1"/>
      <c r="N12" s="1"/>
      <c r="O12" s="1"/>
      <c r="P12" s="1"/>
    </row>
    <row r="13" spans="1:16" x14ac:dyDescent="0.25">
      <c r="A13" s="1"/>
      <c r="B13" s="43" t="s">
        <v>102</v>
      </c>
      <c r="C13" s="76"/>
      <c r="D13" s="77">
        <f>SUM(C13:C13)</f>
        <v>0</v>
      </c>
      <c r="E13" s="34"/>
      <c r="F13" s="34"/>
      <c r="G13" s="34"/>
      <c r="H13" s="34"/>
      <c r="I13" s="34"/>
      <c r="J13" s="34"/>
      <c r="K13" s="34"/>
      <c r="L13" s="34"/>
      <c r="M13" s="1"/>
      <c r="N13" s="1"/>
      <c r="O13" s="1"/>
      <c r="P13" s="1"/>
    </row>
    <row r="14" spans="1:16" x14ac:dyDescent="0.25">
      <c r="A14" s="1"/>
      <c r="B14" s="43" t="s">
        <v>107</v>
      </c>
      <c r="C14" s="78"/>
      <c r="D14" s="79">
        <f>SUM(C14:C14)</f>
        <v>0</v>
      </c>
      <c r="E14" s="1"/>
      <c r="F14" s="34"/>
      <c r="G14" s="34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80" t="s">
        <v>108</v>
      </c>
      <c r="C15" s="81">
        <v>8.17</v>
      </c>
      <c r="D15" s="1"/>
      <c r="E15" s="82"/>
      <c r="F15" s="34"/>
      <c r="G15" s="34"/>
      <c r="H15" s="82"/>
      <c r="I15" s="82"/>
      <c r="J15" s="82"/>
      <c r="K15" s="82"/>
      <c r="L15" s="34"/>
      <c r="M15" s="82"/>
      <c r="N15" s="82"/>
      <c r="O15" s="82"/>
      <c r="P15" s="82"/>
    </row>
    <row r="16" spans="1:16" x14ac:dyDescent="0.25">
      <c r="A16" s="1"/>
      <c r="B16" s="83" t="s">
        <v>109</v>
      </c>
      <c r="C16" s="84"/>
      <c r="D16" s="1"/>
      <c r="E16" s="82"/>
      <c r="F16" s="34"/>
      <c r="G16" s="34" t="str">
        <f>'1'!E11</f>
        <v>NUEVO</v>
      </c>
      <c r="H16" s="82"/>
      <c r="I16" s="82"/>
      <c r="J16" s="82"/>
      <c r="K16" s="82"/>
      <c r="L16" s="85" t="s">
        <v>27</v>
      </c>
      <c r="M16" s="85" t="s">
        <v>27</v>
      </c>
      <c r="N16" s="86">
        <v>0.6</v>
      </c>
      <c r="O16" s="86">
        <v>0.4</v>
      </c>
      <c r="P16" s="82"/>
    </row>
    <row r="17" spans="1:16" x14ac:dyDescent="0.25">
      <c r="A17" s="1"/>
      <c r="B17" s="87" t="s">
        <v>47</v>
      </c>
      <c r="C17" s="42">
        <v>300</v>
      </c>
      <c r="D17" s="75">
        <f>SUM(C17:C17)</f>
        <v>300</v>
      </c>
      <c r="E17" s="1"/>
      <c r="F17" s="34"/>
      <c r="G17" s="1"/>
      <c r="H17" s="1"/>
      <c r="I17" s="1"/>
      <c r="J17" s="1"/>
      <c r="K17" s="42">
        <f>'1'!R10</f>
        <v>0</v>
      </c>
      <c r="L17" s="88">
        <f>'1'!S10</f>
        <v>0</v>
      </c>
      <c r="M17" s="89">
        <f>'1'!T10</f>
        <v>0</v>
      </c>
      <c r="N17" s="82">
        <f>$N$16*L17</f>
        <v>0</v>
      </c>
      <c r="O17" s="1"/>
      <c r="P17" s="1"/>
    </row>
    <row r="18" spans="1:16" x14ac:dyDescent="0.25">
      <c r="A18" s="1"/>
      <c r="B18" s="90" t="s">
        <v>110</v>
      </c>
      <c r="C18" s="91">
        <f>C15*C17</f>
        <v>2451</v>
      </c>
      <c r="D18" s="91">
        <f>SUM(C18:C18)</f>
        <v>2451</v>
      </c>
      <c r="E18" s="1"/>
      <c r="F18" s="34"/>
      <c r="G18" s="34"/>
      <c r="H18" s="34"/>
      <c r="I18" s="34"/>
      <c r="J18" s="1"/>
      <c r="K18" s="42">
        <f>'1'!R11</f>
        <v>0</v>
      </c>
      <c r="L18" s="88">
        <f>'1'!S11</f>
        <v>0</v>
      </c>
      <c r="M18" s="89">
        <f>'1'!T11</f>
        <v>0</v>
      </c>
      <c r="N18" s="82">
        <f t="shared" ref="N18" si="0">$N$16*L18</f>
        <v>0</v>
      </c>
      <c r="O18" s="1"/>
      <c r="P18" s="1"/>
    </row>
    <row r="19" spans="1:16" x14ac:dyDescent="0.25">
      <c r="A19" s="1"/>
      <c r="B19" s="92" t="s">
        <v>110</v>
      </c>
      <c r="C19" s="93">
        <f>(MAX(C15:C16))*C17</f>
        <v>2451</v>
      </c>
      <c r="D19" s="93">
        <f>SUM(C19:C19)</f>
        <v>2451</v>
      </c>
      <c r="E19" s="1"/>
      <c r="F19" s="34"/>
      <c r="G19" s="34"/>
      <c r="H19" s="34"/>
      <c r="I19" s="34"/>
      <c r="J19" s="1"/>
      <c r="K19" s="42">
        <f>'1'!R12</f>
        <v>0</v>
      </c>
      <c r="L19" s="88">
        <f>'1'!S12</f>
        <v>0</v>
      </c>
      <c r="M19" s="89">
        <f>'1'!T12</f>
        <v>0</v>
      </c>
      <c r="N19" s="82">
        <f>$N$16*L19</f>
        <v>0</v>
      </c>
      <c r="O19" s="1"/>
      <c r="P19" s="1"/>
    </row>
    <row r="20" spans="1:16" x14ac:dyDescent="0.25">
      <c r="A20" s="1"/>
      <c r="B20" s="43" t="s">
        <v>111</v>
      </c>
      <c r="C20" s="94">
        <f>C18/$D$18</f>
        <v>1</v>
      </c>
      <c r="D20" s="42" t="s">
        <v>34</v>
      </c>
      <c r="E20" s="95"/>
      <c r="F20" s="34"/>
      <c r="G20" s="34"/>
      <c r="H20" s="34"/>
      <c r="I20" s="34"/>
      <c r="J20" s="1"/>
      <c r="K20" s="42">
        <f>'1'!R13</f>
        <v>0</v>
      </c>
      <c r="L20" s="88">
        <f>'1'!S13</f>
        <v>0</v>
      </c>
      <c r="M20" s="89">
        <f>'1'!T13</f>
        <v>0</v>
      </c>
      <c r="N20" s="82">
        <f>$N$16*L20</f>
        <v>0</v>
      </c>
      <c r="O20" s="1"/>
      <c r="P20" s="1"/>
    </row>
    <row r="21" spans="1:16" x14ac:dyDescent="0.25">
      <c r="A21" s="1"/>
      <c r="B21" s="87" t="s">
        <v>112</v>
      </c>
      <c r="C21" s="96">
        <f>$D$21*C20</f>
        <v>0</v>
      </c>
      <c r="D21" s="97">
        <f>IF(L19=0,IF('1'!E11="NUEVO",'2'!L17*60%,IF('1'!E11="ANTIGUO",'2'!L18*60%,IF('1'!E11="SOCIO",60%*(250*'1'!I11),IF('1'!E11="PILOTO",60%*(250*'1'!I11),IF('2'!L19&gt;0,60%*(250*'1'!I11),IF('1'!E11="MANUAL",60%*(IF('1'!T12&gt;250,('1'!T12*'1'!I11),IF('1'!T12&lt;=250,(250*'1'!I11)))))))))),IF(M19&lt;=250,(250*'1'!I11)*60%,L19*60%))</f>
        <v>0</v>
      </c>
      <c r="E21" s="86"/>
      <c r="F21" s="168"/>
      <c r="G21" s="4"/>
      <c r="H21" s="1"/>
      <c r="I21" s="1"/>
      <c r="J21" s="1"/>
      <c r="K21" s="42">
        <f>'1'!R14</f>
        <v>0</v>
      </c>
      <c r="L21" s="88">
        <f>'1'!S14</f>
        <v>0</v>
      </c>
      <c r="M21" s="89">
        <f>'1'!T14</f>
        <v>0</v>
      </c>
      <c r="N21" s="82">
        <f>$N$16*L21</f>
        <v>0</v>
      </c>
      <c r="O21" s="1"/>
      <c r="P21" s="1"/>
    </row>
    <row r="22" spans="1:16" x14ac:dyDescent="0.25">
      <c r="A22" s="1"/>
      <c r="B22" s="90" t="s">
        <v>113</v>
      </c>
      <c r="C22" s="91">
        <f>C18+C21</f>
        <v>2451</v>
      </c>
      <c r="D22" s="91">
        <f>SUM(C22:C22)</f>
        <v>2451</v>
      </c>
      <c r="E22" s="1"/>
      <c r="F22" s="168"/>
      <c r="G22" s="4"/>
      <c r="H22" s="1"/>
      <c r="I22" s="98" t="s">
        <v>114</v>
      </c>
      <c r="J22" s="98"/>
      <c r="K22" s="85">
        <f>250*60%</f>
        <v>150</v>
      </c>
      <c r="L22" s="85">
        <f>250*40%</f>
        <v>100</v>
      </c>
      <c r="M22" s="89"/>
      <c r="N22" s="82"/>
      <c r="O22" s="1"/>
      <c r="P22" s="1"/>
    </row>
    <row r="23" spans="1:16" x14ac:dyDescent="0.25">
      <c r="A23" s="1"/>
      <c r="B23" s="92" t="s">
        <v>115</v>
      </c>
      <c r="C23" s="93">
        <f>C19+C21</f>
        <v>2451</v>
      </c>
      <c r="D23" s="93">
        <f>SUM(C23:C23)</f>
        <v>2451</v>
      </c>
      <c r="E23" s="1"/>
      <c r="F23" s="34"/>
      <c r="G23" s="4"/>
      <c r="H23" s="1"/>
      <c r="I23" s="95"/>
      <c r="J23" s="1"/>
      <c r="K23" s="34"/>
      <c r="L23" s="34"/>
      <c r="M23" s="1"/>
      <c r="N23" s="1"/>
      <c r="O23" s="1"/>
      <c r="P23" s="1"/>
    </row>
    <row r="24" spans="1:16" x14ac:dyDescent="0.25">
      <c r="A24" s="1"/>
      <c r="B24" s="87" t="s">
        <v>116</v>
      </c>
      <c r="C24" s="96">
        <f>$D$24*C20</f>
        <v>50</v>
      </c>
      <c r="D24" s="97">
        <f>IF(D18&lt;5000,50,100)</f>
        <v>50</v>
      </c>
      <c r="E24" s="1"/>
      <c r="F24" s="34"/>
      <c r="G24" s="4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90" t="s">
        <v>23</v>
      </c>
      <c r="C25" s="91">
        <f t="shared" ref="C25" si="1">C22+C24</f>
        <v>2501</v>
      </c>
      <c r="D25" s="91">
        <f>SUM(C25:C25)</f>
        <v>2501</v>
      </c>
      <c r="E25" s="1"/>
      <c r="F25" s="34"/>
      <c r="G25" s="4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92" t="s">
        <v>117</v>
      </c>
      <c r="C26" s="93">
        <f>C23+C24</f>
        <v>2501</v>
      </c>
      <c r="D26" s="93">
        <f>SUM(C26:C26)</f>
        <v>2501</v>
      </c>
      <c r="E26" s="34"/>
      <c r="F26" s="34"/>
      <c r="G26" s="4"/>
      <c r="H26" s="34"/>
      <c r="I26" s="34"/>
      <c r="J26" s="34"/>
      <c r="K26" s="34"/>
      <c r="L26" s="34"/>
      <c r="M26" s="1"/>
      <c r="N26" s="1"/>
      <c r="O26" s="1"/>
      <c r="P26" s="1"/>
    </row>
    <row r="27" spans="1:16" x14ac:dyDescent="0.25">
      <c r="A27" s="1"/>
      <c r="B27" s="1"/>
      <c r="C27" s="34"/>
      <c r="D27" s="34"/>
      <c r="E27" s="34"/>
      <c r="F27" s="34"/>
      <c r="G27" s="4"/>
      <c r="H27" s="34"/>
      <c r="I27" s="34"/>
      <c r="J27" s="34"/>
      <c r="K27" s="34"/>
      <c r="L27" s="34"/>
      <c r="M27" s="1"/>
      <c r="N27" s="1"/>
      <c r="O27" s="1"/>
      <c r="P27" s="1"/>
    </row>
    <row r="28" spans="1:16" x14ac:dyDescent="0.25">
      <c r="A28" s="1"/>
      <c r="B28" s="169" t="s">
        <v>118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"/>
      <c r="N28" s="1"/>
      <c r="O28" s="1"/>
      <c r="P28" s="1"/>
    </row>
    <row r="29" spans="1:16" x14ac:dyDescent="0.25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1"/>
      <c r="N29" s="1"/>
      <c r="O29" s="1"/>
      <c r="P29" s="1"/>
    </row>
    <row r="30" spans="1:16" x14ac:dyDescent="0.25">
      <c r="A30" s="1"/>
      <c r="B30" s="1"/>
      <c r="C30" s="99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1"/>
      <c r="O30" s="1"/>
      <c r="P30" s="1"/>
    </row>
    <row r="31" spans="1:16" x14ac:dyDescent="0.25">
      <c r="A31" s="1"/>
      <c r="B31" s="100" t="s">
        <v>30</v>
      </c>
      <c r="C31" s="101">
        <f>C17*C30</f>
        <v>0</v>
      </c>
      <c r="D31" s="101">
        <f>SUM(C31:C31)</f>
        <v>0</v>
      </c>
      <c r="E31" s="34"/>
      <c r="F31" s="34"/>
      <c r="G31" s="34"/>
      <c r="H31" s="34"/>
      <c r="I31" s="34"/>
      <c r="J31" s="34"/>
      <c r="K31" s="34"/>
      <c r="L31" s="34"/>
      <c r="M31" s="34"/>
      <c r="N31" s="1"/>
      <c r="O31" s="1"/>
      <c r="P31" s="1"/>
    </row>
    <row r="32" spans="1:16" x14ac:dyDescent="0.25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1"/>
      <c r="N32" s="1"/>
      <c r="O32" s="1"/>
      <c r="P32" s="1"/>
    </row>
    <row r="33" spans="1:18" x14ac:dyDescent="0.25">
      <c r="A33" s="1"/>
      <c r="B33" s="1"/>
      <c r="C33" s="102">
        <v>0</v>
      </c>
      <c r="D33" s="103" t="s">
        <v>34</v>
      </c>
      <c r="E33" s="1"/>
      <c r="F33" s="1"/>
      <c r="G33" s="1"/>
      <c r="H33" s="170"/>
      <c r="I33" s="170"/>
      <c r="J33" s="1"/>
      <c r="K33" s="1"/>
      <c r="L33" s="1"/>
      <c r="M33" s="1"/>
      <c r="N33" s="1"/>
      <c r="O33" s="1"/>
      <c r="P33" s="1"/>
    </row>
    <row r="34" spans="1:18" x14ac:dyDescent="0.25">
      <c r="A34" s="1"/>
      <c r="B34" s="103" t="s">
        <v>119</v>
      </c>
      <c r="C34" s="96">
        <f>MAX(C25:C26)*C33</f>
        <v>0</v>
      </c>
      <c r="D34" s="104">
        <f>SUM(C34:C34)</f>
        <v>0</v>
      </c>
      <c r="E34" s="1"/>
      <c r="F34" s="1"/>
      <c r="G34" s="1"/>
      <c r="H34" s="170"/>
      <c r="I34" s="170"/>
      <c r="J34" s="1"/>
      <c r="K34" s="1"/>
      <c r="L34" s="1"/>
      <c r="M34" s="1"/>
      <c r="N34" s="1"/>
      <c r="O34" s="1"/>
      <c r="P34" s="1"/>
    </row>
    <row r="35" spans="1:18" x14ac:dyDescent="0.25">
      <c r="A35" s="105"/>
      <c r="B35" s="106" t="s">
        <v>120</v>
      </c>
      <c r="C35" s="107">
        <f>((MAX(C25:C26))+C34)*16%</f>
        <v>400.16</v>
      </c>
      <c r="D35" s="104">
        <f>SUM(C35:C35)</f>
        <v>400.16</v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</row>
    <row r="36" spans="1:18" x14ac:dyDescent="0.25">
      <c r="A36" s="105"/>
      <c r="B36" s="106" t="s">
        <v>121</v>
      </c>
      <c r="C36" s="107">
        <f>((MAX(C25:C26))+C34)*2%</f>
        <v>50.02</v>
      </c>
      <c r="D36" s="104">
        <f>SUM(C36:C36)</f>
        <v>50.02</v>
      </c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</row>
    <row r="37" spans="1:18" x14ac:dyDescent="0.25">
      <c r="A37" s="105"/>
      <c r="B37" s="106" t="s">
        <v>122</v>
      </c>
      <c r="C37" s="107">
        <f>((MAX(C25:C26)+C34+C35+C36)*3.5%)</f>
        <v>103.29130000000001</v>
      </c>
      <c r="D37" s="104">
        <f>SUM(C37:C37)</f>
        <v>103.29130000000001</v>
      </c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</row>
    <row r="38" spans="1:18" x14ac:dyDescent="0.25">
      <c r="A38" s="1"/>
      <c r="B38" s="108" t="s">
        <v>34</v>
      </c>
      <c r="C38" s="109">
        <f t="shared" ref="C38" si="2">SUM(C34:C37)</f>
        <v>553.47130000000004</v>
      </c>
      <c r="D38" s="91">
        <f>SUM(C38:C38)</f>
        <v>553.47130000000004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8" x14ac:dyDescent="0.25">
      <c r="A39" s="1"/>
      <c r="B39" s="1"/>
      <c r="C39" s="34"/>
      <c r="D39" s="34"/>
      <c r="E39" s="34"/>
      <c r="F39" s="34"/>
      <c r="G39" s="34"/>
      <c r="H39" s="34"/>
      <c r="I39" s="34"/>
      <c r="J39" s="1"/>
      <c r="K39" s="82"/>
      <c r="L39" s="1"/>
      <c r="M39" s="1"/>
      <c r="N39" s="1"/>
      <c r="O39" s="1"/>
      <c r="P39" s="1"/>
    </row>
    <row r="40" spans="1:18" x14ac:dyDescent="0.25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1"/>
      <c r="N40" s="1"/>
      <c r="O40" s="110" t="s">
        <v>123</v>
      </c>
      <c r="P40" s="110">
        <v>3.7</v>
      </c>
    </row>
    <row r="41" spans="1:18" x14ac:dyDescent="0.25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1"/>
      <c r="N41" s="1"/>
      <c r="O41" s="1"/>
      <c r="P41" s="1"/>
    </row>
    <row r="42" spans="1:18" x14ac:dyDescent="0.25">
      <c r="B42" s="171" t="s">
        <v>124</v>
      </c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</row>
    <row r="43" spans="1:18" x14ac:dyDescent="0.25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</row>
    <row r="44" spans="1:18" x14ac:dyDescent="0.25">
      <c r="B44" s="1"/>
      <c r="C44" s="112">
        <f>+C20</f>
        <v>1</v>
      </c>
      <c r="D44" s="112" t="str">
        <f t="shared" ref="D44" si="3">+D20</f>
        <v>TOTAL</v>
      </c>
      <c r="E44" s="1"/>
      <c r="F44" s="1"/>
      <c r="G44" s="1"/>
      <c r="H44" s="1"/>
      <c r="I44" s="1"/>
      <c r="J44" s="1"/>
      <c r="K44" s="1"/>
      <c r="L44" s="1"/>
    </row>
    <row r="45" spans="1:18" x14ac:dyDescent="0.25">
      <c r="B45" s="87" t="s">
        <v>125</v>
      </c>
      <c r="C45" s="113" t="e">
        <f>#REF!*C44</f>
        <v>#REF!</v>
      </c>
      <c r="D45" s="113" t="e">
        <f>#REF!*D44</f>
        <v>#REF!</v>
      </c>
      <c r="E45" s="86"/>
      <c r="F45" s="1"/>
      <c r="G45" s="1"/>
      <c r="H45" s="1"/>
      <c r="I45" s="1"/>
      <c r="J45" s="1"/>
      <c r="K45" s="1"/>
      <c r="L45" s="1"/>
    </row>
    <row r="46" spans="1:18" x14ac:dyDescent="0.25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"/>
      <c r="O46" s="1"/>
      <c r="P46" s="1"/>
      <c r="Q46" s="1"/>
      <c r="R46" s="1"/>
    </row>
    <row r="47" spans="1:18" x14ac:dyDescent="0.25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x14ac:dyDescent="0.25">
      <c r="B48" s="114" t="s">
        <v>126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</row>
    <row r="49" spans="2:18" x14ac:dyDescent="0.25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2:18" x14ac:dyDescent="0.25">
      <c r="B50" s="115" t="s">
        <v>125</v>
      </c>
      <c r="C50" s="42" t="str">
        <f t="shared" ref="C50:D50" si="4">C11</f>
        <v>varillas cromadas dura</v>
      </c>
      <c r="D50" s="42" t="str">
        <f t="shared" si="4"/>
        <v>TOTAL</v>
      </c>
      <c r="E50" s="34"/>
      <c r="F50" s="1"/>
      <c r="G50" s="1"/>
      <c r="H50" s="1"/>
      <c r="I50" s="1"/>
      <c r="J50" s="1"/>
      <c r="K50" s="1"/>
      <c r="L50" s="1"/>
      <c r="M50" s="1"/>
    </row>
    <row r="51" spans="2:18" x14ac:dyDescent="0.25">
      <c r="B51" s="87" t="s">
        <v>127</v>
      </c>
      <c r="C51" s="113">
        <f>C18+C38+C31+'[1]2'!C20*('[1]1'!$J$31)</f>
        <v>3073.5851676844786</v>
      </c>
      <c r="D51" s="113" t="e">
        <f>D18+D38+D31+D45</f>
        <v>#REF!</v>
      </c>
      <c r="E51" s="1"/>
      <c r="F51" s="1"/>
      <c r="G51" s="1"/>
      <c r="H51" s="1"/>
      <c r="I51" s="1"/>
      <c r="J51" s="1"/>
      <c r="K51" s="1"/>
      <c r="L51" s="1"/>
    </row>
    <row r="52" spans="2:18" x14ac:dyDescent="0.25">
      <c r="B52" s="43" t="s">
        <v>47</v>
      </c>
      <c r="C52" s="116">
        <f>+C17</f>
        <v>300</v>
      </c>
      <c r="D52" s="116">
        <f t="shared" ref="D52" si="5">+D17</f>
        <v>300</v>
      </c>
      <c r="E52" s="34"/>
      <c r="F52" s="1"/>
      <c r="G52" s="1"/>
      <c r="H52" s="1"/>
      <c r="I52" s="1"/>
      <c r="J52" s="1"/>
      <c r="K52" s="1"/>
      <c r="L52" s="1"/>
      <c r="M52" s="1"/>
    </row>
    <row r="53" spans="2:18" x14ac:dyDescent="0.25">
      <c r="B53" s="117" t="s">
        <v>128</v>
      </c>
      <c r="C53" s="113">
        <f t="shared" ref="C53:D53" si="6">C51/C52</f>
        <v>10.245283892281595</v>
      </c>
      <c r="D53" s="113" t="e">
        <f t="shared" si="6"/>
        <v>#REF!</v>
      </c>
      <c r="E53" s="34"/>
      <c r="F53" s="1"/>
      <c r="G53" s="1"/>
      <c r="H53" s="1"/>
      <c r="I53" s="1"/>
      <c r="J53" s="1"/>
      <c r="K53" s="1"/>
      <c r="L53" s="1"/>
      <c r="M53" s="1"/>
    </row>
    <row r="54" spans="2:18" x14ac:dyDescent="0.25">
      <c r="B54" s="43" t="s">
        <v>129</v>
      </c>
      <c r="C54" s="118">
        <f t="shared" ref="C54:D54" si="7">C53*$V$40</f>
        <v>0</v>
      </c>
      <c r="D54" s="118" t="e">
        <f t="shared" si="7"/>
        <v>#REF!</v>
      </c>
      <c r="E54" s="34"/>
      <c r="F54" s="1"/>
      <c r="G54" s="1"/>
      <c r="H54" s="1"/>
      <c r="I54" s="1"/>
      <c r="J54" s="1"/>
      <c r="K54" s="1"/>
      <c r="L54" s="1"/>
      <c r="M54" s="1"/>
    </row>
  </sheetData>
  <mergeCells count="5">
    <mergeCell ref="B1:L1"/>
    <mergeCell ref="F21:F22"/>
    <mergeCell ref="B28:L28"/>
    <mergeCell ref="H33:I34"/>
    <mergeCell ref="B42:R4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2025-08-27T22:00:37Z</dcterms:created>
  <dcterms:modified xsi:type="dcterms:W3CDTF">2025-08-28T00:40:51Z</dcterms:modified>
</cp:coreProperties>
</file>