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<sst xmlns="http://schemas.openxmlformats.org/spreadsheetml/2006/main" uniqueCount="117">
  <si>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PRO MUNDO COMEX S.A.C.</t>
  </si>
  <si>
    <t xml:space="preserve">         RUC: 20612452432</t>
  </si>
  <si>
    <t>COTIZACION N002</t>
  </si>
  <si>
    <t>NOMBRE:</t>
  </si>
  <si>
    <t>WILSON RIVEROS ESLAVA</t>
  </si>
  <si>
    <t>SERVICIO:</t>
  </si>
  <si>
    <t>CARGA CONSOLIDADA</t>
  </si>
  <si>
    <t>N° CAJAS:</t>
  </si>
  <si>
    <t>APELLIDO:</t>
  </si>
  <si>
    <t>FECHA:</t>
  </si>
  <si>
    <t>PESO:</t>
  </si>
  <si>
    <t>728.4 Kg</t>
  </si>
  <si>
    <t>DNI/RUC:</t>
  </si>
  <si>
    <t>ORIGEN:</t>
  </si>
  <si>
    <t>CHINA</t>
  </si>
  <si>
    <t>MEDIDA:</t>
  </si>
  <si>
    <t>TELEFONO:</t>
  </si>
  <si>
    <t>51 931469986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</si>
  <si>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</si>
  <si>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</si>
  <si>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</si>
  <si>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</si>
  <si>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</si>
  <si>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</si>
  <si>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</si>
  <si>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</si>
  <si>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</si>
  <si>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</si>
  <si>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</si>
  <si>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</si>
  <si>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</si>
  <si>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</si>
  <si>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</si>
  <si>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</si>
  <si>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</si>
  <si>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</si>
  <si>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</si>
  <si>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</si>
  <si>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</si>
  <si>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</si>
  <si>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</si>
  <si>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</si>
  <si>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</si>
  <si>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</si>
  <si>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</si>
  <si>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</si>
  <si>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</si>
  <si>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</si>
  <si>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</si>
  <si>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RUEDA PARA GATOS</t>
  </si>
  <si>
    <t>CERRADURA DE LLAVE MECANICA</t>
  </si>
  <si>
    <t>CERRADURA MECANICA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</si>
  <si>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</si>
  <si>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</si>
  <si>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</si>
  <si>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</si>
  <si>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</si>
  <si>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</si>
  <si>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</si>
  <si>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</si>
  <si>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</si>
  <si>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</si>
  <si>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</si>
  <si>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</si>
  <si>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</si>
  <si>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</si>
  <si>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</si>
  <si>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</si>
  <si>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</si>
  <si>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</si>
  <si>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</si>
  <si>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</si>
  <si>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</si>
  <si>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</si>
  <si>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</si>
  <si>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</si>
  <si>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</si>
  <si>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</si>
  <si>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</si>
  <si>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</si>
  <si>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</si>
  <si>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</si>
  <si>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</si>
  <si>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</si>
  <si>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</si>
  <si>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</si>
  <si>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</si>
  <si>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</si>
  <si>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WILSON RIVEROS ESLAVA 😁 un gusto saludarte!
        A continuación te envío la cotización final de tu importación📋📦.
        🙋‍♂️ PAGO PENDIENTE :
        ☑️Costo CBM: $415.8
        ☑️Impuestos: $760.41
        ☑️ Total: $1176.21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</si>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</sst>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</row>
    <row r="5" spans="1:14">
      <c r="B5" s="38"/>
      <c r="C5" s="38"/>
      <c r="D5" s="35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</row>
    <row r="8" spans="1:14">
      <c r="B8" s="6" t="s">
        <v>3</v>
      </c>
      <c r="C8" s="97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1.86</v>
      </c>
      <c r="K8" s="61"/>
      <c r="L8" s="6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96" t="s">
        <v>11</v>
      </c>
      <c r="K9" s="64"/>
      <c r="L9" s="64"/>
    </row>
    <row r="10" spans="1:14">
      <c r="B10" s="6" t="s">
        <v>12</v>
      </c>
      <c r="C10" s="14">
        <v>47139992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96"/>
      <c r="L10" s="62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95">
        <f>'2'!F7</f>
        <v>1.86</v>
      </c>
      <c r="K11" s="44"/>
      <c r="L11" s="44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'2'!F11</f>
        <v>2995.5</v>
      </c>
      <c r="L14" s="7" t="s">
        <v>25</v>
      </c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'2'!F14 + '2'!F17</f>
        <v>440.6</v>
      </c>
      <c r="L15" s="10" t="s">
        <v>25</v>
      </c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3436.1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MAX('2'!C27:D27)</f>
        <v>0</v>
      </c>
      <c r="K20" s="12">
        <f>'2'!F28</f>
        <v>0</v>
      </c>
      <c r="L20" s="7" t="s">
        <v>25</v>
      </c>
      <c r="N20" t="s">
        <v>88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'2'!F29</f>
        <v>549.776</v>
      </c>
      <c r="L21" s="7" t="s">
        <v>25</v>
      </c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'2'!F30</f>
        <v>68.722</v>
      </c>
      <c r="L22" s="7" t="s">
        <v>25</v>
      </c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618.498</v>
      </c>
      <c r="L23" s="27" t="s">
        <v>25</v>
      </c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'2'!F31</f>
        <v>141.91093</v>
      </c>
      <c r="L25" s="10" t="s">
        <v>25</v>
      </c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760.40893</v>
      </c>
      <c r="L26" s="7" t="s">
        <v>25</v>
      </c>
    </row>
    <row r="27" spans="1:14">
      <c r="B27" s="49"/>
      <c r="C27" s="49"/>
      <c r="D27" s="49"/>
      <c r="E27" s="49"/>
      <c r="F27" s="49"/>
      <c r="G27" s="49"/>
      <c r="H27" s="49"/>
      <c r="I27" s="49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2995.5</v>
      </c>
      <c r="L29" s="7" t="s">
        <v>25</v>
      </c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'2'!J7, '2'!J7*J11)</f>
        <v>651</v>
      </c>
      <c r="L30" s="7" t="s">
        <v>25</v>
      </c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760.40893</v>
      </c>
      <c r="L31" s="10" t="s">
        <v>25</v>
      </c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4406.90893</v>
      </c>
      <c r="L32" s="7" t="s">
        <v>25</v>
      </c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28</v>
      </c>
      <c r="G36" s="88">
        <f>'2'!C8</f>
        <v>26.178571428571</v>
      </c>
      <c r="H36" s="89"/>
      <c r="I36" s="88">
        <f>'2'!C46</f>
        <v>38.513296679423</v>
      </c>
      <c r="J36" s="88">
        <f>'2'!C44</f>
        <v>1078.3723070239</v>
      </c>
      <c r="K36" s="87">
        <f>'2'!C47</f>
        <v>142.49919771387</v>
      </c>
      <c r="L36" s="48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450</v>
      </c>
      <c r="G37" s="88">
        <f>'2'!D8</f>
        <v>4.3611111111111</v>
      </c>
      <c r="H37" s="86"/>
      <c r="I37" s="90">
        <f>'2'!D46</f>
        <v>6.4159637790946</v>
      </c>
      <c r="J37" s="88">
        <f>'2'!D44</f>
        <v>2887.1837005926</v>
      </c>
      <c r="K37" s="87">
        <f>'2'!D47</f>
        <v>23.73906598265</v>
      </c>
      <c r="L37" s="91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100</v>
      </c>
      <c r="G38" s="88">
        <f>'2'!E8</f>
        <v>3</v>
      </c>
      <c r="H38" s="86"/>
      <c r="I38" s="90">
        <f>'2'!E46</f>
        <v>4.4135292238358</v>
      </c>
      <c r="J38" s="88">
        <f>'2'!E44</f>
        <v>441.35292238358</v>
      </c>
      <c r="K38" s="87">
        <f>'2'!E47</f>
        <v>16.330058128192</v>
      </c>
      <c r="L38" s="91"/>
    </row>
    <row r="39" spans="1:14">
      <c r="A39" s="1"/>
      <c r="B39" s="92" t="s">
        <v>36</v>
      </c>
      <c r="C39" s="5"/>
      <c r="D39" s="5"/>
      <c r="E39" s="5"/>
      <c r="F39" s="92">
        <f>SUM(F36:F38)</f>
        <v>578</v>
      </c>
      <c r="G39" s="5"/>
      <c r="H39" s="5"/>
      <c r="I39" s="5"/>
      <c r="J39" s="93">
        <f>SUM(J36:J38)</f>
        <v>4406.90893</v>
      </c>
      <c r="K39" s="29"/>
      <c r="L39" s="30"/>
    </row>
    <row r="40" spans="1:14" customHeight="1" ht="18.75">
      <c r="B40" s="94" t="s">
        <v>52</v>
      </c>
      <c r="C40" s="5"/>
      <c r="D40" s="5"/>
      <c r="E40" s="5"/>
      <c r="F40" s="5"/>
      <c r="G40" s="5"/>
      <c r="H40" s="5"/>
      <c r="I40" s="5"/>
      <c r="J40" s="5"/>
      <c r="K40" s="5"/>
      <c r="L40"/>
    </row>
    <row r="41" spans="1:14" customHeight="1" ht="18.75">
      <c r="B41" s="40" t="s">
        <v>53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</row>
    <row r="42" spans="1:14" customHeight="1" ht="18.75">
      <c r="B42" s="40" t="s">
        <v>54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</row>
    <row r="43" spans="1:14" customHeight="1" ht="18.75">
      <c r="B43" s="40" t="s">
        <v>55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</row>
    <row r="44" spans="1:14" customHeight="1" ht="18.75">
      <c r="B44" s="40" t="s">
        <v>56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spans="1:14" customHeight="1" ht="18.75">
      <c r="B45" s="40" t="s">
        <v>57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38"/>
      <c r="C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4" customHeight="1" ht="31.9">
      <c r="B48" s="38"/>
      <c r="C48" s="38"/>
      <c r="D48" s="52" t="s">
        <v>0</v>
      </c>
      <c r="E48" s="52"/>
      <c r="F48" s="52"/>
      <c r="G48" s="52"/>
      <c r="H48" s="52"/>
      <c r="I48" s="52"/>
      <c r="J48" s="52"/>
      <c r="K48" s="52"/>
      <c r="L48" s="52"/>
      <c r="M48" s="52"/>
    </row>
    <row r="49" spans="1:14" customHeight="1" ht="21">
      <c r="B49" s="38"/>
      <c r="C49" s="38"/>
      <c r="D49" s="55" t="s">
        <v>58</v>
      </c>
      <c r="E49" s="55"/>
      <c r="F49" s="55"/>
      <c r="G49" s="55"/>
      <c r="H49" s="55"/>
      <c r="I49" s="55"/>
    </row>
    <row r="50" spans="1:14">
      <c r="B50" s="38"/>
      <c r="C50" s="38"/>
    </row>
    <row r="51" spans="1:14">
      <c r="B51" s="38"/>
      <c r="C51" s="38"/>
    </row>
    <row r="52" spans="1:14" customHeight="1" ht="21">
      <c r="B52" s="47" t="s">
        <v>59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4" spans="1:14">
      <c r="B54" s="37" t="s">
        <v>60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4">
      <c r="B55" s="37" t="s">
        <v>61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4">
      <c r="B56" s="39" t="s">
        <v>62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4">
      <c r="B57" s="37" t="s">
        <v>63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4">
      <c r="B58" s="37" t="s">
        <v>64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4">
      <c r="B59" s="39" t="s">
        <v>65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4">
      <c r="B60" s="37" t="s">
        <v>66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4">
      <c r="B61" s="37" t="s">
        <v>67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4">
      <c r="B62" s="37" t="s">
        <v>68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4">
      <c r="B63" s="37" t="s">
        <v>69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4">
      <c r="B64" s="37" t="s">
        <v>70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4">
      <c r="B65" s="37" t="s">
        <v>71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4">
      <c r="B66" s="37" t="s">
        <v>72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4">
      <c r="B67" s="37" t="s">
        <v>73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4">
      <c r="B68" s="37" t="s">
        <v>74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4">
      <c r="B69" s="37" t="s">
        <v>75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4">
      <c r="B70" s="37" t="s">
        <v>76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4">
      <c r="B71" s="36" t="s">
        <v>77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4">
      <c r="B72" s="37" t="s">
        <v>78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4">
      <c r="B73" s="36" t="s">
        <v>79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4">
      <c r="B74" s="37" t="s">
        <v>80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4">
      <c r="B75" s="37" t="s">
        <v>81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4">
      <c r="B76" s="37" t="s">
        <v>82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4">
      <c r="B77" s="37" t="s">
        <v>83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4">
      <c r="B78" s="37" t="s">
        <v>84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4">
      <c r="A79" s="31"/>
      <c r="B79" s="45" t="s">
        <v>85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</row>
    <row r="80" spans="1:14">
      <c r="A80" s="31"/>
      <c r="B80" s="37" t="s">
        <v>86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4">
      <c r="A81" s="31"/>
      <c r="B81" s="45" t="s">
        <v>87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</row>
    <row r="83" spans="1:14">
      <c r="C83" s="38"/>
      <c r="D83" s="38"/>
      <c r="E83" s="38"/>
      <c r="F83" s="38"/>
      <c r="G83" s="38"/>
      <c r="H83" s="38"/>
      <c r="I83" s="38"/>
    </row>
    <row r="84" spans="1:14">
      <c r="C84" s="38"/>
      <c r="D84" s="38"/>
      <c r="E84" s="38"/>
      <c r="F84" s="38"/>
      <c r="G84" s="38"/>
      <c r="H84" s="38"/>
      <c r="I84" s="38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 customHeight="1" ht="15.6">
      <c r="C90" s="38"/>
      <c r="D90" s="38"/>
      <c r="E90" s="38"/>
      <c r="F90" s="38"/>
      <c r="G90" s="38"/>
      <c r="H90" s="38"/>
      <c r="I90" s="38"/>
    </row>
    <row r="91" spans="1:14" customHeight="1" ht="15.6">
      <c r="C91" s="38"/>
      <c r="D91" s="38"/>
      <c r="E91" s="38"/>
      <c r="F91" s="38"/>
      <c r="G91" s="38"/>
      <c r="H91" s="38"/>
      <c r="I91" s="38"/>
    </row>
    <row r="92" spans="1:14">
      <c r="C92" s="38"/>
      <c r="D92" s="38"/>
      <c r="E92" s="38"/>
      <c r="F92" s="38"/>
      <c r="G92" s="38"/>
      <c r="H92" s="38"/>
      <c r="I92" s="38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C38:E38"/>
    <mergeCell ref="G38:H38"/>
    <mergeCell ref="K38:L38"/>
    <mergeCell ref="B39:E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showGridLines="true" showRowColHeaders="1">
      <selection activeCell="F44" sqref="F44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32.992" bestFit="true" customWidth="true" style="0"/>
    <col min="5" max="5" width="22.28" bestFit="true" customWidth="true" style="0"/>
    <col min="6" max="6" width="11.711" bestFit="true" customWidth="true" style="0"/>
  </cols>
  <sheetData>
    <row r="3" spans="1:10">
      <c r="B3" s="73" t="s">
        <v>89</v>
      </c>
      <c r="C3"/>
      <c r="D3"/>
      <c r="E3"/>
      <c r="F3"/>
      <c r="G3"/>
    </row>
    <row r="5" spans="1:10">
      <c r="B5" s="75" t="s">
        <v>90</v>
      </c>
      <c r="C5" s="74" t="s">
        <v>49</v>
      </c>
      <c r="D5" s="74" t="s">
        <v>50</v>
      </c>
      <c r="E5" s="74" t="s">
        <v>51</v>
      </c>
      <c r="F5" s="74" t="s">
        <v>107</v>
      </c>
    </row>
    <row r="6" spans="1:10">
      <c r="B6" t="s">
        <v>91</v>
      </c>
      <c r="C6">
        <v>0</v>
      </c>
      <c r="D6">
        <v>0</v>
      </c>
      <c r="E6">
        <v>0</v>
      </c>
      <c r="F6" s="80">
        <v>728.4</v>
      </c>
      <c r="I6" s="78" t="s">
        <v>105</v>
      </c>
      <c r="J6" s="78" t="s">
        <v>106</v>
      </c>
    </row>
    <row r="7" spans="1:10">
      <c r="B7" t="s">
        <v>92</v>
      </c>
      <c r="C7">
        <v>0</v>
      </c>
      <c r="D7">
        <v>0</v>
      </c>
      <c r="E7">
        <v>0</v>
      </c>
      <c r="F7" s="81">
        <v>1.86</v>
      </c>
      <c r="I7" s="79" t="s">
        <v>19</v>
      </c>
      <c r="J7" s="79">
        <v>350</v>
      </c>
    </row>
    <row r="8" spans="1:10">
      <c r="B8" t="s">
        <v>93</v>
      </c>
      <c r="C8" s="77">
        <v>26.178571428571</v>
      </c>
      <c r="D8" s="77">
        <v>4.3611111111111</v>
      </c>
      <c r="E8" s="77">
        <v>3.0</v>
      </c>
      <c r="F8"/>
    </row>
    <row r="9" spans="1:10">
      <c r="B9" s="76" t="s">
        <v>94</v>
      </c>
      <c r="C9" s="77">
        <v>0.0</v>
      </c>
      <c r="D9" s="77">
        <v>0.0</v>
      </c>
      <c r="E9" s="77">
        <v>0.0</v>
      </c>
      <c r="F9"/>
    </row>
    <row r="10" spans="1:10">
      <c r="B10" t="s">
        <v>95</v>
      </c>
      <c r="C10">
        <v>28.0</v>
      </c>
      <c r="D10">
        <v>450.0</v>
      </c>
      <c r="E10">
        <v>100.0</v>
      </c>
      <c r="F10">
        <f>SUM(C10:E10)</f>
        <v>578</v>
      </c>
    </row>
    <row r="11" spans="1:10">
      <c r="B11" t="s">
        <v>96</v>
      </c>
      <c r="C11" s="77">
        <f>C8*C10</f>
        <v>732.99999999999</v>
      </c>
      <c r="D11" s="77">
        <f>D8*D10</f>
        <v>1962.5</v>
      </c>
      <c r="E11" s="77">
        <f>E8*E10</f>
        <v>300</v>
      </c>
      <c r="F11" s="85">
        <f>SUM(C11:E11)</f>
        <v>2995.5</v>
      </c>
    </row>
    <row r="12" spans="1:10">
      <c r="B12" s="76" t="s">
        <v>97</v>
      </c>
      <c r="C12" s="77">
        <f>C10*C9</f>
        <v>0</v>
      </c>
      <c r="D12" s="77">
        <f>D10*D9</f>
        <v>0</v>
      </c>
      <c r="E12" s="77">
        <f>E10*E9</f>
        <v>0</v>
      </c>
      <c r="F12" s="85">
        <f>SUM(C12:E12)</f>
        <v>0</v>
      </c>
    </row>
    <row r="13" spans="1:10">
      <c r="B13" t="s">
        <v>98</v>
      </c>
      <c r="C13" s="82">
        <f>C11/F11</f>
        <v>0.24470038390919</v>
      </c>
      <c r="D13" s="82">
        <f>D11/F11</f>
        <v>0.6551493907528</v>
      </c>
      <c r="E13" s="82">
        <f>E11/F11</f>
        <v>0.10015022533801</v>
      </c>
      <c r="F13"/>
    </row>
    <row r="14" spans="1:10">
      <c r="B14" t="s">
        <v>99</v>
      </c>
      <c r="C14" s="77">
        <f>F14*C13</f>
        <v>95.579969954931</v>
      </c>
      <c r="D14" s="77">
        <f>F14*D13</f>
        <v>255.90135202804</v>
      </c>
      <c r="E14" s="77">
        <f>F14*E13</f>
        <v>39.118678017026</v>
      </c>
      <c r="F14" s="85">
        <f>IF(F7&lt;1, J7*0.6, J7*0.6*F7)</f>
        <v>390.6</v>
      </c>
    </row>
    <row r="15" spans="1:10">
      <c r="B15" t="s">
        <v>100</v>
      </c>
      <c r="C15" s="77">
        <f>C11+C14</f>
        <v>828.57996995492</v>
      </c>
      <c r="D15" s="77">
        <f>D11+D14</f>
        <v>2218.401352028</v>
      </c>
      <c r="E15" s="77">
        <f>E11+E14</f>
        <v>339.11867801703</v>
      </c>
      <c r="F15" s="85">
        <f>SUM(C15:E15)</f>
        <v>3386.1</v>
      </c>
    </row>
    <row r="16" spans="1:10">
      <c r="B16" s="76" t="s">
        <v>101</v>
      </c>
      <c r="C16" s="77">
        <f>C12+C14</f>
        <v>95.579969954931</v>
      </c>
      <c r="D16" s="77">
        <f>D12+D14</f>
        <v>255.90135202804</v>
      </c>
      <c r="E16" s="77">
        <f>E12+E14</f>
        <v>39.118678017026</v>
      </c>
      <c r="F16" s="85">
        <f>SUM(C16:E16)</f>
        <v>390.6</v>
      </c>
    </row>
    <row r="17" spans="1:10">
      <c r="B17" t="s">
        <v>102</v>
      </c>
      <c r="C17" s="77">
        <f>IF(F11&gt;5000,100*C13,50*C13)</f>
        <v>12.23501919546</v>
      </c>
      <c r="D17" s="77">
        <f>IF(F11&gt;5000,100*D13,50*D13)</f>
        <v>32.75746953764</v>
      </c>
      <c r="E17" s="77">
        <f>IF(F11&gt;5000,100*E13,50*E13)</f>
        <v>5.0075112669004</v>
      </c>
      <c r="F17" s="85">
        <f>SUM(C17:E17)</f>
        <v>50</v>
      </c>
    </row>
    <row r="18" spans="1:10">
      <c r="B18" t="s">
        <v>103</v>
      </c>
      <c r="C18" s="77">
        <f>C15+C17</f>
        <v>840.81498915038</v>
      </c>
      <c r="D18" s="77">
        <f>D15+D17</f>
        <v>2251.1588215657</v>
      </c>
      <c r="E18" s="77">
        <f>E15+E17</f>
        <v>344.12618928393</v>
      </c>
      <c r="F18" s="85">
        <f>SUM(C18:E18)</f>
        <v>3436.1</v>
      </c>
    </row>
    <row r="19" spans="1:10">
      <c r="B19" s="76" t="s">
        <v>104</v>
      </c>
      <c r="C19" s="77">
        <f>C16+C17</f>
        <v>107.81498915039</v>
      </c>
      <c r="D19" s="77">
        <f>D16+D17</f>
        <v>288.65882156568</v>
      </c>
      <c r="E19" s="77">
        <f>E16+E17</f>
        <v>44.126189283926</v>
      </c>
      <c r="F19" s="85">
        <f>SUM(C19:E19)</f>
        <v>440.6</v>
      </c>
    </row>
    <row r="23" spans="1:10">
      <c r="B23" s="73" t="s">
        <v>114</v>
      </c>
      <c r="C23"/>
      <c r="D23"/>
      <c r="E23"/>
    </row>
    <row r="26" spans="1:10">
      <c r="B26" t="s">
        <v>115</v>
      </c>
      <c r="C26" s="77">
        <v>0</v>
      </c>
      <c r="D26" s="77">
        <v>0</v>
      </c>
      <c r="E26" s="77">
        <v>0</v>
      </c>
      <c r="F26" s="77">
        <f>SUM(C26:E26)</f>
        <v>0</v>
      </c>
    </row>
    <row r="27" spans="1:10">
      <c r="C27" s="83">
        <v>0</v>
      </c>
      <c r="D27" s="83">
        <v>0.0</v>
      </c>
      <c r="E27" s="83">
        <v>0.0</v>
      </c>
      <c r="F27" s="82">
        <f>SUM(C27:E27)</f>
        <v>0</v>
      </c>
    </row>
    <row r="28" spans="1:10">
      <c r="B28" t="s">
        <v>108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SUM(C28:E28)</f>
        <v>0</v>
      </c>
    </row>
    <row r="29" spans="1:10">
      <c r="B29" t="s">
        <v>31</v>
      </c>
      <c r="C29" s="77">
        <f>0.16*(MAX(C19,C18)+C28)</f>
        <v>134.53039826406</v>
      </c>
      <c r="D29" s="77">
        <f>0.16*(MAX(D19,D18)+D28)</f>
        <v>360.18541145051</v>
      </c>
      <c r="E29" s="77">
        <f>0.16*(MAX(E19,E18)+E28)</f>
        <v>55.060190285428</v>
      </c>
      <c r="F29" s="77">
        <f>SUM(C29:E29)</f>
        <v>549.776</v>
      </c>
    </row>
    <row r="30" spans="1:10">
      <c r="B30" t="s">
        <v>32</v>
      </c>
      <c r="C30" s="77">
        <f>0.02*(MAX(C19,C18)+C28)</f>
        <v>16.816299783008</v>
      </c>
      <c r="D30" s="77">
        <f>0.02*(MAX(D19,D18)+D28)</f>
        <v>45.023176431314</v>
      </c>
      <c r="E30" s="77">
        <f>0.02*(MAX(E19,E18)+E28)</f>
        <v>6.8825237856785</v>
      </c>
      <c r="F30" s="77">
        <f>SUM(C30:E30)</f>
        <v>68.722</v>
      </c>
    </row>
    <row r="31" spans="1:10">
      <c r="B31" t="s">
        <v>109</v>
      </c>
      <c r="C31" s="77">
        <f>0.035*(MAX(C18,C19) +C28+C29+C30)</f>
        <v>34.725659051911</v>
      </c>
      <c r="D31" s="77">
        <f>0.035*(MAX(D18,D19) +D28+D29+D30)</f>
        <v>92.972859330662</v>
      </c>
      <c r="E31" s="77">
        <f>0.035*(MAX(E18,E19) +E28+E29+E30)</f>
        <v>14.212411617426</v>
      </c>
      <c r="F31" s="77">
        <f>SUM(C31:E31)</f>
        <v>141.91093</v>
      </c>
    </row>
    <row r="32" spans="1:10">
      <c r="B32" t="s">
        <v>36</v>
      </c>
      <c r="C32" s="77">
        <f>SUM(C28:C31)</f>
        <v>186.07235709898</v>
      </c>
      <c r="D32" s="77">
        <f>SUM(D28:D31)</f>
        <v>498.18144721248</v>
      </c>
      <c r="E32" s="77">
        <f>SUM(E28:E31)</f>
        <v>76.155125688533</v>
      </c>
      <c r="F32" s="77">
        <f>SUM(F28:F31)</f>
        <v>760.40893</v>
      </c>
    </row>
    <row r="37" spans="1:10">
      <c r="B37" s="73" t="s">
        <v>116</v>
      </c>
      <c r="C37"/>
      <c r="D37"/>
      <c r="E37"/>
    </row>
    <row r="40" spans="1:10">
      <c r="B40" t="s">
        <v>110</v>
      </c>
      <c r="C40" s="77">
        <f>C13*F40</f>
        <v>63.719979969954</v>
      </c>
      <c r="D40" s="77">
        <f>D13*F40</f>
        <v>170.60090135203</v>
      </c>
      <c r="E40" s="77">
        <f>E13*F40</f>
        <v>26.079118678017</v>
      </c>
      <c r="F40" s="77">
        <f>IF(F7&lt;1, J7*0.4,J7*0.4*F7)</f>
        <v>260.4</v>
      </c>
    </row>
    <row r="41" spans="1:10">
      <c r="B41"/>
    </row>
    <row r="43" spans="1:10">
      <c r="B43" t="s">
        <v>110</v>
      </c>
      <c r="C43" t="s">
        <v>49</v>
      </c>
      <c r="D43" t="s">
        <v>50</v>
      </c>
      <c r="E43" t="s">
        <v>51</v>
      </c>
      <c r="F43" t="s">
        <v>107</v>
      </c>
    </row>
    <row r="44" spans="1:10">
      <c r="B44" t="s">
        <v>111</v>
      </c>
      <c r="C44" s="77">
        <f>SUM(C15,C40,C32,(C26))</f>
        <v>1078.3723070239</v>
      </c>
      <c r="D44" s="77">
        <f>SUM(D15,D40,D32,(D26))</f>
        <v>2887.1837005926</v>
      </c>
      <c r="E44" s="77">
        <f>SUM(E15,E40,E32,(E26))</f>
        <v>441.35292238358</v>
      </c>
      <c r="F44" s="77">
        <f>SUM(C44:E44)</f>
        <v>4406.90893</v>
      </c>
    </row>
    <row r="45" spans="1:10">
      <c r="B45" t="s">
        <v>45</v>
      </c>
      <c r="C45">
        <v>28.0</v>
      </c>
      <c r="D45">
        <v>450.0</v>
      </c>
      <c r="E45">
        <v>100.0</v>
      </c>
      <c r="F45"/>
    </row>
    <row r="46" spans="1:10">
      <c r="B46" t="s">
        <v>112</v>
      </c>
      <c r="C46" s="77">
        <f>SUM(C44/C45)</f>
        <v>38.513296679423</v>
      </c>
      <c r="D46" s="77">
        <f>SUM(D44/D45)</f>
        <v>6.4159637790946</v>
      </c>
      <c r="E46" s="77">
        <f>SUM(E44/E45)</f>
        <v>4.4135292238358</v>
      </c>
      <c r="F46"/>
    </row>
    <row r="47" spans="1:10">
      <c r="B47" t="s">
        <v>113</v>
      </c>
      <c r="C47" s="84">
        <f>C46*3.7</f>
        <v>142.49919771387</v>
      </c>
      <c r="D47" s="84">
        <f>D46*3.7</f>
        <v>23.73906598265</v>
      </c>
      <c r="E47" s="84">
        <f>E46*3.7</f>
        <v>16.330058128192</v>
      </c>
      <c r="F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