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<sst xmlns="http://schemas.openxmlformats.org/spreadsheetml/2006/main" uniqueCount="120">
  <si>
    <t>PRO MUNDO COMEX S.A.C.</t>
  </si>
  <si>
    <t xml:space="preserve">         RUC: 20612452432</t>
  </si>
  <si>
    <t>COTIZACION N002</t>
  </si>
  <si>
    <t>NOMBRE:</t>
  </si>
  <si>
    <t>YUAN YUAN - VICTOR IVAN YACTAYO BAZAN</t>
  </si>
  <si>
    <t>SERVICIO:</t>
  </si>
  <si>
    <t>CARGA CONSOLIDADA</t>
  </si>
  <si>
    <t>N° CAJAS:</t>
  </si>
  <si>
    <t>APELLIDO:</t>
  </si>
  <si>
    <t>FECHA:</t>
  </si>
  <si>
    <t>PESO:</t>
  </si>
  <si>
    <t>96.54 Kg</t>
  </si>
  <si>
    <t>DNI/RUC:</t>
  </si>
  <si>
    <t>ORIGEN:</t>
  </si>
  <si>
    <t>CHINA</t>
  </si>
  <si>
    <t>MEDIDA:</t>
  </si>
  <si>
    <t>TELEFONO:</t>
  </si>
  <si>
    <t>51 944 119 988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</si>
  <si>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</si>
  <si>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</si>
  <si>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</si>
  <si>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</si>
  <si>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</si>
  <si>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</si>
  <si>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</si>
  <si>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</si>
  <si>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</si>
  <si>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</si>
  <si>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</si>
  <si>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</si>
  <si>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</si>
  <si>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</si>
  <si>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</si>
  <si>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</si>
  <si>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</si>
  <si>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</si>
  <si>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</si>
  <si>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</si>
  <si>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</si>
  <si>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</si>
  <si>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</si>
  <si>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</si>
  <si>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</si>
  <si>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</si>
  <si>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</si>
  <si>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</si>
  <si>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</si>
  <si>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</si>
  <si>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</si>
  <si>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FAROS ANTINIEBLA PARA CARRO</t>
  </si>
  <si>
    <t>FAROS LED PARA CARRO</t>
  </si>
  <si>
    <t>FAROS LED PARA CARRO H15S</t>
  </si>
  <si>
    <t>FAROS LED PARA CARRO G2PRO</t>
  </si>
  <si>
    <t>FAROS LED PARA CARRO PL60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</si>
  <si>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</si>
  <si>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</si>
  <si>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</si>
  <si>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</si>
  <si>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</si>
  <si>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</si>
  <si>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</si>
  <si>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</si>
  <si>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</si>
  <si>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</si>
  <si>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</si>
  <si>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</si>
  <si>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</si>
  <si>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</si>
  <si>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</si>
  <si>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</si>
  <si>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</si>
  <si>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</si>
  <si>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</si>
  <si>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</si>
  <si>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</si>
  <si>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</si>
  <si>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</si>
  <si>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</si>
  <si>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</si>
  <si>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</si>
  <si>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</si>
  <si>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</si>
  <si>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</si>
  <si>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</si>
  <si>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</si>
  <si>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</si>
  <si>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</si>
  <si>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</si>
  <si>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</si>
  <si>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</si>
  <si>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FAROS LED PARA CARRO V9D</t>
  </si>
  <si>
    <t>Hola YUAN YUAN - VICTOR IVAN YACTAYO BAZAN 😁 un gusto saludarte!
        A continuación te envío la cotización final de tu importación📋📦.
        🙋‍♂️ PAGO PENDIENTE :
        ☑️Costo CBM: $380.16
        ☑️Impuestos: $422.02
        ☑️ Total: $802.18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</si>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</sst>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49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85</xdr:row>
      <xdr:rowOff>104775</xdr:rowOff>
    </xdr:from>
    <xdr:to>
      <xdr:col>8</xdr:col>
      <xdr:colOff>504825</xdr:colOff>
      <xdr:row>103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1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>
        <v>46162365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100">
        <f>'2'!I7</f>
        <v>0.43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  <c r="M13" s="1"/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'2'!I11</f>
        <v>1665</v>
      </c>
      <c r="L14" s="7" t="s">
        <v>25</v>
      </c>
      <c r="M14" s="1"/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'2'!I14 + '2'!I17</f>
        <v>242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1907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MAX('2'!C27:G27)</f>
        <v>0</v>
      </c>
      <c r="K20" s="12">
        <f>'2'!I28</f>
        <v>0</v>
      </c>
      <c r="L20" s="7" t="s">
        <v>25</v>
      </c>
      <c r="M20" s="1"/>
      <c r="N20" t="s">
        <v>91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'2'!I29</f>
        <v>305.12</v>
      </c>
      <c r="L21" s="7" t="s">
        <v>25</v>
      </c>
      <c r="M21" s="1"/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'2'!I30</f>
        <v>38.14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343.26</v>
      </c>
      <c r="L23" s="27" t="s">
        <v>25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'2'!I31</f>
        <v>78.7591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422.0191</v>
      </c>
      <c r="L26" s="7" t="s">
        <v>25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  <c r="M28"/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1665</v>
      </c>
      <c r="L29" s="7" t="s">
        <v>25</v>
      </c>
      <c r="M29" s="1"/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'2'!M7, '2'!M7*J11)</f>
        <v>320</v>
      </c>
      <c r="L30" s="7" t="s">
        <v>25</v>
      </c>
      <c r="M30" s="1"/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422.0191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2407.0191</v>
      </c>
      <c r="L32" s="7" t="s">
        <v>25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  <c r="M35" s="1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25</v>
      </c>
      <c r="G36" s="88">
        <f>'2'!C8</f>
        <v>15</v>
      </c>
      <c r="H36" s="89"/>
      <c r="I36" s="88">
        <f>'2'!C46</f>
        <v>21.684856756757</v>
      </c>
      <c r="J36" s="88">
        <f>'2'!C44</f>
        <v>542.12141891892</v>
      </c>
      <c r="K36" s="87">
        <f>'2'!C47</f>
        <v>80.23397</v>
      </c>
      <c r="L36" s="48"/>
      <c r="M36" s="1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39</v>
      </c>
      <c r="G37" s="88">
        <f>'2'!D8</f>
        <v>10</v>
      </c>
      <c r="H37" s="86"/>
      <c r="I37" s="90">
        <f>'2'!D46</f>
        <v>14.456571171171</v>
      </c>
      <c r="J37" s="88">
        <f>'2'!D44</f>
        <v>563.80627567568</v>
      </c>
      <c r="K37" s="87">
        <f>'2'!D47</f>
        <v>53.489313333333</v>
      </c>
      <c r="L37" s="91"/>
      <c r="M37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10</v>
      </c>
      <c r="G38" s="88">
        <f>'2'!E8</f>
        <v>8</v>
      </c>
      <c r="H38" s="86"/>
      <c r="I38" s="90">
        <f>'2'!E46</f>
        <v>11.565256936937</v>
      </c>
      <c r="J38" s="88">
        <f>'2'!E44</f>
        <v>115.65256936937</v>
      </c>
      <c r="K38" s="87">
        <f>'2'!E47</f>
        <v>42.791450666667</v>
      </c>
      <c r="L38" s="91"/>
      <c r="M38"/>
    </row>
    <row r="39" spans="1:14" customHeight="1" ht="15.75">
      <c r="A39"/>
      <c r="B39" s="92">
        <v>4</v>
      </c>
      <c r="C39" s="92" t="s">
        <v>52</v>
      </c>
      <c r="D39" s="92"/>
      <c r="E39" s="92"/>
      <c r="F39" s="92">
        <f>'2'!F10</f>
        <v>9</v>
      </c>
      <c r="G39" s="93">
        <f>'2'!F8</f>
        <v>8</v>
      </c>
      <c r="H39" s="94"/>
      <c r="I39" s="93">
        <f>'2'!F46</f>
        <v>11.565256936937</v>
      </c>
      <c r="J39" s="93">
        <f>'2'!F44</f>
        <v>104.08731243243</v>
      </c>
      <c r="K39" s="95">
        <f>'2'!F47</f>
        <v>42.791450666667</v>
      </c>
      <c r="L39" s="96"/>
      <c r="M39"/>
    </row>
    <row r="40" spans="1:14" customHeight="1" ht="15.75">
      <c r="A40"/>
      <c r="B40" s="92">
        <v>5</v>
      </c>
      <c r="C40" s="92" t="s">
        <v>53</v>
      </c>
      <c r="D40" s="92"/>
      <c r="E40" s="92"/>
      <c r="F40" s="92">
        <f>'2'!G10</f>
        <v>58</v>
      </c>
      <c r="G40" s="93">
        <f>'2'!G8</f>
        <v>6</v>
      </c>
      <c r="H40" s="94"/>
      <c r="I40" s="93">
        <f>'2'!G46</f>
        <v>8.6739427027027</v>
      </c>
      <c r="J40" s="93">
        <f>'2'!G44</f>
        <v>503.08867675676</v>
      </c>
      <c r="K40" s="95">
        <f>'2'!G47</f>
        <v>32.093588</v>
      </c>
      <c r="L40" s="96"/>
      <c r="M40"/>
    </row>
    <row r="41" spans="1:14" customHeight="1" ht="15.75">
      <c r="A41"/>
      <c r="B41" s="92">
        <v>6</v>
      </c>
      <c r="C41" s="92" t="s">
        <v>90</v>
      </c>
      <c r="D41" s="92"/>
      <c r="E41" s="92"/>
      <c r="F41" s="92">
        <f>'2'!H10</f>
        <v>50</v>
      </c>
      <c r="G41" s="93">
        <f>'2'!H8</f>
        <v>8</v>
      </c>
      <c r="H41" s="94"/>
      <c r="I41" s="93">
        <f>'2'!H46</f>
        <v>11.565256936937</v>
      </c>
      <c r="J41" s="93">
        <f>'2'!H44</f>
        <v>578.26284684685</v>
      </c>
      <c r="K41" s="95">
        <f>'2'!H47</f>
        <v>42.791450666667</v>
      </c>
      <c r="L41" s="96"/>
      <c r="M41"/>
    </row>
    <row r="42" spans="1:14">
      <c r="A42" s="1"/>
      <c r="B42" s="97" t="s">
        <v>36</v>
      </c>
      <c r="C42" s="5"/>
      <c r="D42" s="5"/>
      <c r="E42" s="5"/>
      <c r="F42" s="97">
        <f>SUM(F36:F41)</f>
        <v>191</v>
      </c>
      <c r="G42" s="5"/>
      <c r="H42" s="5"/>
      <c r="I42" s="5"/>
      <c r="J42" s="98">
        <f>SUM(J36:J41)</f>
        <v>2407.0191</v>
      </c>
      <c r="K42" s="29"/>
      <c r="L42" s="30"/>
      <c r="M42" s="1"/>
    </row>
    <row r="43" spans="1:14" customHeight="1" ht="18.75">
      <c r="B43" s="99" t="s">
        <v>89</v>
      </c>
      <c r="C43" s="5"/>
      <c r="D43" s="5"/>
      <c r="E43" s="5"/>
      <c r="F43" s="5"/>
      <c r="G43" s="5"/>
      <c r="H43" s="5"/>
      <c r="I43" s="5"/>
      <c r="J43" s="5"/>
      <c r="K43" s="5"/>
      <c r="L43"/>
      <c r="M43"/>
    </row>
    <row r="44" spans="1:14" customHeight="1" ht="18.75">
      <c r="B44" s="40" t="s">
        <v>88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/>
    </row>
    <row r="45" spans="1:14" customHeight="1" ht="18.75">
      <c r="B45" s="40" t="s">
        <v>87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/>
    </row>
    <row r="46" spans="1:14" customHeight="1" ht="18.75">
      <c r="B46" s="40" t="s">
        <v>86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 customHeight="1" ht="18.75">
      <c r="B47" s="40" t="s">
        <v>85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/>
    </row>
    <row r="48" spans="1:14" customHeight="1" ht="18.75">
      <c r="B48" s="40" t="s">
        <v>84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/>
    </row>
    <row r="49" spans="1:14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"/>
    </row>
    <row r="50" spans="1:14" customHeight="1" ht="9">
      <c r="B50" s="38"/>
      <c r="C50" s="38"/>
      <c r="E50" s="38"/>
      <c r="F50" s="38"/>
      <c r="G50" s="38"/>
      <c r="H50" s="38"/>
      <c r="I50" s="38"/>
      <c r="J50" s="38"/>
      <c r="K50" s="38"/>
      <c r="L50" s="38"/>
      <c r="M50" s="38"/>
    </row>
    <row r="51" spans="1:14" customHeight="1" ht="31.9">
      <c r="B51" s="38"/>
      <c r="C51" s="38"/>
      <c r="D51" s="52" t="s">
        <v>0</v>
      </c>
      <c r="E51" s="52"/>
      <c r="F51" s="52"/>
      <c r="G51" s="52"/>
      <c r="H51" s="52"/>
      <c r="I51" s="52"/>
      <c r="J51" s="52"/>
      <c r="K51" s="52"/>
      <c r="L51" s="52"/>
      <c r="M51" s="52"/>
    </row>
    <row r="52" spans="1:14" customHeight="1" ht="21">
      <c r="B52" s="38"/>
      <c r="C52" s="38"/>
      <c r="D52" s="55" t="s">
        <v>83</v>
      </c>
      <c r="E52" s="55"/>
      <c r="F52" s="55"/>
      <c r="G52" s="55"/>
      <c r="H52" s="55"/>
      <c r="I52" s="55"/>
      <c r="M52"/>
    </row>
    <row r="53" spans="1:14">
      <c r="B53" s="38"/>
      <c r="C53" s="38"/>
      <c r="M53" s="1"/>
    </row>
    <row r="54" spans="1:14">
      <c r="B54" s="38"/>
      <c r="C54" s="38"/>
      <c r="M54" s="1"/>
    </row>
    <row r="55" spans="1:14" customHeight="1" ht="21">
      <c r="B55" s="47" t="s">
        <v>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/>
    </row>
    <row r="56" spans="1:14">
      <c r="M56" s="1"/>
    </row>
    <row r="57" spans="1:14">
      <c r="B57" s="37" t="s">
        <v>81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1"/>
    </row>
    <row r="58" spans="1:14">
      <c r="B58" s="37" t="s">
        <v>80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1"/>
    </row>
    <row r="59" spans="1:14">
      <c r="B59" s="39" t="s">
        <v>79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1"/>
    </row>
    <row r="60" spans="1:14">
      <c r="B60" s="37" t="s">
        <v>78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1"/>
    </row>
    <row r="61" spans="1:14">
      <c r="B61" s="37" t="s">
        <v>77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1"/>
    </row>
    <row r="62" spans="1:14">
      <c r="B62" s="39" t="s">
        <v>76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1"/>
    </row>
    <row r="63" spans="1:14">
      <c r="B63" s="37" t="s">
        <v>75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7" t="s">
        <v>74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7" t="s">
        <v>73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72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71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70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69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68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67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7" t="s">
        <v>66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1"/>
    </row>
    <row r="73" spans="1:14">
      <c r="B73" s="37" t="s">
        <v>65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1"/>
    </row>
    <row r="74" spans="1:14">
      <c r="B74" s="36" t="s">
        <v>64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1"/>
    </row>
    <row r="75" spans="1:14">
      <c r="B75" s="37" t="s">
        <v>63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1"/>
    </row>
    <row r="76" spans="1:14">
      <c r="B76" s="36" t="s">
        <v>62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1"/>
    </row>
    <row r="77" spans="1:14">
      <c r="B77" s="37" t="s">
        <v>61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7" t="s">
        <v>60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7" t="s">
        <v>59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B80" s="37" t="s">
        <v>58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1"/>
    </row>
    <row r="81" spans="1:14">
      <c r="B81" s="37" t="s">
        <v>57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1"/>
    </row>
    <row r="82" spans="1:14">
      <c r="A82" s="31"/>
      <c r="B82" s="45" t="s">
        <v>56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1"/>
    </row>
    <row r="83" spans="1:14">
      <c r="A83" s="31"/>
      <c r="B83" s="37" t="s">
        <v>55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1"/>
    </row>
    <row r="84" spans="1:14">
      <c r="A84" s="31"/>
      <c r="B84" s="45" t="s">
        <v>54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1"/>
    </row>
    <row r="85" spans="1:14">
      <c r="M85" s="1"/>
    </row>
    <row r="86" spans="1:14">
      <c r="C86" s="38"/>
      <c r="D86" s="38"/>
      <c r="E86" s="38"/>
      <c r="F86" s="38"/>
      <c r="G86" s="38"/>
      <c r="H86" s="38"/>
      <c r="I86" s="38"/>
      <c r="M86" s="1"/>
    </row>
    <row r="87" spans="1:14">
      <c r="C87" s="38"/>
      <c r="D87" s="38"/>
      <c r="E87" s="38"/>
      <c r="F87" s="38"/>
      <c r="G87" s="38"/>
      <c r="H87" s="38"/>
      <c r="I87" s="38"/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>
      <c r="C91" s="38"/>
      <c r="D91" s="38"/>
      <c r="E91" s="38"/>
      <c r="F91" s="38"/>
      <c r="G91" s="38"/>
      <c r="H91" s="38"/>
      <c r="I91" s="38"/>
      <c r="M91" s="1"/>
    </row>
    <row r="92" spans="1:14">
      <c r="C92" s="38"/>
      <c r="D92" s="38"/>
      <c r="E92" s="38"/>
      <c r="F92" s="38"/>
      <c r="G92" s="38"/>
      <c r="H92" s="38"/>
      <c r="I92" s="38"/>
      <c r="M92" s="1"/>
    </row>
    <row r="93" spans="1:14" customHeight="1" ht="15.6">
      <c r="C93" s="38"/>
      <c r="D93" s="38"/>
      <c r="E93" s="38"/>
      <c r="F93" s="38"/>
      <c r="G93" s="38"/>
      <c r="H93" s="38"/>
      <c r="I93" s="38"/>
      <c r="M93"/>
    </row>
    <row r="94" spans="1:14" customHeight="1" ht="15.6">
      <c r="C94" s="38"/>
      <c r="D94" s="38"/>
      <c r="E94" s="38"/>
      <c r="F94" s="38"/>
      <c r="G94" s="38"/>
      <c r="H94" s="38"/>
      <c r="I94" s="38"/>
      <c r="M94"/>
    </row>
    <row r="95" spans="1:14">
      <c r="C95" s="38"/>
      <c r="D95" s="38"/>
      <c r="E95" s="38"/>
      <c r="F95" s="38"/>
      <c r="G95" s="38"/>
      <c r="H95" s="38"/>
      <c r="I95" s="38"/>
      <c r="M95" s="1"/>
    </row>
    <row r="96" spans="1:14">
      <c r="M96" s="1"/>
    </row>
    <row r="97" spans="1:14">
      <c r="M97" s="1"/>
    </row>
    <row r="98" spans="1:14">
      <c r="M98" s="1"/>
    </row>
    <row r="99" spans="1:14">
      <c r="M99" s="1"/>
    </row>
    <row r="100" spans="1:14">
      <c r="M100" s="1"/>
    </row>
    <row r="101" spans="1:14" customHeight="1" ht="15.6">
      <c r="M101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6:I95"/>
    <mergeCell ref="A1:L1"/>
    <mergeCell ref="E2:L2"/>
    <mergeCell ref="D52:I52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7:L47"/>
    <mergeCell ref="B45:L45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5:L55"/>
    <mergeCell ref="B46:L46"/>
    <mergeCell ref="D51:J51"/>
    <mergeCell ref="K51:M51"/>
    <mergeCell ref="E50:M50"/>
    <mergeCell ref="K35:L35"/>
    <mergeCell ref="B81:L81"/>
    <mergeCell ref="B76:L76"/>
    <mergeCell ref="B77:L77"/>
    <mergeCell ref="B78:L78"/>
    <mergeCell ref="B79:L79"/>
    <mergeCell ref="B80:L80"/>
    <mergeCell ref="B84:L84"/>
    <mergeCell ref="B67:L67"/>
    <mergeCell ref="B68:L68"/>
    <mergeCell ref="B69:L69"/>
    <mergeCell ref="B60:L60"/>
    <mergeCell ref="B61:L61"/>
    <mergeCell ref="B62:L62"/>
    <mergeCell ref="B63:L63"/>
    <mergeCell ref="B64:L64"/>
    <mergeCell ref="B65:L65"/>
    <mergeCell ref="B66:L66"/>
    <mergeCell ref="B71:L71"/>
    <mergeCell ref="B72:L72"/>
    <mergeCell ref="B73:L73"/>
    <mergeCell ref="B83:L83"/>
    <mergeCell ref="B82:L82"/>
    <mergeCell ref="B74:L74"/>
    <mergeCell ref="B75:L75"/>
    <mergeCell ref="A7:C7"/>
    <mergeCell ref="I7:L7"/>
    <mergeCell ref="B59:L59"/>
    <mergeCell ref="B48:L48"/>
    <mergeCell ref="B44:L44"/>
    <mergeCell ref="B57:L57"/>
    <mergeCell ref="B70:L70"/>
    <mergeCell ref="B58:L58"/>
    <mergeCell ref="J11:L11"/>
    <mergeCell ref="B50:C54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9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47"/>
  <sheetViews>
    <sheetView tabSelected="0" workbookViewId="0" showGridLines="true" showRowColHeaders="1">
      <selection activeCell="I44" sqref="I44"/>
    </sheetView>
  </sheetViews>
  <sheetFormatPr defaultRowHeight="14.4" outlineLevelRow="0" outlineLevelCol="0"/>
  <cols>
    <col min="2" max="2" width="24.708" bestFit="true" customWidth="true" style="0"/>
    <col min="3" max="3" width="32.992" bestFit="true" customWidth="true" style="0"/>
    <col min="4" max="4" width="24.708" bestFit="true" customWidth="true" style="0"/>
    <col min="5" max="5" width="30.564" bestFit="true" customWidth="true" style="0"/>
    <col min="6" max="6" width="31.707" bestFit="true" customWidth="true" style="0"/>
    <col min="7" max="7" width="30.564" bestFit="true" customWidth="true" style="0"/>
    <col min="8" max="8" width="29.421" bestFit="true" customWidth="true" style="0"/>
    <col min="9" max="9" width="10.569" bestFit="true" customWidth="true" style="0"/>
  </cols>
  <sheetData>
    <row r="3" spans="1:13">
      <c r="B3" s="73" t="s">
        <v>92</v>
      </c>
      <c r="C3"/>
      <c r="D3"/>
      <c r="E3"/>
      <c r="F3"/>
      <c r="G3"/>
    </row>
    <row r="5" spans="1:13">
      <c r="B5" s="75" t="s">
        <v>93</v>
      </c>
      <c r="C5" s="74" t="s">
        <v>49</v>
      </c>
      <c r="D5" s="74" t="s">
        <v>50</v>
      </c>
      <c r="E5" s="74" t="s">
        <v>51</v>
      </c>
      <c r="F5" s="74" t="s">
        <v>52</v>
      </c>
      <c r="G5" s="74" t="s">
        <v>53</v>
      </c>
      <c r="H5" s="74" t="s">
        <v>90</v>
      </c>
      <c r="I5" s="74" t="s">
        <v>110</v>
      </c>
    </row>
    <row r="6" spans="1:13">
      <c r="B6" t="s">
        <v>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80">
        <v>96.54</v>
      </c>
      <c r="L6" s="78" t="s">
        <v>108</v>
      </c>
      <c r="M6" s="78" t="s">
        <v>109</v>
      </c>
    </row>
    <row r="7" spans="1:13">
      <c r="B7" t="s">
        <v>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81">
        <v>0.43</v>
      </c>
      <c r="L7" s="79" t="s">
        <v>19</v>
      </c>
      <c r="M7" s="79">
        <v>320.0</v>
      </c>
    </row>
    <row r="8" spans="1:13">
      <c r="B8" t="s">
        <v>96</v>
      </c>
      <c r="C8" s="77">
        <v>15.0</v>
      </c>
      <c r="D8" s="77">
        <v>10.0</v>
      </c>
      <c r="E8" s="77">
        <v>8.0</v>
      </c>
      <c r="F8" s="77">
        <v>8.0</v>
      </c>
      <c r="G8" s="77">
        <v>6.0</v>
      </c>
      <c r="H8" s="77">
        <v>8.0</v>
      </c>
      <c r="I8"/>
    </row>
    <row r="9" spans="1:13">
      <c r="B9" s="76" t="s">
        <v>97</v>
      </c>
      <c r="C9" s="77">
        <v>0.0</v>
      </c>
      <c r="D9" s="77">
        <v>0.0</v>
      </c>
      <c r="E9" s="77">
        <v>0.0</v>
      </c>
      <c r="F9" s="77">
        <v>0.0</v>
      </c>
      <c r="G9" s="77">
        <v>0.0</v>
      </c>
      <c r="H9" s="77">
        <v>0.0</v>
      </c>
      <c r="I9"/>
    </row>
    <row r="10" spans="1:13">
      <c r="B10" t="s">
        <v>98</v>
      </c>
      <c r="C10">
        <v>25.0</v>
      </c>
      <c r="D10">
        <v>39.0</v>
      </c>
      <c r="E10">
        <v>10.0</v>
      </c>
      <c r="F10">
        <v>9.0</v>
      </c>
      <c r="G10">
        <v>58.0</v>
      </c>
      <c r="H10">
        <v>50.0</v>
      </c>
      <c r="I10">
        <f>SUM(C10:H10)</f>
        <v>191</v>
      </c>
    </row>
    <row r="11" spans="1:13">
      <c r="B11" t="s">
        <v>99</v>
      </c>
      <c r="C11" s="77">
        <f>C8*C10</f>
        <v>375</v>
      </c>
      <c r="D11" s="77">
        <f>D8*D10</f>
        <v>390</v>
      </c>
      <c r="E11" s="77">
        <f>E8*E10</f>
        <v>80</v>
      </c>
      <c r="F11" s="77">
        <f>F8*F10</f>
        <v>72</v>
      </c>
      <c r="G11" s="77">
        <f>G8*G10</f>
        <v>348</v>
      </c>
      <c r="H11" s="77">
        <f>H8*H10</f>
        <v>400</v>
      </c>
      <c r="I11" s="85">
        <f>SUM(C11:H11)</f>
        <v>1665</v>
      </c>
    </row>
    <row r="12" spans="1:13">
      <c r="B12" s="76" t="s">
        <v>100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77">
        <f>G10*G9</f>
        <v>0</v>
      </c>
      <c r="H12" s="77">
        <f>H10*H9</f>
        <v>0</v>
      </c>
      <c r="I12" s="85">
        <f>SUM(C12:H12)</f>
        <v>0</v>
      </c>
    </row>
    <row r="13" spans="1:13">
      <c r="B13" t="s">
        <v>101</v>
      </c>
      <c r="C13" s="82">
        <f>C11/I11</f>
        <v>0.22522522522523</v>
      </c>
      <c r="D13" s="82">
        <f>D11/I11</f>
        <v>0.23423423423423</v>
      </c>
      <c r="E13" s="82">
        <f>E11/I11</f>
        <v>0.048048048048048</v>
      </c>
      <c r="F13" s="82">
        <f>F11/I11</f>
        <v>0.043243243243243</v>
      </c>
      <c r="G13" s="82">
        <f>G11/I11</f>
        <v>0.20900900900901</v>
      </c>
      <c r="H13" s="82">
        <f>H11/I11</f>
        <v>0.24024024024024</v>
      </c>
      <c r="I13"/>
    </row>
    <row r="14" spans="1:13">
      <c r="B14" t="s">
        <v>102</v>
      </c>
      <c r="C14" s="77">
        <f>I14*C13</f>
        <v>43.243243243243</v>
      </c>
      <c r="D14" s="77">
        <f>I14*D13</f>
        <v>44.972972972973</v>
      </c>
      <c r="E14" s="77">
        <f>I14*E13</f>
        <v>9.2252252252252</v>
      </c>
      <c r="F14" s="77">
        <f>I14*F13</f>
        <v>8.3027027027027</v>
      </c>
      <c r="G14" s="77">
        <f>I14*G13</f>
        <v>40.12972972973</v>
      </c>
      <c r="H14" s="77">
        <f>I14*H13</f>
        <v>46.126126126126</v>
      </c>
      <c r="I14" s="85">
        <f>IF(I7&lt;1, M7*0.6, M7*0.6*I7)</f>
        <v>192</v>
      </c>
    </row>
    <row r="15" spans="1:13">
      <c r="B15" t="s">
        <v>103</v>
      </c>
      <c r="C15" s="77">
        <f>C11+C14</f>
        <v>418.24324324324</v>
      </c>
      <c r="D15" s="77">
        <f>D11+D14</f>
        <v>434.97297297297</v>
      </c>
      <c r="E15" s="77">
        <f>E11+E14</f>
        <v>89.225225225225</v>
      </c>
      <c r="F15" s="77">
        <f>F11+F14</f>
        <v>80.302702702703</v>
      </c>
      <c r="G15" s="77">
        <f>G11+G14</f>
        <v>388.12972972973</v>
      </c>
      <c r="H15" s="77">
        <f>H11+H14</f>
        <v>446.12612612613</v>
      </c>
      <c r="I15" s="85">
        <f>SUM(C15:H15)</f>
        <v>1857</v>
      </c>
    </row>
    <row r="16" spans="1:13">
      <c r="B16" s="76" t="s">
        <v>104</v>
      </c>
      <c r="C16" s="77">
        <f>C12+C14</f>
        <v>43.243243243243</v>
      </c>
      <c r="D16" s="77">
        <f>D12+D14</f>
        <v>44.972972972973</v>
      </c>
      <c r="E16" s="77">
        <f>E12+E14</f>
        <v>9.2252252252252</v>
      </c>
      <c r="F16" s="77">
        <f>F12+F14</f>
        <v>8.3027027027027</v>
      </c>
      <c r="G16" s="77">
        <f>G12+G14</f>
        <v>40.12972972973</v>
      </c>
      <c r="H16" s="77">
        <f>H12+H14</f>
        <v>46.126126126126</v>
      </c>
      <c r="I16" s="85">
        <f>SUM(C16:H16)</f>
        <v>192</v>
      </c>
    </row>
    <row r="17" spans="1:13">
      <c r="B17" t="s">
        <v>105</v>
      </c>
      <c r="C17" s="77">
        <f>IF(I11&gt;5000,100*C13,50*C13)</f>
        <v>11.261261261261</v>
      </c>
      <c r="D17" s="77">
        <f>IF(I11&gt;5000,100*D13,50*D13)</f>
        <v>11.711711711712</v>
      </c>
      <c r="E17" s="77">
        <f>IF(I11&gt;5000,100*E13,50*E13)</f>
        <v>2.4024024024024</v>
      </c>
      <c r="F17" s="77">
        <f>IF(I11&gt;5000,100*F13,50*F13)</f>
        <v>2.1621621621622</v>
      </c>
      <c r="G17" s="77">
        <f>IF(I11&gt;5000,100*G13,50*G13)</f>
        <v>10.45045045045</v>
      </c>
      <c r="H17" s="77">
        <f>IF(I11&gt;5000,100*H13,50*H13)</f>
        <v>12.012012012012</v>
      </c>
      <c r="I17" s="85">
        <f>SUM(C17:H17)</f>
        <v>50</v>
      </c>
    </row>
    <row r="18" spans="1:13">
      <c r="B18" t="s">
        <v>106</v>
      </c>
      <c r="C18" s="77">
        <f>C15+C17</f>
        <v>429.5045045045</v>
      </c>
      <c r="D18" s="77">
        <f>D15+D17</f>
        <v>446.68468468468</v>
      </c>
      <c r="E18" s="77">
        <f>E15+E17</f>
        <v>91.627627627628</v>
      </c>
      <c r="F18" s="77">
        <f>F15+F17</f>
        <v>82.464864864865</v>
      </c>
      <c r="G18" s="77">
        <f>G15+G17</f>
        <v>398.58018018018</v>
      </c>
      <c r="H18" s="77">
        <f>H15+H17</f>
        <v>458.13813813814</v>
      </c>
      <c r="I18" s="85">
        <f>SUM(C18:H18)</f>
        <v>1907</v>
      </c>
    </row>
    <row r="19" spans="1:13">
      <c r="B19" s="76" t="s">
        <v>107</v>
      </c>
      <c r="C19" s="77">
        <f>C16+C17</f>
        <v>54.504504504505</v>
      </c>
      <c r="D19" s="77">
        <f>D16+D17</f>
        <v>56.684684684685</v>
      </c>
      <c r="E19" s="77">
        <f>E16+E17</f>
        <v>11.627627627628</v>
      </c>
      <c r="F19" s="77">
        <f>F16+F17</f>
        <v>10.464864864865</v>
      </c>
      <c r="G19" s="77">
        <f>G16+G17</f>
        <v>50.58018018018</v>
      </c>
      <c r="H19" s="77">
        <f>H16+H17</f>
        <v>58.138138138138</v>
      </c>
      <c r="I19" s="85">
        <f>SUM(C19:H19)</f>
        <v>242</v>
      </c>
    </row>
    <row r="23" spans="1:13">
      <c r="B23" s="73" t="s">
        <v>117</v>
      </c>
      <c r="C23"/>
      <c r="D23"/>
      <c r="E23"/>
    </row>
    <row r="26" spans="1:13">
      <c r="B26" t="s">
        <v>118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f>SUM(C26:H26)</f>
        <v>0</v>
      </c>
    </row>
    <row r="27" spans="1:13">
      <c r="C27" s="83">
        <v>0.0</v>
      </c>
      <c r="D27" s="83">
        <v>0.0</v>
      </c>
      <c r="E27" s="83">
        <v>0.0</v>
      </c>
      <c r="F27" s="83">
        <v>0.0</v>
      </c>
      <c r="G27" s="83">
        <v>0.0</v>
      </c>
      <c r="H27" s="83">
        <v>0.0</v>
      </c>
      <c r="I27" s="82">
        <f>SUM(C27:H27)</f>
        <v>0</v>
      </c>
    </row>
    <row r="28" spans="1:13">
      <c r="B28" t="s">
        <v>111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MAX(G19,G18)*G27</f>
        <v>0</v>
      </c>
      <c r="H28" s="77">
        <f>MAX(H19,H18)*H27</f>
        <v>0</v>
      </c>
      <c r="I28" s="77">
        <f>SUM(C28:H28)</f>
        <v>0</v>
      </c>
    </row>
    <row r="29" spans="1:13">
      <c r="B29" t="s">
        <v>31</v>
      </c>
      <c r="C29" s="77">
        <f>0.16*(MAX(C19,C18)+C28)</f>
        <v>68.720720720721</v>
      </c>
      <c r="D29" s="77">
        <f>0.16*(MAX(D19,D18)+D28)</f>
        <v>71.46954954955</v>
      </c>
      <c r="E29" s="77">
        <f>0.16*(MAX(E19,E18)+E28)</f>
        <v>14.66042042042</v>
      </c>
      <c r="F29" s="77">
        <f>0.16*(MAX(F19,F18)+F28)</f>
        <v>13.194378378378</v>
      </c>
      <c r="G29" s="77">
        <f>0.16*(MAX(G19,G18)+G28)</f>
        <v>63.772828828829</v>
      </c>
      <c r="H29" s="77">
        <f>0.16*(MAX(H19,H18)+H28)</f>
        <v>73.302102102102</v>
      </c>
      <c r="I29" s="77">
        <f>SUM(C29:H29)</f>
        <v>305.12</v>
      </c>
    </row>
    <row r="30" spans="1:13">
      <c r="B30" t="s">
        <v>32</v>
      </c>
      <c r="C30" s="77">
        <f>0.02*(MAX(C19,C18)+C28)</f>
        <v>8.5900900900901</v>
      </c>
      <c r="D30" s="77">
        <f>0.02*(MAX(D19,D18)+D28)</f>
        <v>8.9336936936937</v>
      </c>
      <c r="E30" s="77">
        <f>0.02*(MAX(E19,E18)+E28)</f>
        <v>1.8325525525526</v>
      </c>
      <c r="F30" s="77">
        <f>0.02*(MAX(F19,F18)+F28)</f>
        <v>1.6492972972973</v>
      </c>
      <c r="G30" s="77">
        <f>0.02*(MAX(G19,G18)+G28)</f>
        <v>7.9716036036036</v>
      </c>
      <c r="H30" s="77">
        <f>0.02*(MAX(H19,H18)+H28)</f>
        <v>9.1627627627628</v>
      </c>
      <c r="I30" s="77">
        <f>SUM(C30:H30)</f>
        <v>38.14</v>
      </c>
    </row>
    <row r="31" spans="1:13">
      <c r="B31" t="s">
        <v>112</v>
      </c>
      <c r="C31" s="77">
        <f>0.035*(MAX(C18,C19) +C28+C29+C30)</f>
        <v>17.738536036036</v>
      </c>
      <c r="D31" s="77">
        <f>0.035*(MAX(D18,D19) +D28+D29+D30)</f>
        <v>18.448077477477</v>
      </c>
      <c r="E31" s="77">
        <f>0.035*(MAX(E18,E19) +E28+E29+E30)</f>
        <v>3.784221021021</v>
      </c>
      <c r="F31" s="77">
        <f>0.035*(MAX(F18,F19) +F28+F29+F30)</f>
        <v>3.4057989189189</v>
      </c>
      <c r="G31" s="77">
        <f>0.035*(MAX(G18,G19) +G28+G29+G30)</f>
        <v>16.461361441441</v>
      </c>
      <c r="H31" s="77">
        <f>0.035*(MAX(H18,H19) +H28+H29+H30)</f>
        <v>18.921105105105</v>
      </c>
      <c r="I31" s="77">
        <f>SUM(C31:H31)</f>
        <v>78.7591</v>
      </c>
    </row>
    <row r="32" spans="1:13">
      <c r="B32" t="s">
        <v>36</v>
      </c>
      <c r="C32" s="77">
        <f>SUM(C28:C31)</f>
        <v>95.049346846847</v>
      </c>
      <c r="D32" s="77">
        <f>SUM(D28:D31)</f>
        <v>98.851320720721</v>
      </c>
      <c r="E32" s="77">
        <f>SUM(E28:E31)</f>
        <v>20.277193993994</v>
      </c>
      <c r="F32" s="77">
        <f>SUM(F28:F31)</f>
        <v>18.249474594595</v>
      </c>
      <c r="G32" s="77">
        <f>SUM(G28:G31)</f>
        <v>88.205793873874</v>
      </c>
      <c r="H32" s="77">
        <f>SUM(H28:H31)</f>
        <v>101.38596996997</v>
      </c>
      <c r="I32" s="77">
        <f>SUM(I28:I31)</f>
        <v>422.0191</v>
      </c>
    </row>
    <row r="37" spans="1:13">
      <c r="B37" s="73" t="s">
        <v>119</v>
      </c>
      <c r="C37"/>
      <c r="D37"/>
      <c r="E37"/>
    </row>
    <row r="40" spans="1:13">
      <c r="B40" t="s">
        <v>113</v>
      </c>
      <c r="C40" s="77">
        <f>C13*I40</f>
        <v>28.828828828829</v>
      </c>
      <c r="D40" s="77">
        <f>D13*I40</f>
        <v>29.981981981982</v>
      </c>
      <c r="E40" s="77">
        <f>E13*I40</f>
        <v>6.1501501501502</v>
      </c>
      <c r="F40" s="77">
        <f>F13*I40</f>
        <v>5.5351351351351</v>
      </c>
      <c r="G40" s="77">
        <f>G13*I40</f>
        <v>26.753153153153</v>
      </c>
      <c r="H40" s="77">
        <f>H13*I40</f>
        <v>30.750750750751</v>
      </c>
      <c r="I40" s="77">
        <f>IF(I7&lt;1, M7*0.4,M7*0.4*I7)</f>
        <v>128</v>
      </c>
    </row>
    <row r="41" spans="1:13">
      <c r="B41"/>
    </row>
    <row r="43" spans="1:13">
      <c r="B43" t="s">
        <v>113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90</v>
      </c>
      <c r="I43" t="s">
        <v>110</v>
      </c>
    </row>
    <row r="44" spans="1:13">
      <c r="B44" t="s">
        <v>114</v>
      </c>
      <c r="C44" s="77">
        <f>SUM(C15,C40,C32,(C26))</f>
        <v>542.12141891892</v>
      </c>
      <c r="D44" s="77">
        <f>SUM(D15,D40,D32,(D26))</f>
        <v>563.80627567568</v>
      </c>
      <c r="E44" s="77">
        <f>SUM(E15,E40,E32,(E26))</f>
        <v>115.65256936937</v>
      </c>
      <c r="F44" s="77">
        <f>SUM(F15,F40,F32,(F26))</f>
        <v>104.08731243243</v>
      </c>
      <c r="G44" s="77">
        <f>SUM(G15,G40,G32,(G26))</f>
        <v>503.08867675676</v>
      </c>
      <c r="H44" s="77">
        <f>SUM(H15,H40,H32,(H26))</f>
        <v>578.26284684685</v>
      </c>
      <c r="I44" s="77">
        <f>SUM(C44:H44)</f>
        <v>2407.0191</v>
      </c>
    </row>
    <row r="45" spans="1:13">
      <c r="B45" t="s">
        <v>45</v>
      </c>
      <c r="C45">
        <v>25.0</v>
      </c>
      <c r="D45">
        <v>39.0</v>
      </c>
      <c r="E45">
        <v>10.0</v>
      </c>
      <c r="F45">
        <v>9.0</v>
      </c>
      <c r="G45">
        <v>58.0</v>
      </c>
      <c r="H45">
        <v>50.0</v>
      </c>
      <c r="I45"/>
    </row>
    <row r="46" spans="1:13">
      <c r="B46" t="s">
        <v>115</v>
      </c>
      <c r="C46" s="77">
        <f>SUM(C44/C45)</f>
        <v>21.684856756757</v>
      </c>
      <c r="D46" s="77">
        <f>SUM(D44/D45)</f>
        <v>14.456571171171</v>
      </c>
      <c r="E46" s="77">
        <f>SUM(E44/E45)</f>
        <v>11.565256936937</v>
      </c>
      <c r="F46" s="77">
        <f>SUM(F44/F45)</f>
        <v>11.565256936937</v>
      </c>
      <c r="G46" s="77">
        <f>SUM(G44/G45)</f>
        <v>8.6739427027027</v>
      </c>
      <c r="H46" s="77">
        <f>SUM(H44/H45)</f>
        <v>11.565256936937</v>
      </c>
      <c r="I46"/>
    </row>
    <row r="47" spans="1:13">
      <c r="B47" t="s">
        <v>116</v>
      </c>
      <c r="C47" s="84">
        <f>C46*3.7</f>
        <v>80.23397</v>
      </c>
      <c r="D47" s="84">
        <f>D46*3.7</f>
        <v>53.489313333333</v>
      </c>
      <c r="E47" s="84">
        <f>E46*3.7</f>
        <v>42.791450666667</v>
      </c>
      <c r="F47" s="84">
        <f>F46*3.7</f>
        <v>42.791450666667</v>
      </c>
      <c r="G47" s="84">
        <f>G46*3.7</f>
        <v>32.093588</v>
      </c>
      <c r="H47" s="84">
        <f>H46*3.7</f>
        <v>42.791450666667</v>
      </c>
      <c r="I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