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<sst xmlns="http://schemas.openxmlformats.org/spreadsheetml/2006/main" uniqueCount="119">
  <si>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PRO MUNDO COMEX S.A.C.</t>
  </si>
  <si>
    <t xml:space="preserve">         RUC: 20612452432</t>
  </si>
  <si>
    <t>COTIZACION N002</t>
  </si>
  <si>
    <t>NOMBRE:</t>
  </si>
  <si>
    <t>CARLOS ALBERTO HUARACHI SOSA</t>
  </si>
  <si>
    <t>SERVICIO:</t>
  </si>
  <si>
    <t>CARGA CONSOLIDADA</t>
  </si>
  <si>
    <t>N° CAJAS:</t>
  </si>
  <si>
    <t>APELLIDO:</t>
  </si>
  <si>
    <t>FECHA:</t>
  </si>
  <si>
    <t>PESO:</t>
  </si>
  <si>
    <t>1.109 Tn</t>
  </si>
  <si>
    <t>DNI/RUC:</t>
  </si>
  <si>
    <t>ORIGEN:</t>
  </si>
  <si>
    <t>CHINA</t>
  </si>
  <si>
    <t>MEDIDA:</t>
  </si>
  <si>
    <t>TELEFONO:</t>
  </si>
  <si>
    <t>51 956 032 494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</si>
  <si>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</si>
  <si>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</si>
  <si>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</si>
  <si>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</si>
  <si>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</si>
  <si>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</si>
  <si>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</si>
  <si>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</si>
  <si>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</si>
  <si>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</si>
  <si>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</si>
  <si>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</si>
  <si>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</si>
  <si>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</si>
  <si>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</si>
  <si>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</si>
  <si>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</si>
  <si>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</si>
  <si>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</si>
  <si>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</si>
  <si>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</si>
  <si>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</si>
  <si>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</si>
  <si>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</si>
  <si>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</si>
  <si>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</si>
  <si>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</si>
  <si>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</si>
  <si>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</si>
  <si>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</si>
  <si>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</si>
  <si>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MOTOR HIDRAULICO ORBITAL</t>
  </si>
  <si>
    <t>BOMBA DE ENGRANAJE EXTERNA</t>
  </si>
  <si>
    <t>BOMBA DE PALETAS</t>
  </si>
  <si>
    <t>CARTUCHO HIDRAULICO DE PALETAS</t>
  </si>
  <si>
    <t>VALVULA DE INVERSION MANUAL</t>
  </si>
  <si>
    <t>VALVULA NEUMÁTICA DE DISTRIBUCIÓN</t>
  </si>
  <si>
    <t>VALVULA DISTRIBUIDORA HIDRÁULICA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</si>
  <si>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</si>
  <si>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</si>
  <si>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</si>
  <si>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</si>
  <si>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</si>
  <si>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</si>
  <si>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</si>
  <si>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</si>
  <si>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</si>
  <si>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</si>
  <si>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</si>
  <si>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</si>
  <si>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</si>
  <si>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</si>
  <si>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</si>
  <si>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</si>
  <si>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</si>
  <si>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</si>
  <si>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</si>
  <si>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</si>
  <si>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</si>
  <si>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</si>
  <si>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</si>
  <si>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</si>
  <si>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</si>
  <si>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</si>
  <si>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</si>
  <si>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</si>
  <si>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</si>
  <si>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</si>
  <si>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</si>
  <si>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</si>
  <si>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</si>
  <si>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</si>
  <si>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CARLOS ALBERTO HUARACHI SOSA 😁 un gusto saludarte!
        A continuación te envío la cotización final de tu importación📋📦.
        🙋‍♂️ PAGO PENDIENTE :
        ☑️Costo CBM: $528.66
        ☑️Impuestos: $105.49
        ☑️ Total: $634.15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</si>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</sst>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tn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single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7" numFmtId="166" fillId="2" borderId="0" applyFont="1" applyNumberFormat="1" applyFill="1" applyBorder="0" applyAlignment="1">
      <alignment horizontal="left" vertical="bottom" textRotation="0" wrapText="false" shrinkToFit="false"/>
    </xf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bottom" textRotation="0" wrapText="false" shrinkToFit="false"/>
    </xf>
    <xf xfId="0" fontId="17" numFmtId="170" fillId="2" borderId="0" applyFont="1" applyNumberFormat="1" applyFill="1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2" borderId="7" applyFont="1" applyNumberFormat="1" applyFill="1" applyBorder="1" applyAlignment="1">
      <alignment horizontal="center" vertical="bottom" textRotation="0" wrapText="false" shrinkToFit="false"/>
    </xf>
    <xf xfId="0" fontId="18" numFmtId="172" fillId="3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4" customHeight="1" ht="18">
      <c r="B2" s="37"/>
      <c r="C2" s="37"/>
      <c r="E2" s="42"/>
      <c r="F2" s="42"/>
      <c r="G2" s="42"/>
      <c r="H2" s="42"/>
      <c r="I2" s="42"/>
      <c r="J2" s="42"/>
      <c r="K2" s="42"/>
      <c r="L2" s="42"/>
    </row>
    <row r="3" spans="1:14" customHeight="1" ht="25.8">
      <c r="B3" s="37"/>
      <c r="C3" s="37"/>
      <c r="E3" s="53" t="s">
        <v>0</v>
      </c>
      <c r="F3" s="53"/>
      <c r="G3" s="53"/>
      <c r="H3" s="53"/>
      <c r="I3" s="53"/>
      <c r="J3" s="53"/>
    </row>
    <row r="4" spans="1:14" customHeight="1" ht="25.8">
      <c r="B4" s="37"/>
      <c r="C4" s="37"/>
      <c r="E4" s="54" t="s">
        <v>1</v>
      </c>
      <c r="F4" s="54"/>
      <c r="G4" s="54"/>
      <c r="H4" s="54"/>
      <c r="I4" s="54"/>
      <c r="J4" s="54"/>
      <c r="K4" s="11"/>
    </row>
    <row r="5" spans="1:14">
      <c r="B5" s="37"/>
      <c r="C5" s="37"/>
      <c r="D5" s="35"/>
    </row>
    <row r="6" spans="1:14">
      <c r="B6" s="37"/>
      <c r="C6" s="37"/>
      <c r="D6" s="23"/>
      <c r="F6" s="23"/>
      <c r="G6" s="23"/>
      <c r="H6" s="23"/>
    </row>
    <row r="7" spans="1:14">
      <c r="A7" s="37"/>
      <c r="B7" s="37"/>
      <c r="C7" s="37"/>
      <c r="E7" s="39" t="s">
        <v>2</v>
      </c>
      <c r="F7" s="39"/>
      <c r="G7" s="39"/>
      <c r="I7" s="37"/>
      <c r="J7" s="37"/>
      <c r="K7" s="37"/>
      <c r="L7" s="37"/>
    </row>
    <row r="8" spans="1:14">
      <c r="B8" s="6" t="s">
        <v>3</v>
      </c>
      <c r="C8" s="105" t="s">
        <v>4</v>
      </c>
      <c r="D8" s="33"/>
      <c r="E8" s="20" t="s">
        <v>5</v>
      </c>
      <c r="F8" s="44" t="s">
        <v>6</v>
      </c>
      <c r="G8" s="45"/>
      <c r="H8" s="32"/>
      <c r="I8" s="1" t="s">
        <v>7</v>
      </c>
      <c r="J8" s="61">
        <f>+'2'!F7</f>
        <v>0</v>
      </c>
      <c r="K8" s="61"/>
      <c r="L8" s="61"/>
    </row>
    <row r="9" spans="1:14">
      <c r="B9" s="6" t="s">
        <v>8</v>
      </c>
      <c r="C9" s="14"/>
      <c r="D9" s="33"/>
      <c r="E9" s="21" t="s">
        <v>9</v>
      </c>
      <c r="F9" s="40">
        <f>+TODAY()</f>
        <v>45943</v>
      </c>
      <c r="G9" s="41"/>
      <c r="H9" s="32"/>
      <c r="I9" s="1" t="s">
        <v>10</v>
      </c>
      <c r="J9" s="104" t="s">
        <v>11</v>
      </c>
      <c r="K9" s="38"/>
      <c r="L9" s="38"/>
    </row>
    <row r="10" spans="1:14">
      <c r="B10" s="6" t="s">
        <v>12</v>
      </c>
      <c r="C10" s="14">
        <v>42514606</v>
      </c>
      <c r="D10" s="33"/>
      <c r="E10" s="25" t="s">
        <v>13</v>
      </c>
      <c r="F10" s="42" t="s">
        <v>14</v>
      </c>
      <c r="G10" s="43"/>
      <c r="H10" s="32"/>
      <c r="I10" s="1" t="s">
        <v>15</v>
      </c>
      <c r="J10" s="62"/>
      <c r="K10" s="104"/>
      <c r="L10" s="62"/>
    </row>
    <row r="11" spans="1:14">
      <c r="B11" s="6" t="s">
        <v>16</v>
      </c>
      <c r="C11" s="15" t="s">
        <v>17</v>
      </c>
      <c r="D11" s="34"/>
      <c r="E11" s="22" t="s">
        <v>18</v>
      </c>
      <c r="F11" s="47" t="s">
        <v>19</v>
      </c>
      <c r="G11" s="64"/>
      <c r="H11" s="32"/>
      <c r="I11" s="1" t="s">
        <v>20</v>
      </c>
      <c r="J11" s="103">
        <f>'2'!J7</f>
        <v>1.29</v>
      </c>
      <c r="K11" s="73"/>
      <c r="L11" s="73"/>
    </row>
    <row r="12" spans="1:14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</row>
    <row r="13" spans="1:14">
      <c r="B13" s="65" t="s">
        <v>21</v>
      </c>
      <c r="C13" s="65"/>
      <c r="D13" s="65"/>
      <c r="E13" s="65"/>
      <c r="F13" s="65"/>
      <c r="G13" s="65"/>
      <c r="H13" s="65"/>
      <c r="I13" s="65"/>
      <c r="J13" s="65"/>
      <c r="K13" s="8" t="s">
        <v>22</v>
      </c>
      <c r="L13" s="8" t="s">
        <v>23</v>
      </c>
    </row>
    <row r="14" spans="1:14">
      <c r="B14" s="66" t="s">
        <v>24</v>
      </c>
      <c r="C14" s="66"/>
      <c r="D14" s="66"/>
      <c r="E14" s="66"/>
      <c r="F14" s="66"/>
      <c r="G14" s="66"/>
      <c r="H14" s="66"/>
      <c r="I14" s="66"/>
      <c r="J14" s="66"/>
      <c r="K14" s="12">
        <f>'2'!I11</f>
        <v>450</v>
      </c>
      <c r="L14" s="7" t="s">
        <v>25</v>
      </c>
    </row>
    <row r="15" spans="1:14">
      <c r="B15" s="67" t="s">
        <v>26</v>
      </c>
      <c r="C15" s="67"/>
      <c r="D15" s="67"/>
      <c r="E15" s="67"/>
      <c r="F15" s="67"/>
      <c r="G15" s="67"/>
      <c r="H15" s="67"/>
      <c r="I15" s="67"/>
      <c r="J15" s="67"/>
      <c r="K15" s="13">
        <f>'2'!I14 + '2'!I17</f>
        <v>26.704967285352</v>
      </c>
      <c r="L15" s="10" t="s">
        <v>25</v>
      </c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476.70496728535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68" t="s">
        <v>28</v>
      </c>
      <c r="C19" s="68"/>
      <c r="D19" s="68"/>
      <c r="E19" s="68"/>
      <c r="F19" s="68"/>
      <c r="G19" s="16"/>
      <c r="H19" s="16"/>
      <c r="I19" s="16"/>
      <c r="J19" s="8" t="s">
        <v>29</v>
      </c>
      <c r="K19" s="8" t="s">
        <v>22</v>
      </c>
      <c r="L19" s="8" t="s">
        <v>23</v>
      </c>
    </row>
    <row r="20" spans="1:14">
      <c r="B20" s="48" t="s">
        <v>30</v>
      </c>
      <c r="C20" s="48"/>
      <c r="D20" s="48"/>
      <c r="E20" s="48"/>
      <c r="F20" s="48"/>
      <c r="G20" s="48"/>
      <c r="H20" s="48"/>
      <c r="I20" s="48"/>
      <c r="J20" s="18">
        <f>MAX('2'!C27:H27)</f>
        <v>0</v>
      </c>
      <c r="K20" s="12">
        <f>'2'!I28</f>
        <v>0</v>
      </c>
      <c r="L20" s="7" t="s">
        <v>25</v>
      </c>
      <c r="N20" t="s">
        <v>90</v>
      </c>
    </row>
    <row r="21" spans="1:14">
      <c r="B21" s="48" t="s">
        <v>31</v>
      </c>
      <c r="C21" s="48"/>
      <c r="D21" s="48"/>
      <c r="E21" s="48"/>
      <c r="F21" s="48"/>
      <c r="G21" s="48"/>
      <c r="H21" s="48"/>
      <c r="I21" s="48"/>
      <c r="J21" s="18">
        <v>0.16</v>
      </c>
      <c r="K21" s="12">
        <f>'2'!I29</f>
        <v>76.272794765656</v>
      </c>
      <c r="L21" s="7" t="s">
        <v>25</v>
      </c>
    </row>
    <row r="22" spans="1:14">
      <c r="B22" s="47" t="s">
        <v>32</v>
      </c>
      <c r="C22" s="47"/>
      <c r="D22" s="47"/>
      <c r="E22" s="47"/>
      <c r="F22" s="47"/>
      <c r="G22" s="47"/>
      <c r="H22" s="47"/>
      <c r="I22" s="47"/>
      <c r="J22" s="18">
        <v>0.02</v>
      </c>
      <c r="K22" s="12">
        <f>'2'!I30</f>
        <v>9.534099345707</v>
      </c>
      <c r="L22" s="7" t="s">
        <v>25</v>
      </c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85.806894111363</v>
      </c>
      <c r="L23" s="27" t="s">
        <v>25</v>
      </c>
    </row>
    <row r="24" spans="1:14">
      <c r="B24" s="48"/>
      <c r="C24" s="48"/>
      <c r="D24" s="48"/>
      <c r="E24" s="48"/>
      <c r="F24" s="48"/>
      <c r="G24" s="48"/>
      <c r="H24" s="48"/>
      <c r="I24" s="48"/>
      <c r="J24" s="2"/>
      <c r="K24" s="9"/>
      <c r="L24" s="7"/>
    </row>
    <row r="25" spans="1:14">
      <c r="B25" s="47" t="s">
        <v>34</v>
      </c>
      <c r="C25" s="47"/>
      <c r="D25" s="47"/>
      <c r="E25" s="47"/>
      <c r="F25" s="47"/>
      <c r="G25" s="47"/>
      <c r="H25" s="47"/>
      <c r="I25" s="47"/>
      <c r="J25" s="19" t="s">
        <v>35</v>
      </c>
      <c r="K25" s="13">
        <f>'2'!I31</f>
        <v>19.687915148885</v>
      </c>
      <c r="L25" s="10" t="s">
        <v>25</v>
      </c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105.49480926025</v>
      </c>
      <c r="L26" s="7" t="s">
        <v>25</v>
      </c>
    </row>
    <row r="27" spans="1:14">
      <c r="B27" s="42"/>
      <c r="C27" s="42"/>
      <c r="D27" s="42"/>
      <c r="E27" s="42"/>
      <c r="F27" s="42"/>
      <c r="G27" s="42"/>
      <c r="H27" s="42"/>
      <c r="I27" s="42"/>
    </row>
    <row r="28" spans="1:14" customHeight="1" ht="15.6">
      <c r="B28" s="51" t="s">
        <v>37</v>
      </c>
      <c r="C28" s="51"/>
      <c r="D28" s="51"/>
      <c r="E28" s="51"/>
      <c r="F28" s="51"/>
      <c r="G28" s="51"/>
      <c r="H28" s="51"/>
      <c r="I28" s="51"/>
      <c r="J28" s="51"/>
      <c r="K28" s="26" t="s">
        <v>22</v>
      </c>
      <c r="L28" s="26" t="s">
        <v>23</v>
      </c>
    </row>
    <row r="29" spans="1:14">
      <c r="B29" s="48" t="s">
        <v>38</v>
      </c>
      <c r="C29" s="48"/>
      <c r="D29" s="48"/>
      <c r="E29" s="48"/>
      <c r="F29" s="48"/>
      <c r="G29" s="48"/>
      <c r="H29" s="48"/>
      <c r="I29" s="48"/>
      <c r="J29" s="48"/>
      <c r="K29" s="12">
        <f>K14</f>
        <v>450</v>
      </c>
      <c r="L29" s="7" t="s">
        <v>25</v>
      </c>
    </row>
    <row r="30" spans="1:14">
      <c r="B30" s="48" t="s">
        <v>39</v>
      </c>
      <c r="C30" s="48"/>
      <c r="D30" s="48"/>
      <c r="E30" s="48"/>
      <c r="F30" s="48"/>
      <c r="G30" s="48"/>
      <c r="H30" s="48"/>
      <c r="I30" s="48"/>
      <c r="J30" s="48"/>
      <c r="K30" s="12">
        <f>IF(J11&lt;1, '2'!N7, '2'!N7*J11)</f>
        <v>574.05</v>
      </c>
      <c r="L30" s="7" t="s">
        <v>25</v>
      </c>
    </row>
    <row r="31" spans="1:14">
      <c r="B31" s="47" t="s">
        <v>40</v>
      </c>
      <c r="C31" s="47"/>
      <c r="D31" s="47"/>
      <c r="E31" s="47"/>
      <c r="F31" s="47"/>
      <c r="G31" s="47"/>
      <c r="H31" s="47"/>
      <c r="I31" s="47"/>
      <c r="J31" s="47"/>
      <c r="K31" s="13">
        <f>K26</f>
        <v>105.49480926025</v>
      </c>
      <c r="L31" s="10" t="s">
        <v>25</v>
      </c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1129.5448092602</v>
      </c>
      <c r="L32" s="7" t="s">
        <v>25</v>
      </c>
    </row>
    <row r="33" spans="1:14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</row>
    <row r="35" spans="1:14">
      <c r="B35" s="17" t="s">
        <v>43</v>
      </c>
      <c r="C35" s="55" t="s">
        <v>44</v>
      </c>
      <c r="D35" s="56"/>
      <c r="E35" s="57"/>
      <c r="F35" s="4" t="s">
        <v>45</v>
      </c>
      <c r="G35" s="55" t="s">
        <v>46</v>
      </c>
      <c r="H35" s="57"/>
      <c r="I35" s="3" t="s">
        <v>47</v>
      </c>
      <c r="J35" s="24" t="s">
        <v>36</v>
      </c>
      <c r="K35" s="46" t="s">
        <v>48</v>
      </c>
      <c r="L35" s="46"/>
    </row>
    <row r="36" spans="1:14">
      <c r="A36" s="1"/>
      <c r="B36" s="87">
        <v>1</v>
      </c>
      <c r="C36" s="88" t="s">
        <v>49</v>
      </c>
      <c r="D36" s="89"/>
      <c r="E36" s="90"/>
      <c r="F36" s="87">
        <f>'2'!C10</f>
        <v>24</v>
      </c>
      <c r="G36" s="91">
        <f>'2'!C8</f>
        <v>64</v>
      </c>
      <c r="H36" s="92"/>
      <c r="I36" s="91">
        <f>'2'!C46</f>
        <v>83.909461313393</v>
      </c>
      <c r="J36" s="91">
        <f>'2'!C44</f>
        <v>2013.8270715214</v>
      </c>
      <c r="K36" s="93">
        <f>'2'!C47</f>
        <v>310.46500685955</v>
      </c>
      <c r="L36" s="46"/>
    </row>
    <row r="37" spans="1:14">
      <c r="A37" s="1"/>
      <c r="B37" s="87">
        <v>2</v>
      </c>
      <c r="C37" s="88" t="s">
        <v>50</v>
      </c>
      <c r="D37" s="89"/>
      <c r="E37" s="90"/>
      <c r="F37" s="87">
        <f>'2'!D10</f>
        <v>10</v>
      </c>
      <c r="G37" s="91">
        <f>'2'!D8</f>
        <v>30</v>
      </c>
      <c r="H37" s="92"/>
      <c r="I37" s="91">
        <f>'2'!D46</f>
        <v>39.332559990653</v>
      </c>
      <c r="J37" s="91">
        <f>'2'!D44</f>
        <v>393.32559990653</v>
      </c>
      <c r="K37" s="93">
        <f>'2'!D47</f>
        <v>145.53047196542</v>
      </c>
      <c r="L37" s="46"/>
    </row>
    <row r="38" spans="1:14">
      <c r="A38" s="1"/>
      <c r="B38" s="87">
        <v>3</v>
      </c>
      <c r="C38" s="88" t="s">
        <v>51</v>
      </c>
      <c r="D38" s="89"/>
      <c r="E38" s="90"/>
      <c r="F38" s="87">
        <f>'2'!E10</f>
        <v>12</v>
      </c>
      <c r="G38" s="91">
        <f>'2'!E8</f>
        <v>195.5</v>
      </c>
      <c r="H38" s="92"/>
      <c r="I38" s="91">
        <f>'2'!E46</f>
        <v>256.31718260576</v>
      </c>
      <c r="J38" s="91">
        <f>'2'!E44</f>
        <v>3075.8061912691</v>
      </c>
      <c r="K38" s="94">
        <f>'2'!E47</f>
        <v>948.37357564129</v>
      </c>
      <c r="L38" s="72"/>
    </row>
    <row r="39" spans="1:14" customHeight="1" ht="15.6">
      <c r="A39"/>
      <c r="B39" s="95">
        <v>4</v>
      </c>
      <c r="C39" s="95" t="s">
        <v>52</v>
      </c>
      <c r="D39" s="95"/>
      <c r="E39" s="95"/>
      <c r="F39" s="95">
        <f>'2'!F10</f>
        <v>12</v>
      </c>
      <c r="G39" s="96">
        <f>'2'!F8</f>
        <v>108.75</v>
      </c>
      <c r="H39" s="95"/>
      <c r="I39" s="97">
        <f>'2'!F46</f>
        <v>142.58052996612</v>
      </c>
      <c r="J39" s="98">
        <f>'2'!F44</f>
        <v>1710.9663595934</v>
      </c>
      <c r="K39" s="99">
        <f>'2'!F47</f>
        <v>527.54796087463</v>
      </c>
      <c r="L39" s="29"/>
    </row>
    <row r="40" spans="1:14" customHeight="1" ht="15.6">
      <c r="B40" s="95">
        <v>5</v>
      </c>
      <c r="C40" s="95" t="s">
        <v>53</v>
      </c>
      <c r="D40" s="95"/>
      <c r="E40" s="95"/>
      <c r="F40" s="95">
        <f>'2'!G10</f>
        <v>24</v>
      </c>
      <c r="G40" s="96">
        <f>'2'!G8</f>
        <v>54.166666666667</v>
      </c>
      <c r="H40" s="95"/>
      <c r="I40" s="97">
        <f>'2'!G46</f>
        <v>71.017122205346</v>
      </c>
      <c r="J40" s="96">
        <f>'2'!G44</f>
        <v>1704.4109329283</v>
      </c>
      <c r="K40" s="99">
        <f>'2'!G47</f>
        <v>262.76335215978</v>
      </c>
      <c r="L40" s="29"/>
    </row>
    <row r="41" spans="1:14">
      <c r="B41" s="95">
        <v>6</v>
      </c>
      <c r="C41" s="95" t="s">
        <v>54</v>
      </c>
      <c r="D41" s="95"/>
      <c r="E41" s="95"/>
      <c r="F41" s="95">
        <f>'2'!H10</f>
        <v>12</v>
      </c>
      <c r="G41" s="96">
        <f>'2'!H8</f>
        <v>21</v>
      </c>
      <c r="H41" s="95"/>
      <c r="I41" s="96">
        <f>'2'!H46</f>
        <v>27.532791993457</v>
      </c>
      <c r="J41" s="96">
        <f>'2'!H44</f>
        <v>330.39350392148</v>
      </c>
      <c r="K41" s="99">
        <f>'2'!H47</f>
        <v>101.87133037579</v>
      </c>
      <c r="L41" s="30"/>
    </row>
    <row r="42" spans="1:14" customHeight="1" ht="18">
      <c r="B42" s="100">
        <v>7</v>
      </c>
      <c r="C42" s="95" t="s">
        <v>55</v>
      </c>
      <c r="D42" s="95"/>
      <c r="E42" s="95"/>
      <c r="F42" s="95">
        <f>'2'!I10</f>
        <v>12</v>
      </c>
      <c r="G42" s="96">
        <f>'2'!I8</f>
        <v>37.5</v>
      </c>
      <c r="H42" s="95"/>
      <c r="I42" s="96">
        <f>'2'!I46</f>
        <v>49.165699988316</v>
      </c>
      <c r="J42" s="96">
        <f>'2'!I44</f>
        <v>589.98839985979</v>
      </c>
      <c r="K42" s="99">
        <f>'2'!I47</f>
        <v>181.91308995677</v>
      </c>
      <c r="L42"/>
    </row>
    <row r="43" spans="1:14" customHeight="1" ht="18">
      <c r="B43" s="101" t="s">
        <v>36</v>
      </c>
      <c r="C43" s="5"/>
      <c r="D43" s="5"/>
      <c r="E43" s="5"/>
      <c r="F43" s="101">
        <f>SUM(F36:F42)</f>
        <v>106</v>
      </c>
      <c r="G43" s="5"/>
      <c r="H43" s="5"/>
      <c r="I43" s="5"/>
      <c r="J43" s="102">
        <f>SUM(J36:J42)</f>
        <v>9818.718059</v>
      </c>
      <c r="K43" s="5"/>
      <c r="L43" s="5"/>
    </row>
    <row r="44" spans="1:14" customHeight="1" ht="18">
      <c r="B44" s="5" t="s">
        <v>56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4" customHeight="1" ht="18">
      <c r="B45" s="63" t="s">
        <v>57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</row>
    <row r="46" spans="1:14" customHeight="1" ht="18">
      <c r="B46" s="63" t="s">
        <v>58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</row>
    <row r="47" spans="1:14" customHeight="1" ht="18">
      <c r="B47" s="63" t="s">
        <v>59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37"/>
      <c r="C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4" customHeight="1" ht="31.8">
      <c r="B50" s="37"/>
      <c r="C50" s="37"/>
      <c r="D50" s="36" t="s">
        <v>0</v>
      </c>
      <c r="E50" s="36"/>
      <c r="F50" s="36"/>
      <c r="G50" s="36"/>
      <c r="H50" s="36"/>
      <c r="I50" s="36"/>
      <c r="J50" s="36"/>
      <c r="K50" s="36"/>
      <c r="L50" s="36"/>
      <c r="M50" s="36"/>
    </row>
    <row r="51" spans="1:14" customHeight="1" ht="21">
      <c r="B51" s="37"/>
      <c r="C51" s="37"/>
      <c r="D51" s="52" t="s">
        <v>60</v>
      </c>
      <c r="E51" s="52"/>
      <c r="F51" s="52"/>
      <c r="G51" s="52"/>
      <c r="H51" s="52"/>
      <c r="I51" s="52"/>
    </row>
    <row r="52" spans="1:14">
      <c r="B52" s="37"/>
      <c r="C52" s="37"/>
    </row>
    <row r="53" spans="1:14">
      <c r="B53" s="37"/>
      <c r="C53" s="37"/>
    </row>
    <row r="54" spans="1:14" customHeight="1" ht="21">
      <c r="B54" s="69" t="s">
        <v>61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</row>
    <row r="56" spans="1:14">
      <c r="B56" s="70" t="s">
        <v>62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</row>
    <row r="57" spans="1:14">
      <c r="B57" s="70" t="s">
        <v>63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</row>
    <row r="58" spans="1:14">
      <c r="B58" s="48" t="s">
        <v>64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4">
      <c r="B59" s="70" t="s">
        <v>65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</row>
    <row r="60" spans="1:14">
      <c r="B60" s="70" t="s">
        <v>66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</row>
    <row r="61" spans="1:14">
      <c r="B61" s="48" t="s">
        <v>67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4">
      <c r="B62" s="70" t="s">
        <v>68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</row>
    <row r="63" spans="1:14">
      <c r="B63" s="70" t="s">
        <v>69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</row>
    <row r="64" spans="1:14">
      <c r="B64" s="70" t="s">
        <v>70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</row>
    <row r="65" spans="1:14">
      <c r="B65" s="70" t="s">
        <v>71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</row>
    <row r="66" spans="1:14">
      <c r="B66" s="70" t="s">
        <v>72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</row>
    <row r="67" spans="1:14">
      <c r="B67" s="70" t="s">
        <v>73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</row>
    <row r="68" spans="1:14">
      <c r="B68" s="70" t="s">
        <v>74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</row>
    <row r="69" spans="1:14">
      <c r="B69" s="70" t="s">
        <v>75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</row>
    <row r="70" spans="1:14">
      <c r="B70" s="70" t="s">
        <v>76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</row>
    <row r="71" spans="1:14">
      <c r="B71" s="70" t="s">
        <v>77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</row>
    <row r="72" spans="1:14">
      <c r="B72" s="70" t="s">
        <v>78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</row>
    <row r="73" spans="1:14">
      <c r="B73" s="66" t="s">
        <v>79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</row>
    <row r="74" spans="1:14">
      <c r="B74" s="70" t="s">
        <v>80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</row>
    <row r="75" spans="1:14">
      <c r="B75" s="66" t="s">
        <v>81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</row>
    <row r="76" spans="1:14">
      <c r="B76" s="70" t="s">
        <v>82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</row>
    <row r="77" spans="1:14">
      <c r="B77" s="70" t="s">
        <v>83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</row>
    <row r="78" spans="1:14">
      <c r="B78" s="70" t="s">
        <v>84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</row>
    <row r="79" spans="1:14">
      <c r="B79" s="70" t="s">
        <v>85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</row>
    <row r="80" spans="1:14">
      <c r="B80" s="70" t="s">
        <v>86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</row>
    <row r="81" spans="1:14">
      <c r="A81" s="31"/>
      <c r="B81" s="71" t="s">
        <v>87</v>
      </c>
      <c r="C81" s="71"/>
      <c r="D81" s="71"/>
      <c r="E81" s="71"/>
      <c r="F81" s="71"/>
      <c r="G81" s="71"/>
      <c r="H81" s="71"/>
      <c r="I81" s="71"/>
      <c r="J81" s="71"/>
      <c r="K81" s="71"/>
      <c r="L81" s="71"/>
    </row>
    <row r="82" spans="1:14">
      <c r="A82" s="31"/>
      <c r="B82" s="70" t="s">
        <v>88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</row>
    <row r="83" spans="1:14">
      <c r="A83" s="31"/>
      <c r="B83" s="71" t="s">
        <v>89</v>
      </c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5" spans="1:14">
      <c r="C85" s="37"/>
      <c r="D85" s="37"/>
      <c r="E85" s="37"/>
      <c r="F85" s="37"/>
      <c r="G85" s="37"/>
      <c r="H85" s="37"/>
      <c r="I85" s="37"/>
    </row>
    <row r="86" spans="1:14">
      <c r="C86" s="37"/>
      <c r="D86" s="37"/>
      <c r="E86" s="37"/>
      <c r="F86" s="37"/>
      <c r="G86" s="37"/>
      <c r="H86" s="37"/>
      <c r="I86" s="37"/>
    </row>
    <row r="87" spans="1:14">
      <c r="C87" s="37"/>
      <c r="D87" s="37"/>
      <c r="E87" s="37"/>
      <c r="F87" s="37"/>
      <c r="G87" s="37"/>
      <c r="H87" s="37"/>
      <c r="I87" s="37"/>
    </row>
    <row r="88" spans="1:14">
      <c r="C88" s="37"/>
      <c r="D88" s="37"/>
      <c r="E88" s="37"/>
      <c r="F88" s="37"/>
      <c r="G88" s="37"/>
      <c r="H88" s="37"/>
      <c r="I88" s="37"/>
    </row>
    <row r="89" spans="1:14">
      <c r="C89" s="37"/>
      <c r="D89" s="37"/>
      <c r="E89" s="37"/>
      <c r="F89" s="37"/>
      <c r="G89" s="37"/>
      <c r="H89" s="37"/>
      <c r="I89" s="37"/>
    </row>
    <row r="90" spans="1:14">
      <c r="C90" s="37"/>
      <c r="D90" s="37"/>
      <c r="E90" s="37"/>
      <c r="F90" s="37"/>
      <c r="G90" s="37"/>
      <c r="H90" s="37"/>
      <c r="I90" s="37"/>
    </row>
    <row r="91" spans="1:14">
      <c r="C91" s="37"/>
      <c r="D91" s="37"/>
      <c r="E91" s="37"/>
      <c r="F91" s="37"/>
      <c r="G91" s="37"/>
      <c r="H91" s="37"/>
      <c r="I91" s="37"/>
    </row>
    <row r="92" spans="1:14" customHeight="1" ht="15.6">
      <c r="C92" s="37"/>
      <c r="D92" s="37"/>
      <c r="E92" s="37"/>
      <c r="F92" s="37"/>
      <c r="G92" s="37"/>
      <c r="H92" s="37"/>
      <c r="I92" s="37"/>
    </row>
    <row r="93" spans="1:14" customHeight="1" ht="15.6">
      <c r="C93" s="37"/>
      <c r="D93" s="37"/>
      <c r="E93" s="37"/>
      <c r="F93" s="37"/>
      <c r="G93" s="37"/>
      <c r="H93" s="37"/>
      <c r="I93" s="37"/>
    </row>
    <row r="94" spans="1:14">
      <c r="C94" s="37"/>
      <c r="D94" s="37"/>
      <c r="E94" s="37"/>
      <c r="F94" s="37"/>
      <c r="G94" s="37"/>
      <c r="H94" s="37"/>
      <c r="I94" s="37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42:E42"/>
    <mergeCell ref="G42:H42"/>
    <mergeCell ref="K42:L42"/>
    <mergeCell ref="B43:E43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7"/>
  <sheetViews>
    <sheetView tabSelected="0" workbookViewId="0" showGridLines="true" showRowColHeaders="1">
      <selection activeCell="J44" sqref="J44"/>
    </sheetView>
  </sheetViews>
  <sheetFormatPr defaultRowHeight="14.4" outlineLevelRow="0" outlineLevelCol="0"/>
  <cols>
    <col min="2" max="2" width="24.708" bestFit="true" customWidth="true" style="0"/>
    <col min="3" max="3" width="29.421" bestFit="true" customWidth="true" style="0"/>
    <col min="4" max="4" width="31.707" bestFit="true" customWidth="true" style="0"/>
    <col min="5" max="5" width="19.995" bestFit="true" customWidth="true" style="0"/>
    <col min="6" max="6" width="36.42" bestFit="true" customWidth="true" style="0"/>
    <col min="7" max="7" width="32.992" bestFit="true" customWidth="true" style="0"/>
    <col min="8" max="8" width="39.99" bestFit="true" customWidth="true" style="0"/>
    <col min="9" max="9" width="38.848" bestFit="true" customWidth="true" style="0"/>
    <col min="10" max="10" width="9.283" bestFit="true" customWidth="true" style="0"/>
  </cols>
  <sheetData>
    <row r="3" spans="1:14">
      <c r="B3" s="74" t="s">
        <v>91</v>
      </c>
      <c r="C3"/>
      <c r="D3"/>
      <c r="E3"/>
      <c r="F3"/>
      <c r="G3"/>
    </row>
    <row r="5" spans="1:14">
      <c r="B5" s="76" t="s">
        <v>92</v>
      </c>
      <c r="C5" s="75" t="s">
        <v>49</v>
      </c>
      <c r="D5" s="75" t="s">
        <v>50</v>
      </c>
      <c r="E5" s="75" t="s">
        <v>51</v>
      </c>
      <c r="F5" s="75" t="s">
        <v>52</v>
      </c>
      <c r="G5" s="75" t="s">
        <v>53</v>
      </c>
      <c r="H5" s="75" t="s">
        <v>54</v>
      </c>
      <c r="I5" s="75" t="s">
        <v>55</v>
      </c>
      <c r="J5" s="75" t="s">
        <v>109</v>
      </c>
    </row>
    <row r="6" spans="1:14"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81">
        <v>1.11</v>
      </c>
      <c r="M6" s="79" t="s">
        <v>107</v>
      </c>
      <c r="N6" s="79" t="s">
        <v>108</v>
      </c>
    </row>
    <row r="7" spans="1:14"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82">
        <v>1.29</v>
      </c>
      <c r="M7" s="80" t="s">
        <v>19</v>
      </c>
      <c r="N7" s="80">
        <v>445.0</v>
      </c>
    </row>
    <row r="8" spans="1:14">
      <c r="B8" t="s">
        <v>95</v>
      </c>
      <c r="C8" s="78">
        <v>64.0</v>
      </c>
      <c r="D8" s="78">
        <v>30.0</v>
      </c>
      <c r="E8" s="78">
        <v>195.5</v>
      </c>
      <c r="F8" s="78">
        <v>108.75</v>
      </c>
      <c r="G8" s="78">
        <v>54.166666666667</v>
      </c>
      <c r="H8" s="78">
        <v>21.0</v>
      </c>
      <c r="I8" s="78">
        <v>37.5</v>
      </c>
      <c r="J8"/>
    </row>
    <row r="9" spans="1:14">
      <c r="B9" s="77" t="s">
        <v>96</v>
      </c>
      <c r="C9" s="78">
        <v>0.0</v>
      </c>
      <c r="D9" s="78">
        <v>0.0</v>
      </c>
      <c r="E9" s="78">
        <v>0.0</v>
      </c>
      <c r="F9" s="78">
        <v>0.0</v>
      </c>
      <c r="G9" s="78">
        <v>0.0</v>
      </c>
      <c r="H9" s="78">
        <v>0.0</v>
      </c>
      <c r="I9" s="78">
        <v>0.0</v>
      </c>
      <c r="J9"/>
    </row>
    <row r="10" spans="1:14">
      <c r="B10" t="s">
        <v>97</v>
      </c>
      <c r="C10">
        <v>24.0</v>
      </c>
      <c r="D10">
        <v>10.0</v>
      </c>
      <c r="E10">
        <v>12.0</v>
      </c>
      <c r="F10">
        <v>12.0</v>
      </c>
      <c r="G10">
        <v>24.0</v>
      </c>
      <c r="H10">
        <v>12.0</v>
      </c>
      <c r="I10">
        <v>12.0</v>
      </c>
      <c r="J10">
        <f>SUM(C10:I10)</f>
        <v>106</v>
      </c>
    </row>
    <row r="11" spans="1:14">
      <c r="B11" t="s">
        <v>98</v>
      </c>
      <c r="C11" s="78">
        <f>C8*C10</f>
        <v>1536</v>
      </c>
      <c r="D11" s="78">
        <f>D8*D10</f>
        <v>300</v>
      </c>
      <c r="E11" s="78">
        <f>E8*E10</f>
        <v>2346</v>
      </c>
      <c r="F11" s="78">
        <f>F8*F10</f>
        <v>1305</v>
      </c>
      <c r="G11" s="78">
        <f>G8*G10</f>
        <v>1300</v>
      </c>
      <c r="H11" s="78">
        <f>H8*H10</f>
        <v>252</v>
      </c>
      <c r="I11" s="78">
        <f>I8*I10</f>
        <v>450</v>
      </c>
      <c r="J11" s="86">
        <f>SUM(C11:I11)</f>
        <v>7489</v>
      </c>
    </row>
    <row r="12" spans="1:14">
      <c r="B12" s="77" t="s">
        <v>99</v>
      </c>
      <c r="C12" s="78">
        <f>C10*C9</f>
        <v>0</v>
      </c>
      <c r="D12" s="78">
        <f>D10*D9</f>
        <v>0</v>
      </c>
      <c r="E12" s="78">
        <f>E10*E9</f>
        <v>0</v>
      </c>
      <c r="F12" s="78">
        <f>F10*F9</f>
        <v>0</v>
      </c>
      <c r="G12" s="78">
        <f>G10*G9</f>
        <v>0</v>
      </c>
      <c r="H12" s="78">
        <f>H10*H9</f>
        <v>0</v>
      </c>
      <c r="I12" s="78">
        <f>I10*I9</f>
        <v>0</v>
      </c>
      <c r="J12" s="86">
        <f>SUM(C12:I12)</f>
        <v>0</v>
      </c>
    </row>
    <row r="13" spans="1:14">
      <c r="B13" t="s">
        <v>100</v>
      </c>
      <c r="C13" s="83">
        <f>C11/J11</f>
        <v>0.20510081452797</v>
      </c>
      <c r="D13" s="83">
        <f>D11/J11</f>
        <v>0.040058752837495</v>
      </c>
      <c r="E13" s="83">
        <f>E11/J11</f>
        <v>0.31325944718921</v>
      </c>
      <c r="F13" s="83">
        <f>F11/J11</f>
        <v>0.1742555748431</v>
      </c>
      <c r="G13" s="83">
        <f>G11/J11</f>
        <v>0.17358792896248</v>
      </c>
      <c r="H13" s="83">
        <f>H11/J11</f>
        <v>0.033649352383496</v>
      </c>
      <c r="I13" s="83">
        <f>I11/J11</f>
        <v>0.060088129256242</v>
      </c>
      <c r="J13"/>
    </row>
    <row r="14" spans="1:14">
      <c r="B14" t="s">
        <v>101</v>
      </c>
      <c r="C14" s="78">
        <f>J14*C13</f>
        <v>70.64287354787</v>
      </c>
      <c r="D14" s="78">
        <f>J14*D13</f>
        <v>13.797436239818</v>
      </c>
      <c r="E14" s="78">
        <f>J14*E13</f>
        <v>107.89595139538</v>
      </c>
      <c r="F14" s="78">
        <f>J14*F13</f>
        <v>60.01884764321</v>
      </c>
      <c r="G14" s="78">
        <f>J14*G13</f>
        <v>59.788890372547</v>
      </c>
      <c r="H14" s="78">
        <f>J14*H13</f>
        <v>11.589846441447</v>
      </c>
      <c r="I14" s="78">
        <f>J14*I13</f>
        <v>20.696154359728</v>
      </c>
      <c r="J14" s="86">
        <f>IF(J7&lt;1, N7*0.6, N7*0.6*J7)</f>
        <v>344.43</v>
      </c>
    </row>
    <row r="15" spans="1:14">
      <c r="B15" t="s">
        <v>102</v>
      </c>
      <c r="C15" s="78">
        <f>C11+C14</f>
        <v>1606.6428735479</v>
      </c>
      <c r="D15" s="78">
        <f>D11+D14</f>
        <v>313.79743623982</v>
      </c>
      <c r="E15" s="78">
        <f>E11+E14</f>
        <v>2453.8959513954</v>
      </c>
      <c r="F15" s="78">
        <f>F11+F14</f>
        <v>1365.0188476432</v>
      </c>
      <c r="G15" s="78">
        <f>G11+G14</f>
        <v>1359.7888903726</v>
      </c>
      <c r="H15" s="78">
        <f>H11+H14</f>
        <v>263.58984644145</v>
      </c>
      <c r="I15" s="78">
        <f>I11+I14</f>
        <v>470.69615435973</v>
      </c>
      <c r="J15" s="86">
        <f>SUM(C15:I15)</f>
        <v>7833.43</v>
      </c>
    </row>
    <row r="16" spans="1:14">
      <c r="B16" s="77" t="s">
        <v>103</v>
      </c>
      <c r="C16" s="78">
        <f>C12+C14</f>
        <v>70.64287354787</v>
      </c>
      <c r="D16" s="78">
        <f>D12+D14</f>
        <v>13.797436239818</v>
      </c>
      <c r="E16" s="78">
        <f>E12+E14</f>
        <v>107.89595139538</v>
      </c>
      <c r="F16" s="78">
        <f>F12+F14</f>
        <v>60.01884764321</v>
      </c>
      <c r="G16" s="78">
        <f>G12+G14</f>
        <v>59.788890372547</v>
      </c>
      <c r="H16" s="78">
        <f>H12+H14</f>
        <v>11.589846441447</v>
      </c>
      <c r="I16" s="78">
        <f>I12+I14</f>
        <v>20.696154359728</v>
      </c>
      <c r="J16" s="86">
        <f>SUM(C16:I16)</f>
        <v>344.43</v>
      </c>
    </row>
    <row r="17" spans="1:14">
      <c r="B17" t="s">
        <v>104</v>
      </c>
      <c r="C17" s="78">
        <f>IF(J11&gt;5000,100*C13,50*C13)</f>
        <v>20.510081452797</v>
      </c>
      <c r="D17" s="78">
        <f>IF(J11&gt;5000,100*D13,50*D13)</f>
        <v>4.0058752837495</v>
      </c>
      <c r="E17" s="78">
        <f>IF(J11&gt;5000,100*E13,50*E13)</f>
        <v>31.325944718921</v>
      </c>
      <c r="F17" s="78">
        <f>IF(J11&gt;5000,100*F13,50*F13)</f>
        <v>17.42555748431</v>
      </c>
      <c r="G17" s="78">
        <f>IF(J11&gt;5000,100*G13,50*G13)</f>
        <v>17.358792896248</v>
      </c>
      <c r="H17" s="78">
        <f>IF(J11&gt;5000,100*H13,50*H13)</f>
        <v>3.3649352383496</v>
      </c>
      <c r="I17" s="78">
        <f>IF(J11&gt;5000,100*I13,50*I13)</f>
        <v>6.0088129256242</v>
      </c>
      <c r="J17" s="86">
        <f>SUM(C17:I17)</f>
        <v>100</v>
      </c>
    </row>
    <row r="18" spans="1:14">
      <c r="B18" t="s">
        <v>105</v>
      </c>
      <c r="C18" s="78">
        <f>C15+C17</f>
        <v>1627.1529550007</v>
      </c>
      <c r="D18" s="78">
        <f>D15+D17</f>
        <v>317.80331152357</v>
      </c>
      <c r="E18" s="78">
        <f>E15+E17</f>
        <v>2485.2218961143</v>
      </c>
      <c r="F18" s="78">
        <f>F15+F17</f>
        <v>1382.4444051275</v>
      </c>
      <c r="G18" s="78">
        <f>G15+G17</f>
        <v>1377.1476832688</v>
      </c>
      <c r="H18" s="78">
        <f>H15+H17</f>
        <v>266.9547816798</v>
      </c>
      <c r="I18" s="78">
        <f>I15+I17</f>
        <v>476.70496728535</v>
      </c>
      <c r="J18" s="86">
        <f>SUM(C18:I18)</f>
        <v>7933.43</v>
      </c>
    </row>
    <row r="19" spans="1:14">
      <c r="B19" s="77" t="s">
        <v>106</v>
      </c>
      <c r="C19" s="78">
        <f>C16+C17</f>
        <v>91.152955000668</v>
      </c>
      <c r="D19" s="78">
        <f>D16+D17</f>
        <v>17.803311523568</v>
      </c>
      <c r="E19" s="78">
        <f>E16+E17</f>
        <v>139.2218961143</v>
      </c>
      <c r="F19" s="78">
        <f>F16+F17</f>
        <v>77.44440512752</v>
      </c>
      <c r="G19" s="78">
        <f>G16+G17</f>
        <v>77.147683268795</v>
      </c>
      <c r="H19" s="78">
        <f>H16+H17</f>
        <v>14.954781679797</v>
      </c>
      <c r="I19" s="78">
        <f>I16+I17</f>
        <v>26.704967285352</v>
      </c>
      <c r="J19" s="86">
        <f>SUM(C19:I19)</f>
        <v>444.43</v>
      </c>
    </row>
    <row r="23" spans="1:14">
      <c r="B23" s="74" t="s">
        <v>116</v>
      </c>
      <c r="C23"/>
      <c r="D23"/>
      <c r="E23"/>
    </row>
    <row r="26" spans="1:14">
      <c r="B26" t="s">
        <v>117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f>SUM(C26:I26)</f>
        <v>0</v>
      </c>
    </row>
    <row r="27" spans="1:14">
      <c r="C27" s="84">
        <v>0.0</v>
      </c>
      <c r="D27" s="84">
        <v>0.0</v>
      </c>
      <c r="E27" s="84">
        <v>0.0</v>
      </c>
      <c r="F27" s="84">
        <v>0.0</v>
      </c>
      <c r="G27" s="84">
        <v>0.0</v>
      </c>
      <c r="H27" s="84">
        <v>0.0</v>
      </c>
      <c r="I27" s="84">
        <v>0.0</v>
      </c>
      <c r="J27" s="83">
        <f>SUM(C27:I27)</f>
        <v>0</v>
      </c>
    </row>
    <row r="28" spans="1:14">
      <c r="B28" t="s">
        <v>110</v>
      </c>
      <c r="C28" s="78">
        <f>MAX(C19,C18)*C27</f>
        <v>0</v>
      </c>
      <c r="D28" s="78">
        <f>MAX(D19,D18)*D27</f>
        <v>0</v>
      </c>
      <c r="E28" s="78">
        <f>MAX(E19,E18)*E27</f>
        <v>0</v>
      </c>
      <c r="F28" s="78">
        <f>MAX(F19,F18)*F27</f>
        <v>0</v>
      </c>
      <c r="G28" s="78">
        <f>MAX(G19,G18)*G27</f>
        <v>0</v>
      </c>
      <c r="H28" s="78">
        <f>MAX(H19,H18)*H27</f>
        <v>0</v>
      </c>
      <c r="I28" s="78">
        <f>MAX(I19,I18)*I27</f>
        <v>0</v>
      </c>
      <c r="J28" s="78">
        <f>SUM(C28:I28)</f>
        <v>0</v>
      </c>
    </row>
    <row r="29" spans="1:14">
      <c r="B29" t="s">
        <v>31</v>
      </c>
      <c r="C29" s="78">
        <f>0.16*(MAX(C19,C18)+C28)</f>
        <v>260.34447280011</v>
      </c>
      <c r="D29" s="78">
        <f>0.16*(MAX(D19,D18)+D28)</f>
        <v>50.848529843771</v>
      </c>
      <c r="E29" s="78">
        <f>0.16*(MAX(E19,E18)+E28)</f>
        <v>397.63550337829</v>
      </c>
      <c r="F29" s="78">
        <f>0.16*(MAX(F19,F18)+F28)</f>
        <v>221.1911048204</v>
      </c>
      <c r="G29" s="78">
        <f>0.16*(MAX(G19,G18)+G28)</f>
        <v>220.34362932301</v>
      </c>
      <c r="H29" s="78">
        <f>0.16*(MAX(H19,H18)+H28)</f>
        <v>42.712765068768</v>
      </c>
      <c r="I29" s="78">
        <f>0.16*(MAX(I19,I18)+I28)</f>
        <v>76.272794765656</v>
      </c>
      <c r="J29" s="78">
        <f>SUM(C29:I29)</f>
        <v>1269.3488</v>
      </c>
    </row>
    <row r="30" spans="1:14">
      <c r="B30" t="s">
        <v>32</v>
      </c>
      <c r="C30" s="78">
        <f>0.02*(MAX(C19,C18)+C28)</f>
        <v>32.543059100013</v>
      </c>
      <c r="D30" s="78">
        <f>0.02*(MAX(D19,D18)+D28)</f>
        <v>6.3560662304714</v>
      </c>
      <c r="E30" s="78">
        <f>0.02*(MAX(E19,E18)+E28)</f>
        <v>49.704437922286</v>
      </c>
      <c r="F30" s="78">
        <f>0.02*(MAX(F19,F18)+F28)</f>
        <v>27.64888810255</v>
      </c>
      <c r="G30" s="78">
        <f>0.02*(MAX(G19,G18)+G28)</f>
        <v>27.542953665376</v>
      </c>
      <c r="H30" s="78">
        <f>0.02*(MAX(H19,H18)+H28)</f>
        <v>5.3390956335959</v>
      </c>
      <c r="I30" s="78">
        <f>0.02*(MAX(I19,I18)+I28)</f>
        <v>9.534099345707</v>
      </c>
      <c r="J30" s="78">
        <f>SUM(C30:I30)</f>
        <v>158.6686</v>
      </c>
    </row>
    <row r="31" spans="1:14">
      <c r="B31" t="s">
        <v>111</v>
      </c>
      <c r="C31" s="78">
        <f>0.035*(MAX(C18,C19) +C28+C29+C30)</f>
        <v>67.201417041528</v>
      </c>
      <c r="D31" s="78">
        <f>0.035*(MAX(D18,D19) +D28+D29+D30)</f>
        <v>13.125276765923</v>
      </c>
      <c r="E31" s="78">
        <f>0.035*(MAX(E18,E19) +E28+E29+E30)</f>
        <v>102.63966430952</v>
      </c>
      <c r="F31" s="78">
        <f>0.035*(MAX(F18,F19) +F28+F29+F30)</f>
        <v>57.094953931767</v>
      </c>
      <c r="G31" s="78">
        <f>0.035*(MAX(G18,G19) +G28+G29+G30)</f>
        <v>56.876199319002</v>
      </c>
      <c r="H31" s="78">
        <f>0.035*(MAX(H18,H19) +H28+H29+H30)</f>
        <v>11.025232483376</v>
      </c>
      <c r="I31" s="78">
        <f>0.035*(MAX(I18,I19) +I28+I29+I30)</f>
        <v>19.687915148885</v>
      </c>
      <c r="J31" s="78">
        <f>SUM(C31:I31)</f>
        <v>327.650659</v>
      </c>
    </row>
    <row r="32" spans="1:14">
      <c r="B32" t="s">
        <v>36</v>
      </c>
      <c r="C32" s="78">
        <f>SUM(C28:C31)</f>
        <v>360.08894894165</v>
      </c>
      <c r="D32" s="78">
        <f>SUM(D28:D31)</f>
        <v>70.329872840166</v>
      </c>
      <c r="E32" s="78">
        <f>SUM(E28:E31)</f>
        <v>549.97960561009</v>
      </c>
      <c r="F32" s="78">
        <f>SUM(F28:F31)</f>
        <v>305.93494685472</v>
      </c>
      <c r="G32" s="78">
        <f>SUM(G28:G31)</f>
        <v>304.76278230739</v>
      </c>
      <c r="H32" s="78">
        <f>SUM(H28:H31)</f>
        <v>59.077093185739</v>
      </c>
      <c r="I32" s="78">
        <f>SUM(I28:I31)</f>
        <v>105.49480926025</v>
      </c>
      <c r="J32" s="78">
        <f>SUM(J28:J31)</f>
        <v>1755.668059</v>
      </c>
    </row>
    <row r="37" spans="1:14">
      <c r="B37" s="74" t="s">
        <v>118</v>
      </c>
      <c r="C37"/>
      <c r="D37"/>
      <c r="E37"/>
    </row>
    <row r="40" spans="1:14">
      <c r="B40" t="s">
        <v>112</v>
      </c>
      <c r="C40" s="78">
        <f>C13*J40</f>
        <v>47.095249031913</v>
      </c>
      <c r="D40" s="78">
        <f>D13*J40</f>
        <v>9.1982908265456</v>
      </c>
      <c r="E40" s="78">
        <f>E13*J40</f>
        <v>71.930634263587</v>
      </c>
      <c r="F40" s="78">
        <f>F13*J40</f>
        <v>40.012565095473</v>
      </c>
      <c r="G40" s="78">
        <f>G13*J40</f>
        <v>39.859260248364</v>
      </c>
      <c r="H40" s="78">
        <f>H13*J40</f>
        <v>7.7265642942983</v>
      </c>
      <c r="I40" s="78">
        <f>I13*J40</f>
        <v>13.797436239818</v>
      </c>
      <c r="J40" s="78">
        <f>IF(J7&lt;1, N7*0.4,N7*0.4*J7)</f>
        <v>229.62</v>
      </c>
    </row>
    <row r="41" spans="1:14">
      <c r="B41"/>
    </row>
    <row r="43" spans="1:14">
      <c r="B43" t="s">
        <v>112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54</v>
      </c>
      <c r="I43" t="s">
        <v>55</v>
      </c>
      <c r="J43" t="s">
        <v>109</v>
      </c>
    </row>
    <row r="44" spans="1:14">
      <c r="B44" t="s">
        <v>113</v>
      </c>
      <c r="C44" s="78">
        <f>SUM(C15,C40,C32,(C26))</f>
        <v>2013.8270715214</v>
      </c>
      <c r="D44" s="78">
        <f>SUM(D15,D40,D32,(D26))</f>
        <v>393.32559990653</v>
      </c>
      <c r="E44" s="78">
        <f>SUM(E15,E40,E32,(E26))</f>
        <v>3075.8061912691</v>
      </c>
      <c r="F44" s="78">
        <f>SUM(F15,F40,F32,(F26))</f>
        <v>1710.9663595934</v>
      </c>
      <c r="G44" s="78">
        <f>SUM(G15,G40,G32,(G26))</f>
        <v>1704.4109329283</v>
      </c>
      <c r="H44" s="78">
        <f>SUM(H15,H40,H32,(H26))</f>
        <v>330.39350392148</v>
      </c>
      <c r="I44" s="78">
        <f>SUM(I15,I40,I32,(I26))</f>
        <v>589.98839985979</v>
      </c>
      <c r="J44" s="78">
        <f>SUM(C44:I44)</f>
        <v>9818.718059</v>
      </c>
    </row>
    <row r="45" spans="1:14">
      <c r="B45" t="s">
        <v>45</v>
      </c>
      <c r="C45">
        <v>24.0</v>
      </c>
      <c r="D45">
        <v>10.0</v>
      </c>
      <c r="E45">
        <v>12.0</v>
      </c>
      <c r="F45">
        <v>12.0</v>
      </c>
      <c r="G45">
        <v>24.0</v>
      </c>
      <c r="H45">
        <v>12.0</v>
      </c>
      <c r="I45">
        <v>12.0</v>
      </c>
      <c r="J45"/>
    </row>
    <row r="46" spans="1:14">
      <c r="B46" t="s">
        <v>114</v>
      </c>
      <c r="C46" s="78">
        <f>SUM(C44/C45)</f>
        <v>83.909461313393</v>
      </c>
      <c r="D46" s="78">
        <f>SUM(D44/D45)</f>
        <v>39.332559990653</v>
      </c>
      <c r="E46" s="78">
        <f>SUM(E44/E45)</f>
        <v>256.31718260576</v>
      </c>
      <c r="F46" s="78">
        <f>SUM(F44/F45)</f>
        <v>142.58052996612</v>
      </c>
      <c r="G46" s="78">
        <f>SUM(G44/G45)</f>
        <v>71.017122205346</v>
      </c>
      <c r="H46" s="78">
        <f>SUM(H44/H45)</f>
        <v>27.532791993457</v>
      </c>
      <c r="I46" s="78">
        <f>SUM(I44/I45)</f>
        <v>49.165699988316</v>
      </c>
      <c r="J46"/>
    </row>
    <row r="47" spans="1:14">
      <c r="B47" t="s">
        <v>115</v>
      </c>
      <c r="C47" s="85">
        <f>C46*3.7</f>
        <v>310.46500685955</v>
      </c>
      <c r="D47" s="85">
        <f>D46*3.7</f>
        <v>145.53047196542</v>
      </c>
      <c r="E47" s="85">
        <f>E46*3.7</f>
        <v>948.37357564129</v>
      </c>
      <c r="F47" s="85">
        <f>F46*3.7</f>
        <v>527.54796087463</v>
      </c>
      <c r="G47" s="85">
        <f>G46*3.7</f>
        <v>262.76335215978</v>
      </c>
      <c r="H47" s="85">
        <f>H46*3.7</f>
        <v>101.87133037579</v>
      </c>
      <c r="I47" s="85">
        <f>I46*3.7</f>
        <v>181.91308995677</v>
      </c>
      <c r="J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