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<sst xmlns="http://schemas.openxmlformats.org/spreadsheetml/2006/main" uniqueCount="119">
  <si>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</si>
  <si>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</si>
  <si>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</si>
  <si>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</si>
  <si>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JULIO CESAR CONDORCALLO NAVARRO</t>
  </si>
  <si>
    <t>SERVICIO:</t>
  </si>
  <si>
    <t>CARGA CONSOLIDADA</t>
  </si>
  <si>
    <t>N° CAJAS:</t>
  </si>
  <si>
    <t>APELLIDO:</t>
  </si>
  <si>
    <t>FECHA:</t>
  </si>
  <si>
    <t>PESO:</t>
  </si>
  <si>
    <t>806.5 Kg</t>
  </si>
  <si>
    <t>DNI/RUC:</t>
  </si>
  <si>
    <t>ORIGEN:</t>
  </si>
  <si>
    <t>CHINA</t>
  </si>
  <si>
    <t>MEDIDA:</t>
  </si>
  <si>
    <t>TELEFONO:</t>
  </si>
  <si>
    <t>51 983 704 868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</si>
  <si>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</si>
  <si>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</si>
  <si>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</si>
  <si>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</si>
  <si>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</si>
  <si>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</si>
  <si>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</si>
  <si>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</si>
  <si>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</si>
  <si>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</si>
  <si>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</si>
  <si>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</si>
  <si>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</si>
  <si>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</si>
  <si>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</si>
  <si>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</si>
  <si>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</si>
  <si>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</si>
  <si>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</si>
  <si>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</si>
  <si>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</si>
  <si>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</si>
  <si>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</si>
  <si>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</si>
  <si>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</si>
  <si>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</si>
  <si>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</si>
  <si>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</si>
  <si>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</si>
  <si>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</si>
  <si>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</si>
  <si>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MANIJAS PEQUEÑAS PARA PUERTAS</t>
  </si>
  <si>
    <t>MANIJAS MEDIANAS PARA PUERTAS</t>
  </si>
  <si>
    <t>MANIJAS GRANDES PARA PUERTAS</t>
  </si>
  <si>
    <t>MANIJAS LARGAS PARA PUERTAS</t>
  </si>
  <si>
    <t>MAQUINA DE MARCADO LASER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</si>
  <si>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</si>
  <si>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</si>
  <si>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</si>
  <si>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</si>
  <si>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</si>
  <si>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</si>
  <si>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</si>
  <si>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</si>
  <si>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</si>
  <si>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</si>
  <si>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</si>
  <si>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</si>
  <si>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</si>
  <si>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</si>
  <si>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</si>
  <si>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</si>
  <si>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</si>
  <si>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</si>
  <si>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</si>
  <si>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</si>
  <si>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</si>
  <si>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</si>
  <si>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</si>
  <si>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</si>
  <si>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</si>
  <si>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</si>
  <si>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</si>
  <si>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</si>
  <si>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</si>
  <si>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</si>
  <si>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</si>
  <si>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</si>
  <si>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</si>
  <si>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</si>
  <si>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</si>
  <si>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</si>
  <si>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JULIO CESAR CONDORCALLO NAVARRO 😁 un gusto saludarte!
        A continuación te envío la cotización final de tu importación📋📦.
        🙋‍♂️ PAGO PENDIENTE :
        ☑️Costo CBM: $380.16
        ☑️Impuestos: $175.57
        ☑️ Total: $555.73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</si>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</sst>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4" customHeight="1" ht="18">
      <c r="B2" s="38"/>
      <c r="C2" s="38"/>
      <c r="E2" s="43"/>
      <c r="F2" s="43"/>
      <c r="G2" s="43"/>
      <c r="H2" s="43"/>
      <c r="I2" s="43"/>
      <c r="J2" s="43"/>
      <c r="K2" s="43"/>
      <c r="L2" s="43"/>
    </row>
    <row r="3" spans="1:14" customHeight="1" ht="25.8">
      <c r="B3" s="38"/>
      <c r="C3" s="38"/>
      <c r="E3" s="54" t="s">
        <v>0</v>
      </c>
      <c r="F3" s="54"/>
      <c r="G3" s="54"/>
      <c r="H3" s="54"/>
      <c r="I3" s="54"/>
      <c r="J3" s="54"/>
    </row>
    <row r="4" spans="1:14" customHeight="1" ht="25.8">
      <c r="B4" s="38"/>
      <c r="C4" s="38"/>
      <c r="E4" s="55" t="s">
        <v>1</v>
      </c>
      <c r="F4" s="55"/>
      <c r="G4" s="55"/>
      <c r="H4" s="55"/>
      <c r="I4" s="55"/>
      <c r="J4" s="55"/>
      <c r="K4" s="11"/>
    </row>
    <row r="5" spans="1:14">
      <c r="B5" s="38"/>
      <c r="C5" s="38"/>
      <c r="D5" s="36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40" t="s">
        <v>2</v>
      </c>
      <c r="F7" s="40"/>
      <c r="G7" s="40"/>
      <c r="I7" s="38"/>
      <c r="J7" s="38"/>
      <c r="K7" s="38"/>
      <c r="L7" s="38"/>
    </row>
    <row r="8" spans="1:14">
      <c r="B8" s="6" t="s">
        <v>3</v>
      </c>
      <c r="C8" s="106" t="s">
        <v>4</v>
      </c>
      <c r="D8" s="34"/>
      <c r="E8" s="20" t="s">
        <v>5</v>
      </c>
      <c r="F8" s="45" t="s">
        <v>6</v>
      </c>
      <c r="G8" s="46"/>
      <c r="H8" s="33"/>
      <c r="I8" s="1" t="s">
        <v>7</v>
      </c>
      <c r="J8" s="62">
        <f>+'2'!F7</f>
        <v>0</v>
      </c>
      <c r="K8" s="62"/>
      <c r="L8" s="62"/>
    </row>
    <row r="9" spans="1:14">
      <c r="B9" s="6" t="s">
        <v>8</v>
      </c>
      <c r="C9" s="14"/>
      <c r="D9" s="34"/>
      <c r="E9" s="21" t="s">
        <v>9</v>
      </c>
      <c r="F9" s="41">
        <f>+TODAY()</f>
        <v>45943</v>
      </c>
      <c r="G9" s="42"/>
      <c r="H9" s="33"/>
      <c r="I9" s="1" t="s">
        <v>10</v>
      </c>
      <c r="J9" s="105" t="s">
        <v>11</v>
      </c>
      <c r="K9" s="39"/>
      <c r="L9" s="39"/>
    </row>
    <row r="10" spans="1:14">
      <c r="B10" s="6" t="s">
        <v>12</v>
      </c>
      <c r="C10" s="14">
        <v>42764501</v>
      </c>
      <c r="D10" s="34"/>
      <c r="E10" s="25" t="s">
        <v>13</v>
      </c>
      <c r="F10" s="43" t="s">
        <v>14</v>
      </c>
      <c r="G10" s="44"/>
      <c r="H10" s="33"/>
      <c r="I10" s="1" t="s">
        <v>15</v>
      </c>
      <c r="J10" s="63"/>
      <c r="K10" s="105"/>
      <c r="L10" s="63"/>
    </row>
    <row r="11" spans="1:14">
      <c r="B11" s="6" t="s">
        <v>16</v>
      </c>
      <c r="C11" s="15" t="s">
        <v>17</v>
      </c>
      <c r="D11" s="35"/>
      <c r="E11" s="22" t="s">
        <v>18</v>
      </c>
      <c r="F11" s="48" t="s">
        <v>19</v>
      </c>
      <c r="G11" s="65"/>
      <c r="H11" s="33"/>
      <c r="I11" s="1" t="s">
        <v>20</v>
      </c>
      <c r="J11" s="104">
        <f>'2'!H7</f>
        <v>4.66</v>
      </c>
      <c r="K11" s="74"/>
      <c r="L11" s="74"/>
    </row>
    <row r="12" spans="1:14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4">
      <c r="B13" s="66" t="s">
        <v>21</v>
      </c>
      <c r="C13" s="66"/>
      <c r="D13" s="66"/>
      <c r="E13" s="66"/>
      <c r="F13" s="66"/>
      <c r="G13" s="66"/>
      <c r="H13" s="66"/>
      <c r="I13" s="66"/>
      <c r="J13" s="66"/>
      <c r="K13" s="8" t="s">
        <v>22</v>
      </c>
      <c r="L13" s="8" t="s">
        <v>23</v>
      </c>
    </row>
    <row r="14" spans="1:14">
      <c r="B14" s="67" t="s">
        <v>24</v>
      </c>
      <c r="C14" s="67"/>
      <c r="D14" s="67"/>
      <c r="E14" s="67"/>
      <c r="F14" s="67"/>
      <c r="G14" s="67"/>
      <c r="H14" s="67"/>
      <c r="I14" s="67"/>
      <c r="J14" s="67"/>
      <c r="K14" s="12">
        <f>'2'!G11</f>
        <v>650</v>
      </c>
      <c r="L14" s="7" t="s">
        <v>25</v>
      </c>
    </row>
    <row r="15" spans="1:14">
      <c r="B15" s="68" t="s">
        <v>26</v>
      </c>
      <c r="C15" s="68"/>
      <c r="D15" s="68"/>
      <c r="E15" s="68"/>
      <c r="F15" s="68"/>
      <c r="G15" s="68"/>
      <c r="H15" s="68"/>
      <c r="I15" s="68"/>
      <c r="J15" s="68"/>
      <c r="K15" s="13">
        <f>'2'!G14 + '2'!G17</f>
        <v>143.33986928104</v>
      </c>
      <c r="L15" s="10" t="s">
        <v>25</v>
      </c>
    </row>
    <row r="16" spans="1:14">
      <c r="B16" s="51" t="s">
        <v>27</v>
      </c>
      <c r="C16" s="51"/>
      <c r="D16" s="51"/>
      <c r="E16" s="51"/>
      <c r="F16" s="51"/>
      <c r="G16" s="51"/>
      <c r="H16" s="51"/>
      <c r="I16" s="51"/>
      <c r="J16" s="51"/>
      <c r="K16" s="12">
        <f>SUM(K14:K15)</f>
        <v>793.33986928104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69" t="s">
        <v>28</v>
      </c>
      <c r="C19" s="69"/>
      <c r="D19" s="69"/>
      <c r="E19" s="69"/>
      <c r="F19" s="69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49" t="s">
        <v>30</v>
      </c>
      <c r="C20" s="49"/>
      <c r="D20" s="49"/>
      <c r="E20" s="49"/>
      <c r="F20" s="49"/>
      <c r="G20" s="49"/>
      <c r="H20" s="49"/>
      <c r="I20" s="49"/>
      <c r="J20" s="18">
        <f>MAX('2'!C27:F27)</f>
        <v>0</v>
      </c>
      <c r="K20" s="12">
        <f>'2'!G28</f>
        <v>0</v>
      </c>
      <c r="L20" s="7" t="s">
        <v>25</v>
      </c>
      <c r="N20" t="s">
        <v>90</v>
      </c>
    </row>
    <row r="21" spans="1:14">
      <c r="B21" s="49" t="s">
        <v>31</v>
      </c>
      <c r="C21" s="49"/>
      <c r="D21" s="49"/>
      <c r="E21" s="49"/>
      <c r="F21" s="49"/>
      <c r="G21" s="49"/>
      <c r="H21" s="49"/>
      <c r="I21" s="49"/>
      <c r="J21" s="18">
        <v>0.16</v>
      </c>
      <c r="K21" s="12">
        <f>'2'!G29</f>
        <v>126.93437908497</v>
      </c>
      <c r="L21" s="7" t="s">
        <v>25</v>
      </c>
    </row>
    <row r="22" spans="1:14">
      <c r="B22" s="48" t="s">
        <v>32</v>
      </c>
      <c r="C22" s="48"/>
      <c r="D22" s="48"/>
      <c r="E22" s="48"/>
      <c r="F22" s="48"/>
      <c r="G22" s="48"/>
      <c r="H22" s="48"/>
      <c r="I22" s="48"/>
      <c r="J22" s="18">
        <v>0.02</v>
      </c>
      <c r="K22" s="12">
        <f>'2'!G30</f>
        <v>15.866797385621</v>
      </c>
      <c r="L22" s="7" t="s">
        <v>25</v>
      </c>
    </row>
    <row r="23" spans="1:14">
      <c r="B23" s="51" t="s">
        <v>33</v>
      </c>
      <c r="C23" s="51"/>
      <c r="D23" s="51"/>
      <c r="E23" s="51"/>
      <c r="F23" s="51"/>
      <c r="G23" s="51"/>
      <c r="H23" s="51"/>
      <c r="I23" s="51"/>
      <c r="J23" s="27"/>
      <c r="K23" s="28">
        <f>SUM(K20:K22)</f>
        <v>142.80117647059</v>
      </c>
      <c r="L23" s="27" t="s">
        <v>25</v>
      </c>
    </row>
    <row r="24" spans="1:14">
      <c r="B24" s="49"/>
      <c r="C24" s="49"/>
      <c r="D24" s="49"/>
      <c r="E24" s="49"/>
      <c r="F24" s="49"/>
      <c r="G24" s="49"/>
      <c r="H24" s="49"/>
      <c r="I24" s="49"/>
      <c r="J24" s="2"/>
      <c r="K24" s="9"/>
      <c r="L24" s="7"/>
    </row>
    <row r="25" spans="1:14">
      <c r="B25" s="48" t="s">
        <v>34</v>
      </c>
      <c r="C25" s="48"/>
      <c r="D25" s="48"/>
      <c r="E25" s="48"/>
      <c r="F25" s="48"/>
      <c r="G25" s="48"/>
      <c r="H25" s="48"/>
      <c r="I25" s="48"/>
      <c r="J25" s="19" t="s">
        <v>35</v>
      </c>
      <c r="K25" s="13">
        <f>'2'!G31</f>
        <v>32.764936601307</v>
      </c>
      <c r="L25" s="10" t="s">
        <v>25</v>
      </c>
    </row>
    <row r="26" spans="1:14">
      <c r="B26" s="51" t="s">
        <v>36</v>
      </c>
      <c r="C26" s="51"/>
      <c r="D26" s="51"/>
      <c r="E26" s="51"/>
      <c r="F26" s="51"/>
      <c r="G26" s="51"/>
      <c r="H26" s="51"/>
      <c r="I26" s="51"/>
      <c r="K26" s="12">
        <f>K23+K25</f>
        <v>175.5661130719</v>
      </c>
      <c r="L26" s="7" t="s">
        <v>25</v>
      </c>
    </row>
    <row r="27" spans="1:14">
      <c r="B27" s="43"/>
      <c r="C27" s="43"/>
      <c r="D27" s="43"/>
      <c r="E27" s="43"/>
      <c r="F27" s="43"/>
      <c r="G27" s="43"/>
      <c r="H27" s="43"/>
      <c r="I27" s="43"/>
    </row>
    <row r="28" spans="1:14" customHeight="1" ht="15.6">
      <c r="B28" s="52" t="s">
        <v>37</v>
      </c>
      <c r="C28" s="52"/>
      <c r="D28" s="52"/>
      <c r="E28" s="52"/>
      <c r="F28" s="52"/>
      <c r="G28" s="52"/>
      <c r="H28" s="52"/>
      <c r="I28" s="52"/>
      <c r="J28" s="52"/>
      <c r="K28" s="26" t="s">
        <v>22</v>
      </c>
      <c r="L28" s="26" t="s">
        <v>23</v>
      </c>
    </row>
    <row r="29" spans="1:14">
      <c r="B29" s="49" t="s">
        <v>38</v>
      </c>
      <c r="C29" s="49"/>
      <c r="D29" s="49"/>
      <c r="E29" s="49"/>
      <c r="F29" s="49"/>
      <c r="G29" s="49"/>
      <c r="H29" s="49"/>
      <c r="I29" s="49"/>
      <c r="J29" s="49"/>
      <c r="K29" s="12">
        <f>K14</f>
        <v>650</v>
      </c>
      <c r="L29" s="7" t="s">
        <v>25</v>
      </c>
    </row>
    <row r="30" spans="1:14">
      <c r="B30" s="49" t="s">
        <v>39</v>
      </c>
      <c r="C30" s="49"/>
      <c r="D30" s="49"/>
      <c r="E30" s="49"/>
      <c r="F30" s="49"/>
      <c r="G30" s="49"/>
      <c r="H30" s="49"/>
      <c r="I30" s="49"/>
      <c r="J30" s="49"/>
      <c r="K30" s="12">
        <f>IF(J11&lt;1, '2'!L7, '2'!L7*J11)</f>
        <v>1491.2</v>
      </c>
      <c r="L30" s="7" t="s">
        <v>25</v>
      </c>
    </row>
    <row r="31" spans="1:14">
      <c r="B31" s="48" t="s">
        <v>40</v>
      </c>
      <c r="C31" s="48"/>
      <c r="D31" s="48"/>
      <c r="E31" s="48"/>
      <c r="F31" s="48"/>
      <c r="G31" s="48"/>
      <c r="H31" s="48"/>
      <c r="I31" s="48"/>
      <c r="J31" s="48"/>
      <c r="K31" s="13">
        <f>K26</f>
        <v>175.5661130719</v>
      </c>
      <c r="L31" s="10" t="s">
        <v>25</v>
      </c>
    </row>
    <row r="32" spans="1:14">
      <c r="B32" s="51" t="s">
        <v>41</v>
      </c>
      <c r="C32" s="51"/>
      <c r="D32" s="51"/>
      <c r="E32" s="51"/>
      <c r="F32" s="51"/>
      <c r="G32" s="51"/>
      <c r="H32" s="51"/>
      <c r="I32" s="51"/>
      <c r="J32" s="51"/>
      <c r="K32" s="12">
        <f>SUM(K29:K31)</f>
        <v>2316.7661130719</v>
      </c>
      <c r="L32" s="7" t="s">
        <v>25</v>
      </c>
    </row>
    <row r="33" spans="1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1:14">
      <c r="B34" s="59" t="s">
        <v>42</v>
      </c>
      <c r="C34" s="60"/>
      <c r="D34" s="60"/>
      <c r="E34" s="60"/>
      <c r="F34" s="60"/>
      <c r="G34" s="60"/>
      <c r="H34" s="60"/>
      <c r="I34" s="60"/>
      <c r="J34" s="60"/>
      <c r="K34" s="60"/>
      <c r="L34" s="61"/>
    </row>
    <row r="35" spans="1:14">
      <c r="B35" s="17" t="s">
        <v>43</v>
      </c>
      <c r="C35" s="56" t="s">
        <v>44</v>
      </c>
      <c r="D35" s="57"/>
      <c r="E35" s="58"/>
      <c r="F35" s="4" t="s">
        <v>45</v>
      </c>
      <c r="G35" s="56" t="s">
        <v>46</v>
      </c>
      <c r="H35" s="58"/>
      <c r="I35" s="3" t="s">
        <v>47</v>
      </c>
      <c r="J35" s="24" t="s">
        <v>36</v>
      </c>
      <c r="K35" s="47" t="s">
        <v>48</v>
      </c>
      <c r="L35" s="47"/>
    </row>
    <row r="36" spans="1:14">
      <c r="A36" s="1"/>
      <c r="B36" s="88">
        <v>1</v>
      </c>
      <c r="C36" s="89" t="s">
        <v>49</v>
      </c>
      <c r="D36" s="90"/>
      <c r="E36" s="91"/>
      <c r="F36" s="88">
        <f>'2'!C10</f>
        <v>200</v>
      </c>
      <c r="G36" s="92">
        <f>'2'!C8</f>
        <v>1.765</v>
      </c>
      <c r="H36" s="93"/>
      <c r="I36" s="92">
        <f>'2'!C46</f>
        <v>2.8561011377311</v>
      </c>
      <c r="J36" s="92">
        <f>'2'!C44</f>
        <v>571.22022754622</v>
      </c>
      <c r="K36" s="94">
        <f>'2'!C47</f>
        <v>10.567574209605</v>
      </c>
      <c r="L36" s="47"/>
    </row>
    <row r="37" spans="1:14">
      <c r="A37" s="1"/>
      <c r="B37" s="88">
        <v>2</v>
      </c>
      <c r="C37" s="89" t="s">
        <v>50</v>
      </c>
      <c r="D37" s="90"/>
      <c r="E37" s="91"/>
      <c r="F37" s="88">
        <f>'2'!D10</f>
        <v>300</v>
      </c>
      <c r="G37" s="92">
        <f>'2'!D8</f>
        <v>2.2066666666667</v>
      </c>
      <c r="H37" s="93"/>
      <c r="I37" s="92">
        <f>'2'!D46</f>
        <v>3.5708006670028</v>
      </c>
      <c r="J37" s="92">
        <f>'2'!D44</f>
        <v>1071.2402001009</v>
      </c>
      <c r="K37" s="94">
        <f>'2'!D47</f>
        <v>13.211962467911</v>
      </c>
      <c r="L37" s="47"/>
    </row>
    <row r="38" spans="1:14">
      <c r="A38" s="1"/>
      <c r="B38" s="88">
        <v>3</v>
      </c>
      <c r="C38" s="89" t="s">
        <v>51</v>
      </c>
      <c r="D38" s="90"/>
      <c r="E38" s="91"/>
      <c r="F38" s="88">
        <f>'2'!E10</f>
        <v>600</v>
      </c>
      <c r="G38" s="92">
        <f>'2'!E8</f>
        <v>2.9316666666667</v>
      </c>
      <c r="H38" s="93"/>
      <c r="I38" s="92">
        <f>'2'!E46</f>
        <v>4.7439866867507</v>
      </c>
      <c r="J38" s="92">
        <f>'2'!E44</f>
        <v>2846.3920120504</v>
      </c>
      <c r="K38" s="95">
        <f>'2'!E47</f>
        <v>17.552750740978</v>
      </c>
      <c r="L38" s="73"/>
    </row>
    <row r="39" spans="1:14" customHeight="1" ht="15.6">
      <c r="A39"/>
      <c r="B39" s="96">
        <v>4</v>
      </c>
      <c r="C39" s="96" t="s">
        <v>52</v>
      </c>
      <c r="D39" s="96"/>
      <c r="E39" s="96"/>
      <c r="F39" s="96">
        <f>'2'!F10</f>
        <v>200</v>
      </c>
      <c r="G39" s="97">
        <f>'2'!F8</f>
        <v>4.3</v>
      </c>
      <c r="H39" s="96"/>
      <c r="I39" s="98">
        <f>'2'!F46</f>
        <v>6.9582067378151</v>
      </c>
      <c r="J39" s="99">
        <f>'2'!F44</f>
        <v>1391.641347563</v>
      </c>
      <c r="K39" s="100">
        <f>'2'!F47</f>
        <v>25.745364929916</v>
      </c>
      <c r="L39" s="29"/>
    </row>
    <row r="40" spans="1:14" customHeight="1" ht="15.6">
      <c r="B40" s="96">
        <v>5</v>
      </c>
      <c r="C40" s="96" t="s">
        <v>53</v>
      </c>
      <c r="D40" s="96"/>
      <c r="E40" s="96"/>
      <c r="F40" s="96">
        <f>'2'!G10</f>
        <v>1</v>
      </c>
      <c r="G40" s="97">
        <f>'2'!G8</f>
        <v>650</v>
      </c>
      <c r="H40" s="96"/>
      <c r="I40" s="98">
        <f>'2'!G46</f>
        <v>1051.8219487395</v>
      </c>
      <c r="J40" s="97">
        <f>'2'!G44</f>
        <v>1051.8219487395</v>
      </c>
      <c r="K40" s="100">
        <f>'2'!G47</f>
        <v>3891.7412103361</v>
      </c>
      <c r="L40" s="29"/>
    </row>
    <row r="41" spans="1:14">
      <c r="B41" s="101" t="s">
        <v>36</v>
      </c>
      <c r="C41" s="5"/>
      <c r="D41" s="5"/>
      <c r="E41" s="5"/>
      <c r="F41" s="101">
        <f>SUM(F36:F40)</f>
        <v>1301</v>
      </c>
      <c r="G41" s="5"/>
      <c r="H41" s="5"/>
      <c r="I41" s="5"/>
      <c r="J41" s="102">
        <f>SUM(J36:J40)</f>
        <v>6932.315736</v>
      </c>
      <c r="K41" s="30"/>
      <c r="L41" s="31"/>
    </row>
    <row r="42" spans="1:14" customHeight="1" ht="18">
      <c r="B42" s="103" t="s">
        <v>54</v>
      </c>
      <c r="C42" s="5"/>
      <c r="D42" s="5"/>
      <c r="E42" s="5"/>
      <c r="F42" s="5"/>
      <c r="G42" s="5"/>
      <c r="H42" s="5"/>
      <c r="I42" s="5"/>
      <c r="J42" s="5"/>
      <c r="K42" s="5"/>
      <c r="L42"/>
    </row>
    <row r="43" spans="1:14" customHeight="1" ht="18">
      <c r="B43" s="64" t="s">
        <v>55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1:14" customHeight="1" ht="18">
      <c r="B44" s="64" t="s">
        <v>56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</row>
    <row r="45" spans="1:14" customHeight="1" ht="18">
      <c r="B45" s="64" t="s">
        <v>57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1:14" customHeight="1" ht="18">
      <c r="B46" s="64" t="s">
        <v>58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 spans="1:14" customHeight="1" ht="18">
      <c r="B47" s="64" t="s">
        <v>59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8">
      <c r="B50" s="38"/>
      <c r="C50" s="38"/>
      <c r="D50" s="37" t="s">
        <v>0</v>
      </c>
      <c r="E50" s="37"/>
      <c r="F50" s="37"/>
      <c r="G50" s="37"/>
      <c r="H50" s="37"/>
      <c r="I50" s="37"/>
      <c r="J50" s="37"/>
      <c r="K50" s="37"/>
      <c r="L50" s="37"/>
      <c r="M50" s="37"/>
    </row>
    <row r="51" spans="1:14" customHeight="1" ht="21">
      <c r="B51" s="38"/>
      <c r="C51" s="38"/>
      <c r="D51" s="53" t="s">
        <v>60</v>
      </c>
      <c r="E51" s="53"/>
      <c r="F51" s="53"/>
      <c r="G51" s="53"/>
      <c r="H51" s="53"/>
      <c r="I51" s="53"/>
    </row>
    <row r="52" spans="1:14">
      <c r="B52" s="38"/>
      <c r="C52" s="38"/>
    </row>
    <row r="53" spans="1:14">
      <c r="B53" s="38"/>
      <c r="C53" s="38"/>
    </row>
    <row r="54" spans="1:14" customHeight="1" ht="21">
      <c r="B54" s="70" t="s">
        <v>61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6" spans="1:14">
      <c r="B56" s="71" t="s">
        <v>62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14">
      <c r="B57" s="71" t="s">
        <v>63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 spans="1:14">
      <c r="B58" s="49" t="s">
        <v>64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</row>
    <row r="59" spans="1:14">
      <c r="B59" s="71" t="s">
        <v>65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spans="1:14">
      <c r="B60" s="71" t="s">
        <v>66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spans="1:14">
      <c r="B61" s="49" t="s">
        <v>67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</row>
    <row r="62" spans="1:14">
      <c r="B62" s="71" t="s">
        <v>68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spans="1:14">
      <c r="B63" s="71" t="s">
        <v>69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4">
      <c r="B64" s="71" t="s">
        <v>70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spans="1:14">
      <c r="B65" s="71" t="s">
        <v>71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1:14">
      <c r="B66" s="71" t="s">
        <v>72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spans="1:14">
      <c r="B67" s="71" t="s">
        <v>73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1:14">
      <c r="B68" s="71" t="s">
        <v>74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1:14">
      <c r="B69" s="71" t="s">
        <v>75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spans="1:14">
      <c r="B70" s="71" t="s">
        <v>76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spans="1:14">
      <c r="B71" s="71" t="s">
        <v>77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spans="1:14">
      <c r="B72" s="71" t="s">
        <v>78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4">
      <c r="B73" s="67" t="s">
        <v>79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1:14">
      <c r="B74" s="71" t="s">
        <v>80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spans="1:14">
      <c r="B75" s="67" t="s">
        <v>81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1:14">
      <c r="B76" s="71" t="s">
        <v>82</v>
      </c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spans="1:14">
      <c r="B77" s="71" t="s">
        <v>83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spans="1:14">
      <c r="B78" s="71" t="s">
        <v>84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spans="1:14">
      <c r="B79" s="71" t="s">
        <v>85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spans="1:14">
      <c r="B80" s="71" t="s">
        <v>86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spans="1:14">
      <c r="A81" s="32"/>
      <c r="B81" s="72" t="s">
        <v>87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pans="1:14">
      <c r="A82" s="32"/>
      <c r="B82" s="71" t="s">
        <v>88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4">
      <c r="A83" s="32"/>
      <c r="B83" s="72" t="s">
        <v>89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>
      <c r="C90" s="38"/>
      <c r="D90" s="38"/>
      <c r="E90" s="38"/>
      <c r="F90" s="38"/>
      <c r="G90" s="38"/>
      <c r="H90" s="38"/>
      <c r="I90" s="38"/>
    </row>
    <row r="91" spans="1:14">
      <c r="C91" s="38"/>
      <c r="D91" s="38"/>
      <c r="E91" s="38"/>
      <c r="F91" s="38"/>
      <c r="G91" s="38"/>
      <c r="H91" s="38"/>
      <c r="I91" s="38"/>
    </row>
    <row r="92" spans="1:14" customHeight="1" ht="15.6">
      <c r="C92" s="38"/>
      <c r="D92" s="38"/>
      <c r="E92" s="38"/>
      <c r="F92" s="38"/>
      <c r="G92" s="38"/>
      <c r="H92" s="38"/>
      <c r="I92" s="38"/>
    </row>
    <row r="93" spans="1:14" customHeight="1" ht="15.6">
      <c r="C93" s="38"/>
      <c r="D93" s="38"/>
      <c r="E93" s="38"/>
      <c r="F93" s="38"/>
      <c r="G93" s="38"/>
      <c r="H93" s="38"/>
      <c r="I93" s="38"/>
    </row>
    <row r="94" spans="1:14">
      <c r="C94" s="38"/>
      <c r="D94" s="38"/>
      <c r="E94" s="38"/>
      <c r="F94" s="38"/>
      <c r="G94" s="38"/>
      <c r="H94" s="38"/>
      <c r="I94" s="38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  <col min="4" max="4" width="35.277" bestFit="true" customWidth="true" style="0"/>
    <col min="5" max="5" width="34.135" bestFit="true" customWidth="true" style="0"/>
    <col min="6" max="6" width="32.992" bestFit="true" customWidth="true" style="0"/>
    <col min="7" max="7" width="29.421" bestFit="true" customWidth="true" style="0"/>
    <col min="8" max="8" width="11.711" bestFit="true" customWidth="true" style="0"/>
  </cols>
  <sheetData>
    <row r="3" spans="1:12">
      <c r="B3" s="75" t="s">
        <v>91</v>
      </c>
      <c r="C3"/>
      <c r="D3"/>
      <c r="E3"/>
      <c r="F3"/>
      <c r="G3"/>
    </row>
    <row r="5" spans="1:12">
      <c r="B5" s="77" t="s">
        <v>92</v>
      </c>
      <c r="C5" s="76" t="s">
        <v>49</v>
      </c>
      <c r="D5" s="76" t="s">
        <v>50</v>
      </c>
      <c r="E5" s="76" t="s">
        <v>51</v>
      </c>
      <c r="F5" s="76" t="s">
        <v>52</v>
      </c>
      <c r="G5" s="76" t="s">
        <v>53</v>
      </c>
      <c r="H5" s="76" t="s">
        <v>109</v>
      </c>
    </row>
    <row r="6" spans="1:12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 s="82">
        <v>806.5</v>
      </c>
      <c r="K6" s="80" t="s">
        <v>107</v>
      </c>
      <c r="L6" s="80" t="s">
        <v>108</v>
      </c>
    </row>
    <row r="7" spans="1:12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 s="83">
        <v>4.66</v>
      </c>
      <c r="K7" s="81" t="s">
        <v>19</v>
      </c>
      <c r="L7" s="81">
        <v>320.0</v>
      </c>
    </row>
    <row r="8" spans="1:12">
      <c r="B8" t="s">
        <v>95</v>
      </c>
      <c r="C8" s="79">
        <v>1.765</v>
      </c>
      <c r="D8" s="79">
        <v>2.2066666666667</v>
      </c>
      <c r="E8" s="79">
        <v>2.9316666666667</v>
      </c>
      <c r="F8" s="79">
        <v>4.3</v>
      </c>
      <c r="G8" s="79">
        <v>650.0</v>
      </c>
      <c r="H8"/>
    </row>
    <row r="9" spans="1:12">
      <c r="B9" s="78" t="s">
        <v>96</v>
      </c>
      <c r="C9" s="79">
        <v>0.0</v>
      </c>
      <c r="D9" s="79">
        <v>0.0</v>
      </c>
      <c r="E9" s="79">
        <v>0.0</v>
      </c>
      <c r="F9" s="79">
        <v>0.0</v>
      </c>
      <c r="G9" s="79">
        <v>0.0</v>
      </c>
      <c r="H9"/>
    </row>
    <row r="10" spans="1:12">
      <c r="B10" t="s">
        <v>97</v>
      </c>
      <c r="C10">
        <v>200.0</v>
      </c>
      <c r="D10">
        <v>300.0</v>
      </c>
      <c r="E10">
        <v>600.0</v>
      </c>
      <c r="F10">
        <v>200.0</v>
      </c>
      <c r="G10">
        <v>1.0</v>
      </c>
      <c r="H10">
        <f>SUM(C10:G10)</f>
        <v>1301</v>
      </c>
    </row>
    <row r="11" spans="1:12">
      <c r="B11" t="s">
        <v>98</v>
      </c>
      <c r="C11" s="79">
        <f>C8*C10</f>
        <v>353</v>
      </c>
      <c r="D11" s="79">
        <f>D8*D10</f>
        <v>662.00000000001</v>
      </c>
      <c r="E11" s="79">
        <f>E8*E10</f>
        <v>1759</v>
      </c>
      <c r="F11" s="79">
        <f>F8*F10</f>
        <v>860</v>
      </c>
      <c r="G11" s="79">
        <f>G8*G10</f>
        <v>650</v>
      </c>
      <c r="H11" s="87">
        <f>SUM(C11:G11)</f>
        <v>4284</v>
      </c>
    </row>
    <row r="12" spans="1:12">
      <c r="B12" s="78" t="s">
        <v>99</v>
      </c>
      <c r="C12" s="79">
        <f>C10*C9</f>
        <v>0</v>
      </c>
      <c r="D12" s="79">
        <f>D10*D9</f>
        <v>0</v>
      </c>
      <c r="E12" s="79">
        <f>E10*E9</f>
        <v>0</v>
      </c>
      <c r="F12" s="79">
        <f>F10*F9</f>
        <v>0</v>
      </c>
      <c r="G12" s="79">
        <f>G10*G9</f>
        <v>0</v>
      </c>
      <c r="H12" s="87">
        <f>SUM(C12:G12)</f>
        <v>0</v>
      </c>
    </row>
    <row r="13" spans="1:12">
      <c r="B13" t="s">
        <v>100</v>
      </c>
      <c r="C13" s="84">
        <f>C11/H11</f>
        <v>0.082399626517273</v>
      </c>
      <c r="D13" s="84">
        <f>D11/H11</f>
        <v>0.15452847805789</v>
      </c>
      <c r="E13" s="84">
        <f>E11/H11</f>
        <v>0.41059757236228</v>
      </c>
      <c r="F13" s="84">
        <f>F11/H11</f>
        <v>0.20074696545285</v>
      </c>
      <c r="G13" s="84">
        <f>G11/H11</f>
        <v>0.15172735760971</v>
      </c>
      <c r="H13"/>
    </row>
    <row r="14" spans="1:12">
      <c r="B14" t="s">
        <v>101</v>
      </c>
      <c r="C14" s="79">
        <f>H14*C13</f>
        <v>73.724593837534</v>
      </c>
      <c r="D14" s="79">
        <f>H14*D13</f>
        <v>138.25971988796</v>
      </c>
      <c r="E14" s="79">
        <f>H14*E13</f>
        <v>367.36985994398</v>
      </c>
      <c r="F14" s="79">
        <f>H14*F13</f>
        <v>179.61232492997</v>
      </c>
      <c r="G14" s="79">
        <f>H14*G13</f>
        <v>135.75350140056</v>
      </c>
      <c r="H14" s="87">
        <f>IF(H7&lt;1, L7*0.6, L7*0.6*H7)</f>
        <v>894.72</v>
      </c>
    </row>
    <row r="15" spans="1:12">
      <c r="B15" t="s">
        <v>102</v>
      </c>
      <c r="C15" s="79">
        <f>C11+C14</f>
        <v>426.72459383753</v>
      </c>
      <c r="D15" s="79">
        <f>D11+D14</f>
        <v>800.25971988797</v>
      </c>
      <c r="E15" s="79">
        <f>E11+E14</f>
        <v>2126.369859944</v>
      </c>
      <c r="F15" s="79">
        <f>F11+F14</f>
        <v>1039.61232493</v>
      </c>
      <c r="G15" s="79">
        <f>G11+G14</f>
        <v>785.75350140056</v>
      </c>
      <c r="H15" s="87">
        <f>SUM(C15:G15)</f>
        <v>5178.72</v>
      </c>
    </row>
    <row r="16" spans="1:12">
      <c r="B16" s="78" t="s">
        <v>103</v>
      </c>
      <c r="C16" s="79">
        <f>C12+C14</f>
        <v>73.724593837534</v>
      </c>
      <c r="D16" s="79">
        <f>D12+D14</f>
        <v>138.25971988796</v>
      </c>
      <c r="E16" s="79">
        <f>E12+E14</f>
        <v>367.36985994398</v>
      </c>
      <c r="F16" s="79">
        <f>F12+F14</f>
        <v>179.61232492997</v>
      </c>
      <c r="G16" s="79">
        <f>G12+G14</f>
        <v>135.75350140056</v>
      </c>
      <c r="H16" s="87">
        <f>SUM(C16:G16)</f>
        <v>894.72</v>
      </c>
    </row>
    <row r="17" spans="1:12">
      <c r="B17" t="s">
        <v>104</v>
      </c>
      <c r="C17" s="79">
        <f>IF(H11&gt;5000,100*C13,50*C13)</f>
        <v>4.1199813258636</v>
      </c>
      <c r="D17" s="79">
        <f>IF(H11&gt;5000,100*D13,50*D13)</f>
        <v>7.7264239028946</v>
      </c>
      <c r="E17" s="79">
        <f>IF(H11&gt;5000,100*E13,50*E13)</f>
        <v>20.529878618114</v>
      </c>
      <c r="F17" s="79">
        <f>IF(H11&gt;5000,100*F13,50*F13)</f>
        <v>10.037348272642</v>
      </c>
      <c r="G17" s="79">
        <f>IF(H11&gt;5000,100*G13,50*G13)</f>
        <v>7.5863678804855</v>
      </c>
      <c r="H17" s="87">
        <f>SUM(C17:G17)</f>
        <v>50</v>
      </c>
    </row>
    <row r="18" spans="1:12">
      <c r="B18" t="s">
        <v>105</v>
      </c>
      <c r="C18" s="79">
        <f>C15+C17</f>
        <v>430.8445751634</v>
      </c>
      <c r="D18" s="79">
        <f>D15+D17</f>
        <v>807.98614379086</v>
      </c>
      <c r="E18" s="79">
        <f>E15+E17</f>
        <v>2146.8997385621</v>
      </c>
      <c r="F18" s="79">
        <f>F15+F17</f>
        <v>1049.6496732026</v>
      </c>
      <c r="G18" s="79">
        <f>G15+G17</f>
        <v>793.33986928104</v>
      </c>
      <c r="H18" s="87">
        <f>SUM(C18:G18)</f>
        <v>5228.72</v>
      </c>
    </row>
    <row r="19" spans="1:12">
      <c r="B19" s="78" t="s">
        <v>106</v>
      </c>
      <c r="C19" s="79">
        <f>C16+C17</f>
        <v>77.844575163398</v>
      </c>
      <c r="D19" s="79">
        <f>D16+D17</f>
        <v>145.98614379085</v>
      </c>
      <c r="E19" s="79">
        <f>E16+E17</f>
        <v>387.89973856209</v>
      </c>
      <c r="F19" s="79">
        <f>F16+F17</f>
        <v>189.64967320261</v>
      </c>
      <c r="G19" s="79">
        <f>G16+G17</f>
        <v>143.33986928104</v>
      </c>
      <c r="H19" s="87">
        <f>SUM(C19:G19)</f>
        <v>944.72</v>
      </c>
    </row>
    <row r="23" spans="1:12">
      <c r="B23" s="75" t="s">
        <v>116</v>
      </c>
      <c r="C23"/>
      <c r="D23"/>
      <c r="E23"/>
    </row>
    <row r="26" spans="1:12">
      <c r="B26" t="s">
        <v>117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f>SUM(C26:G26)</f>
        <v>0</v>
      </c>
    </row>
    <row r="27" spans="1:12">
      <c r="C27" s="85">
        <v>0.0</v>
      </c>
      <c r="D27" s="85">
        <v>0.0</v>
      </c>
      <c r="E27" s="85">
        <v>0.0</v>
      </c>
      <c r="F27" s="85">
        <v>0.0</v>
      </c>
      <c r="G27" s="85">
        <v>0.0</v>
      </c>
      <c r="H27" s="84">
        <f>SUM(C27:G27)</f>
        <v>0</v>
      </c>
    </row>
    <row r="28" spans="1:12">
      <c r="B28" t="s">
        <v>110</v>
      </c>
      <c r="C28" s="79">
        <f>MAX(C19,C18)*C27</f>
        <v>0</v>
      </c>
      <c r="D28" s="79">
        <f>MAX(D19,D18)*D27</f>
        <v>0</v>
      </c>
      <c r="E28" s="79">
        <f>MAX(E19,E18)*E27</f>
        <v>0</v>
      </c>
      <c r="F28" s="79">
        <f>MAX(F19,F18)*F27</f>
        <v>0</v>
      </c>
      <c r="G28" s="79">
        <f>MAX(G19,G18)*G27</f>
        <v>0</v>
      </c>
      <c r="H28" s="79">
        <f>SUM(C28:G28)</f>
        <v>0</v>
      </c>
    </row>
    <row r="29" spans="1:12">
      <c r="B29" t="s">
        <v>31</v>
      </c>
      <c r="C29" s="79">
        <f>0.16*(MAX(C19,C18)+C28)</f>
        <v>68.935132026144</v>
      </c>
      <c r="D29" s="79">
        <f>0.16*(MAX(D19,D18)+D28)</f>
        <v>129.27778300654</v>
      </c>
      <c r="E29" s="79">
        <f>0.16*(MAX(E19,E18)+E28)</f>
        <v>343.50395816994</v>
      </c>
      <c r="F29" s="79">
        <f>0.16*(MAX(F19,F18)+F28)</f>
        <v>167.94394771242</v>
      </c>
      <c r="G29" s="79">
        <f>0.16*(MAX(G19,G18)+G28)</f>
        <v>126.93437908497</v>
      </c>
      <c r="H29" s="79">
        <f>SUM(C29:G29)</f>
        <v>836.5952</v>
      </c>
    </row>
    <row r="30" spans="1:12">
      <c r="B30" t="s">
        <v>32</v>
      </c>
      <c r="C30" s="79">
        <f>0.02*(MAX(C19,C18)+C28)</f>
        <v>8.616891503268</v>
      </c>
      <c r="D30" s="79">
        <f>0.02*(MAX(D19,D18)+D28)</f>
        <v>16.159722875817</v>
      </c>
      <c r="E30" s="79">
        <f>0.02*(MAX(E19,E18)+E28)</f>
        <v>42.937994771242</v>
      </c>
      <c r="F30" s="79">
        <f>0.02*(MAX(F19,F18)+F28)</f>
        <v>20.992993464052</v>
      </c>
      <c r="G30" s="79">
        <f>0.02*(MAX(G19,G18)+G28)</f>
        <v>15.866797385621</v>
      </c>
      <c r="H30" s="79">
        <f>SUM(C30:G30)</f>
        <v>104.5744</v>
      </c>
    </row>
    <row r="31" spans="1:12">
      <c r="B31" t="s">
        <v>111</v>
      </c>
      <c r="C31" s="79">
        <f>0.035*(MAX(C18,C19) +C28+C29+C30)</f>
        <v>17.793880954248</v>
      </c>
      <c r="D31" s="79">
        <f>0.035*(MAX(D18,D19) +D28+D29+D30)</f>
        <v>33.369827738563</v>
      </c>
      <c r="E31" s="79">
        <f>0.035*(MAX(E18,E19) +E28+E29+E30)</f>
        <v>88.666959202615</v>
      </c>
      <c r="F31" s="79">
        <f>0.035*(MAX(F18,F19) +F28+F29+F30)</f>
        <v>43.350531503268</v>
      </c>
      <c r="G31" s="79">
        <f>0.035*(MAX(G18,G19) +G28+G29+G30)</f>
        <v>32.764936601307</v>
      </c>
      <c r="H31" s="79">
        <f>SUM(C31:G31)</f>
        <v>215.946136</v>
      </c>
    </row>
    <row r="32" spans="1:12">
      <c r="B32" t="s">
        <v>36</v>
      </c>
      <c r="C32" s="79">
        <f>SUM(C28:C31)</f>
        <v>95.34590448366</v>
      </c>
      <c r="D32" s="79">
        <f>SUM(D28:D31)</f>
        <v>178.80733362092</v>
      </c>
      <c r="E32" s="79">
        <f>SUM(E28:E31)</f>
        <v>475.1089121438</v>
      </c>
      <c r="F32" s="79">
        <f>SUM(F28:F31)</f>
        <v>232.28747267974</v>
      </c>
      <c r="G32" s="79">
        <f>SUM(G28:G31)</f>
        <v>175.5661130719</v>
      </c>
      <c r="H32" s="79">
        <f>SUM(H28:H31)</f>
        <v>1157.115736</v>
      </c>
    </row>
    <row r="37" spans="1:12">
      <c r="B37" s="75" t="s">
        <v>118</v>
      </c>
      <c r="C37"/>
      <c r="D37"/>
      <c r="E37"/>
    </row>
    <row r="40" spans="1:12">
      <c r="B40" t="s">
        <v>112</v>
      </c>
      <c r="C40" s="79">
        <f>C13*H40</f>
        <v>49.149729225023</v>
      </c>
      <c r="D40" s="79">
        <f>D13*H40</f>
        <v>92.173146591971</v>
      </c>
      <c r="E40" s="79">
        <f>E13*H40</f>
        <v>244.91323996265</v>
      </c>
      <c r="F40" s="79">
        <f>F13*H40</f>
        <v>119.74154995331</v>
      </c>
      <c r="G40" s="79">
        <f>G13*H40</f>
        <v>90.50233426704</v>
      </c>
      <c r="H40" s="79">
        <f>IF(H7&lt;1, L7*0.4,L7*0.4*H7)</f>
        <v>596.48</v>
      </c>
    </row>
    <row r="41" spans="1:12">
      <c r="B41"/>
    </row>
    <row r="43" spans="1:12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109</v>
      </c>
    </row>
    <row r="44" spans="1:12">
      <c r="B44" t="s">
        <v>113</v>
      </c>
      <c r="C44" s="79">
        <f>SUM(C15,C40,C32,(C26))</f>
        <v>571.22022754622</v>
      </c>
      <c r="D44" s="79">
        <f>SUM(D15,D40,D32,(D26))</f>
        <v>1071.2402001009</v>
      </c>
      <c r="E44" s="79">
        <f>SUM(E15,E40,E32,(E26))</f>
        <v>2846.3920120504</v>
      </c>
      <c r="F44" s="79">
        <f>SUM(F15,F40,F32,(F26))</f>
        <v>1391.641347563</v>
      </c>
      <c r="G44" s="79">
        <f>SUM(G15,G40,G32,(G26))</f>
        <v>1051.8219487395</v>
      </c>
      <c r="H44" s="79">
        <f>SUM(C44:G44)</f>
        <v>6932.315736</v>
      </c>
    </row>
    <row r="45" spans="1:12">
      <c r="B45" t="s">
        <v>45</v>
      </c>
      <c r="C45">
        <v>200.0</v>
      </c>
      <c r="D45">
        <v>300.0</v>
      </c>
      <c r="E45">
        <v>600.0</v>
      </c>
      <c r="F45">
        <v>200.0</v>
      </c>
      <c r="G45">
        <v>1.0</v>
      </c>
      <c r="H45"/>
    </row>
    <row r="46" spans="1:12">
      <c r="B46" t="s">
        <v>114</v>
      </c>
      <c r="C46" s="79">
        <f>SUM(C44/C45)</f>
        <v>2.8561011377311</v>
      </c>
      <c r="D46" s="79">
        <f>SUM(D44/D45)</f>
        <v>3.5708006670028</v>
      </c>
      <c r="E46" s="79">
        <f>SUM(E44/E45)</f>
        <v>4.7439866867507</v>
      </c>
      <c r="F46" s="79">
        <f>SUM(F44/F45)</f>
        <v>6.9582067378151</v>
      </c>
      <c r="G46" s="79">
        <f>SUM(G44/G45)</f>
        <v>1051.8219487395</v>
      </c>
      <c r="H46"/>
    </row>
    <row r="47" spans="1:12">
      <c r="B47" t="s">
        <v>115</v>
      </c>
      <c r="C47" s="86">
        <f>C46*3.7</f>
        <v>10.567574209605</v>
      </c>
      <c r="D47" s="86">
        <f>D46*3.7</f>
        <v>13.211962467911</v>
      </c>
      <c r="E47" s="86">
        <f>E46*3.7</f>
        <v>17.552750740978</v>
      </c>
      <c r="F47" s="86">
        <f>F46*3.7</f>
        <v>25.745364929916</v>
      </c>
      <c r="G47" s="86">
        <f>G46*3.7</f>
        <v>3891.7412103361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