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<sst xmlns="http://schemas.openxmlformats.org/spreadsheetml/2006/main" uniqueCount="117">
  <si>
    <t>PRO MUNDO COMEX S.A.C.</t>
  </si>
  <si>
    <t xml:space="preserve">         RUC: 20612452432</t>
  </si>
  <si>
    <t>COTIZACION N002</t>
  </si>
  <si>
    <t>NOMBRE:</t>
  </si>
  <si>
    <t>MILUSKA QUISPE CONDORI</t>
  </si>
  <si>
    <t>SERVICIO:</t>
  </si>
  <si>
    <t>CARGA CONSOLIDADA</t>
  </si>
  <si>
    <t>N° CAJAS:</t>
  </si>
  <si>
    <t>APELLIDO:</t>
  </si>
  <si>
    <t>FECHA:</t>
  </si>
  <si>
    <t>PESO:</t>
  </si>
  <si>
    <t>632.6 Kg</t>
  </si>
  <si>
    <t>DNI/RUC:</t>
  </si>
  <si>
    <t>ORIGEN:</t>
  </si>
  <si>
    <t>CHINA</t>
  </si>
  <si>
    <t>MEDIDA:</t>
  </si>
  <si>
    <t>TELEFONO:</t>
  </si>
  <si>
    <t>51 984 481 013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</si>
  <si>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</si>
  <si>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</si>
  <si>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</si>
  <si>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</si>
  <si>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</si>
  <si>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</si>
  <si>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</si>
  <si>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</si>
  <si>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</si>
  <si>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</si>
  <si>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</si>
  <si>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</si>
  <si>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</si>
  <si>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</si>
  <si>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</si>
  <si>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</si>
  <si>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</si>
  <si>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</si>
  <si>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</si>
  <si>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</si>
  <si>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</si>
  <si>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</si>
  <si>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</si>
  <si>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</si>
  <si>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</si>
  <si>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</si>
  <si>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</si>
  <si>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</si>
  <si>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</si>
  <si>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</si>
  <si>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</si>
  <si>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RUEDA INFLABLE</t>
  </si>
  <si>
    <t>BOTE DE REMOS PARA NIÑOS</t>
  </si>
  <si>
    <t>JUEGO INFLABLE CON BARRAS GIRATORIAS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</si>
  <si>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</si>
  <si>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</si>
  <si>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</si>
  <si>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</si>
  <si>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</si>
  <si>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</si>
  <si>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</si>
  <si>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</si>
  <si>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</si>
  <si>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</si>
  <si>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</si>
  <si>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</si>
  <si>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</si>
  <si>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</si>
  <si>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</si>
  <si>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</si>
  <si>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</si>
  <si>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</si>
  <si>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</si>
  <si>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</si>
  <si>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</si>
  <si>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</si>
  <si>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</si>
  <si>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</si>
  <si>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</si>
  <si>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</si>
  <si>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</si>
  <si>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</si>
  <si>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</si>
  <si>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</si>
  <si>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</si>
  <si>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</si>
  <si>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</si>
  <si>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</si>
  <si>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</si>
  <si>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</si>
  <si>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MILUSKA QUISPE CONDORI 😁 un gusto saludarte!
        A continuación te envío la cotización final de tu importación📋📦.
        🙋‍♂️ PAGO PENDIENTE :
        ☑️Costo CBM: $356.4
        ☑️Impuestos: $941.76
        ☑️ Total: $1298.16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</si>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</sst>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  <numFmt numFmtId="174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4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4" customHeight="1" ht="18">
      <c r="B2" s="40"/>
      <c r="C2" s="40"/>
      <c r="E2" s="45"/>
      <c r="F2" s="45"/>
      <c r="G2" s="45"/>
      <c r="H2" s="45"/>
      <c r="I2" s="45"/>
      <c r="J2" s="45"/>
      <c r="K2" s="45"/>
      <c r="L2" s="45"/>
    </row>
    <row r="3" spans="1:14" customHeight="1" ht="25.8">
      <c r="B3" s="40"/>
      <c r="C3" s="40"/>
      <c r="E3" s="56" t="s">
        <v>0</v>
      </c>
      <c r="F3" s="56"/>
      <c r="G3" s="56"/>
      <c r="H3" s="56"/>
      <c r="I3" s="56"/>
      <c r="J3" s="56"/>
    </row>
    <row r="4" spans="1:14" customHeight="1" ht="25.8">
      <c r="B4" s="40"/>
      <c r="C4" s="40"/>
      <c r="E4" s="57" t="s">
        <v>1</v>
      </c>
      <c r="F4" s="57"/>
      <c r="G4" s="57"/>
      <c r="H4" s="57"/>
      <c r="I4" s="57"/>
      <c r="J4" s="57"/>
      <c r="K4" s="11"/>
    </row>
    <row r="5" spans="1:14">
      <c r="B5" s="40"/>
      <c r="C5" s="40"/>
      <c r="D5" s="38"/>
    </row>
    <row r="6" spans="1:14">
      <c r="B6" s="40"/>
      <c r="C6" s="40"/>
      <c r="D6" s="24"/>
      <c r="F6" s="24"/>
      <c r="G6" s="24"/>
      <c r="H6" s="24"/>
    </row>
    <row r="7" spans="1:14">
      <c r="A7" s="40"/>
      <c r="B7" s="40"/>
      <c r="C7" s="40"/>
      <c r="E7" s="42" t="s">
        <v>2</v>
      </c>
      <c r="F7" s="42"/>
      <c r="G7" s="42"/>
      <c r="I7" s="40"/>
      <c r="J7" s="40"/>
      <c r="K7" s="40"/>
      <c r="L7" s="40"/>
    </row>
    <row r="8" spans="1:14">
      <c r="B8" s="6" t="s">
        <v>3</v>
      </c>
      <c r="C8" s="103" t="s">
        <v>4</v>
      </c>
      <c r="D8" s="36"/>
      <c r="E8" s="21" t="s">
        <v>5</v>
      </c>
      <c r="F8" s="47" t="s">
        <v>6</v>
      </c>
      <c r="G8" s="48"/>
      <c r="H8" s="35"/>
      <c r="I8" s="1" t="s">
        <v>7</v>
      </c>
      <c r="J8" s="64">
        <f>+'2'!F7</f>
        <v>5.97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43">
        <f>+TODAY()</f>
        <v>45943</v>
      </c>
      <c r="G9" s="44"/>
      <c r="H9" s="35"/>
      <c r="I9" s="1" t="s">
        <v>10</v>
      </c>
      <c r="J9" s="102" t="s">
        <v>11</v>
      </c>
      <c r="K9" s="41"/>
      <c r="L9" s="41"/>
    </row>
    <row r="10" spans="1:14">
      <c r="B10" s="6" t="s">
        <v>12</v>
      </c>
      <c r="C10" s="15">
        <v>73319649</v>
      </c>
      <c r="D10" s="36"/>
      <c r="E10" s="26" t="s">
        <v>13</v>
      </c>
      <c r="F10" s="45" t="s">
        <v>14</v>
      </c>
      <c r="G10" s="46"/>
      <c r="H10" s="35"/>
      <c r="I10" s="1" t="s">
        <v>15</v>
      </c>
      <c r="J10" s="65"/>
      <c r="K10" s="102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0" t="s">
        <v>19</v>
      </c>
      <c r="G11" s="67"/>
      <c r="H11" s="35"/>
      <c r="I11" s="1" t="s">
        <v>20</v>
      </c>
      <c r="J11" s="101">
        <f>'2'!F7</f>
        <v>5.97</v>
      </c>
      <c r="K11" s="76"/>
      <c r="L11" s="76"/>
    </row>
    <row r="12" spans="1:14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4">
      <c r="B13" s="68" t="s">
        <v>21</v>
      </c>
      <c r="C13" s="68"/>
      <c r="D13" s="68"/>
      <c r="E13" s="68"/>
      <c r="F13" s="68"/>
      <c r="G13" s="68"/>
      <c r="H13" s="68"/>
      <c r="I13" s="68"/>
      <c r="J13" s="68"/>
      <c r="K13" s="8" t="s">
        <v>22</v>
      </c>
      <c r="L13" s="8" t="s">
        <v>23</v>
      </c>
    </row>
    <row r="14" spans="1:14">
      <c r="B14" s="69" t="s">
        <v>24</v>
      </c>
      <c r="C14" s="69"/>
      <c r="D14" s="69"/>
      <c r="E14" s="69"/>
      <c r="F14" s="69"/>
      <c r="G14" s="69"/>
      <c r="H14" s="69"/>
      <c r="I14" s="69"/>
      <c r="J14" s="69"/>
      <c r="K14" s="13">
        <f>'2'!E11</f>
        <v>3448</v>
      </c>
      <c r="L14" s="7" t="s">
        <v>25</v>
      </c>
    </row>
    <row r="15" spans="1:14">
      <c r="B15" s="70" t="s">
        <v>26</v>
      </c>
      <c r="C15" s="70"/>
      <c r="D15" s="70"/>
      <c r="E15" s="70"/>
      <c r="F15" s="70"/>
      <c r="G15" s="70"/>
      <c r="H15" s="70"/>
      <c r="I15" s="70"/>
      <c r="J15" s="70"/>
      <c r="K15" s="14">
        <f>'2'!E14 + '2'!E17</f>
        <v>807.58141575274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4255.5814157527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71" t="s">
        <v>28</v>
      </c>
      <c r="C19" s="71"/>
      <c r="D19" s="71"/>
      <c r="E19" s="71"/>
      <c r="F19" s="71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51" t="s">
        <v>30</v>
      </c>
      <c r="C20" s="51"/>
      <c r="D20" s="51"/>
      <c r="E20" s="51"/>
      <c r="F20" s="51"/>
      <c r="G20" s="51"/>
      <c r="H20" s="51"/>
      <c r="I20" s="51"/>
      <c r="J20" s="19">
        <f>MAX('2'!C27:D27)</f>
        <v>0</v>
      </c>
      <c r="K20" s="13">
        <f>'2'!E28</f>
        <v>0</v>
      </c>
      <c r="L20" s="7" t="s">
        <v>25</v>
      </c>
      <c r="N20" t="s">
        <v>88</v>
      </c>
    </row>
    <row r="21" spans="1:14">
      <c r="B21" s="51" t="s">
        <v>31</v>
      </c>
      <c r="C21" s="51"/>
      <c r="D21" s="51"/>
      <c r="E21" s="51"/>
      <c r="F21" s="51"/>
      <c r="G21" s="51"/>
      <c r="H21" s="51"/>
      <c r="I21" s="51"/>
      <c r="J21" s="19">
        <v>0.16</v>
      </c>
      <c r="K21" s="13">
        <f>'2'!E29</f>
        <v>680.89302652044</v>
      </c>
      <c r="L21" s="7" t="s">
        <v>25</v>
      </c>
    </row>
    <row r="22" spans="1:14">
      <c r="B22" s="50" t="s">
        <v>32</v>
      </c>
      <c r="C22" s="50"/>
      <c r="D22" s="50"/>
      <c r="E22" s="50"/>
      <c r="F22" s="50"/>
      <c r="G22" s="50"/>
      <c r="H22" s="50"/>
      <c r="I22" s="50"/>
      <c r="J22" s="19">
        <v>0.02</v>
      </c>
      <c r="K22" s="13">
        <f>'2'!E30</f>
        <v>85.111628315055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766.00465483549</v>
      </c>
      <c r="L23" s="29" t="s">
        <v>25</v>
      </c>
    </row>
    <row r="24" spans="1:14">
      <c r="B24" s="51"/>
      <c r="C24" s="51"/>
      <c r="D24" s="51"/>
      <c r="E24" s="51"/>
      <c r="F24" s="51"/>
      <c r="G24" s="51"/>
      <c r="H24" s="51"/>
      <c r="I24" s="51"/>
      <c r="J24" s="2"/>
      <c r="K24" s="9"/>
      <c r="L24" s="7"/>
    </row>
    <row r="25" spans="1:14">
      <c r="B25" s="50" t="s">
        <v>34</v>
      </c>
      <c r="C25" s="50"/>
      <c r="D25" s="50"/>
      <c r="E25" s="50"/>
      <c r="F25" s="50"/>
      <c r="G25" s="50"/>
      <c r="H25" s="50"/>
      <c r="I25" s="50"/>
      <c r="J25" s="20" t="s">
        <v>35</v>
      </c>
      <c r="K25" s="14">
        <f>'2'!E31</f>
        <v>175.75551247059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941.76016730608</v>
      </c>
      <c r="L26" s="7" t="s">
        <v>25</v>
      </c>
    </row>
    <row r="27" spans="1:14">
      <c r="B27" s="45"/>
      <c r="C27" s="45"/>
      <c r="D27" s="45"/>
      <c r="E27" s="45"/>
      <c r="F27" s="45"/>
      <c r="G27" s="45"/>
      <c r="H27" s="45"/>
      <c r="I27" s="45"/>
    </row>
    <row r="28" spans="1:14" customHeight="1" ht="15.6">
      <c r="B28" s="54" t="s">
        <v>37</v>
      </c>
      <c r="C28" s="54"/>
      <c r="D28" s="54"/>
      <c r="E28" s="54"/>
      <c r="F28" s="54"/>
      <c r="G28" s="54"/>
      <c r="H28" s="54"/>
      <c r="I28" s="54"/>
      <c r="J28" s="54"/>
      <c r="K28" s="27" t="s">
        <v>22</v>
      </c>
      <c r="L28" s="27" t="s">
        <v>23</v>
      </c>
    </row>
    <row r="29" spans="1:14">
      <c r="B29" s="51" t="s">
        <v>38</v>
      </c>
      <c r="C29" s="51"/>
      <c r="D29" s="51"/>
      <c r="E29" s="51"/>
      <c r="F29" s="51"/>
      <c r="G29" s="51"/>
      <c r="H29" s="51"/>
      <c r="I29" s="51"/>
      <c r="J29" s="51"/>
      <c r="K29" s="13">
        <f>K14</f>
        <v>3448</v>
      </c>
      <c r="L29" s="7" t="s">
        <v>25</v>
      </c>
    </row>
    <row r="30" spans="1:14">
      <c r="B30" s="51" t="s">
        <v>39</v>
      </c>
      <c r="C30" s="51"/>
      <c r="D30" s="51"/>
      <c r="E30" s="51"/>
      <c r="F30" s="51"/>
      <c r="G30" s="51"/>
      <c r="H30" s="51"/>
      <c r="I30" s="51"/>
      <c r="J30" s="51"/>
      <c r="K30" s="13">
        <f>IF(J11&lt;1, '2'!J7, '2'!J7*J11)</f>
        <v>1791</v>
      </c>
      <c r="L30" s="7" t="s">
        <v>25</v>
      </c>
    </row>
    <row r="31" spans="1:14">
      <c r="B31" s="50" t="s">
        <v>40</v>
      </c>
      <c r="C31" s="50"/>
      <c r="D31" s="50"/>
      <c r="E31" s="50"/>
      <c r="F31" s="50"/>
      <c r="G31" s="50"/>
      <c r="H31" s="50"/>
      <c r="I31" s="50"/>
      <c r="J31" s="50"/>
      <c r="K31" s="14">
        <f>K26</f>
        <v>941.76016730608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6180.7601673061</v>
      </c>
      <c r="L32" s="7" t="s">
        <v>25</v>
      </c>
    </row>
    <row r="33" spans="1:14"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58" t="s">
        <v>44</v>
      </c>
      <c r="D35" s="59"/>
      <c r="E35" s="60"/>
      <c r="F35" s="4" t="s">
        <v>45</v>
      </c>
      <c r="G35" s="58" t="s">
        <v>46</v>
      </c>
      <c r="H35" s="60"/>
      <c r="I35" s="3" t="s">
        <v>47</v>
      </c>
      <c r="J35" s="25" t="s">
        <v>36</v>
      </c>
      <c r="K35" s="49" t="s">
        <v>48</v>
      </c>
      <c r="L35" s="49"/>
    </row>
    <row r="36" spans="1:14">
      <c r="A36" s="1"/>
      <c r="B36" s="90">
        <v>1</v>
      </c>
      <c r="C36" s="91" t="s">
        <v>49</v>
      </c>
      <c r="D36" s="92"/>
      <c r="E36" s="93"/>
      <c r="F36" s="90">
        <f>'2'!C10</f>
        <v>3</v>
      </c>
      <c r="G36" s="94">
        <f>'2'!C8</f>
        <v>407.33333333333</v>
      </c>
      <c r="H36" s="95"/>
      <c r="I36" s="94">
        <f>'2'!C46</f>
        <v>664.05961200132</v>
      </c>
      <c r="J36" s="94">
        <f>'2'!C44</f>
        <v>1992.178836004</v>
      </c>
      <c r="K36" s="96">
        <f>'2'!C47</f>
        <v>2457.0205644049</v>
      </c>
      <c r="L36" s="49"/>
    </row>
    <row r="37" spans="1:14">
      <c r="A37" s="1"/>
      <c r="B37" s="90">
        <v>2</v>
      </c>
      <c r="C37" s="91" t="s">
        <v>50</v>
      </c>
      <c r="D37" s="92"/>
      <c r="E37" s="93"/>
      <c r="F37" s="90">
        <f>'2'!D10</f>
        <v>3</v>
      </c>
      <c r="G37" s="94">
        <f>'2'!D8</f>
        <v>115</v>
      </c>
      <c r="H37" s="95"/>
      <c r="I37" s="94">
        <f>'2'!D46</f>
        <v>187.48000502493</v>
      </c>
      <c r="J37" s="94">
        <f>'2'!D44</f>
        <v>562.44001507478</v>
      </c>
      <c r="K37" s="96">
        <f>'2'!D47</f>
        <v>693.67601859222</v>
      </c>
      <c r="L37" s="49"/>
    </row>
    <row r="38" spans="1:14">
      <c r="A38" s="1"/>
      <c r="B38" s="90">
        <v>3</v>
      </c>
      <c r="C38" s="91" t="s">
        <v>51</v>
      </c>
      <c r="D38" s="92"/>
      <c r="E38" s="93"/>
      <c r="F38" s="90">
        <f>'2'!E10</f>
        <v>1</v>
      </c>
      <c r="G38" s="94">
        <f>'2'!E8</f>
        <v>3448</v>
      </c>
      <c r="H38" s="95"/>
      <c r="I38" s="94">
        <f>'2'!E46</f>
        <v>5621.1396289212</v>
      </c>
      <c r="J38" s="94">
        <f>'2'!E44</f>
        <v>5621.1396289212</v>
      </c>
      <c r="K38" s="97">
        <f>'2'!E47</f>
        <v>20798.216627009</v>
      </c>
      <c r="L38" s="75"/>
    </row>
    <row r="39" spans="1:14" customHeight="1" ht="15.6">
      <c r="A39"/>
      <c r="B39" s="12" t="s">
        <v>36</v>
      </c>
      <c r="C39" s="2"/>
      <c r="D39" s="2"/>
      <c r="E39" s="2"/>
      <c r="F39" s="12">
        <f>SUM(F36:F38)</f>
        <v>7</v>
      </c>
      <c r="G39" s="2"/>
      <c r="H39" s="2"/>
      <c r="I39"/>
      <c r="J39" s="98">
        <f>SUM(J36:J38)</f>
        <v>8175.75848</v>
      </c>
      <c r="K39" s="31"/>
      <c r="L39" s="100"/>
    </row>
    <row r="40" spans="1:14" customHeight="1" ht="15.6">
      <c r="B40" s="12"/>
      <c r="C40" s="2"/>
      <c r="D40" s="2"/>
      <c r="E40" s="2"/>
      <c r="F40" s="12"/>
      <c r="G40" s="2"/>
      <c r="H40" s="2"/>
      <c r="I40"/>
      <c r="J40" s="99"/>
      <c r="K40" s="31"/>
      <c r="L40" s="100"/>
    </row>
    <row r="41" spans="1:14">
      <c r="B41" s="5"/>
      <c r="C41" s="5"/>
      <c r="D41" s="5"/>
      <c r="E41" s="5"/>
      <c r="F41" s="5"/>
      <c r="G41" s="5"/>
      <c r="H41" s="5"/>
      <c r="I41" s="5"/>
      <c r="J41" s="5"/>
      <c r="K41" s="32"/>
      <c r="L41" s="33"/>
    </row>
    <row r="42" spans="1:14" customHeight="1" ht="18">
      <c r="B42" s="28" t="s">
        <v>52</v>
      </c>
      <c r="C42" s="5"/>
      <c r="D42" s="5"/>
      <c r="E42" s="5"/>
      <c r="F42" s="5"/>
      <c r="G42" s="5"/>
      <c r="H42" s="5"/>
      <c r="I42" s="5"/>
      <c r="J42" s="5"/>
      <c r="K42" s="5"/>
    </row>
    <row r="43" spans="1:14" customHeight="1" ht="18">
      <c r="B43" s="66" t="s">
        <v>53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</row>
    <row r="44" spans="1:14" customHeight="1" ht="18">
      <c r="B44" s="66" t="s">
        <v>54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</row>
    <row r="45" spans="1:14" customHeight="1" ht="18">
      <c r="B45" s="66" t="s">
        <v>55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</row>
    <row r="46" spans="1:14" customHeight="1" ht="18">
      <c r="B46" s="66" t="s">
        <v>56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</row>
    <row r="47" spans="1:14" customHeight="1" ht="18">
      <c r="B47" s="66" t="s">
        <v>57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40"/>
      <c r="C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4" customHeight="1" ht="31.8">
      <c r="B50" s="40"/>
      <c r="C50" s="40"/>
      <c r="D50" s="39" t="s">
        <v>0</v>
      </c>
      <c r="E50" s="39"/>
      <c r="F50" s="39"/>
      <c r="G50" s="39"/>
      <c r="H50" s="39"/>
      <c r="I50" s="39"/>
      <c r="J50" s="39"/>
      <c r="K50" s="39"/>
      <c r="L50" s="39"/>
      <c r="M50" s="39"/>
    </row>
    <row r="51" spans="1:14" customHeight="1" ht="21">
      <c r="B51" s="40"/>
      <c r="C51" s="40"/>
      <c r="D51" s="55" t="s">
        <v>58</v>
      </c>
      <c r="E51" s="55"/>
      <c r="F51" s="55"/>
      <c r="G51" s="55"/>
      <c r="H51" s="55"/>
      <c r="I51" s="55"/>
    </row>
    <row r="52" spans="1:14">
      <c r="B52" s="40"/>
      <c r="C52" s="40"/>
    </row>
    <row r="53" spans="1:14">
      <c r="B53" s="40"/>
      <c r="C53" s="40"/>
    </row>
    <row r="54" spans="1:14" customHeight="1" ht="21">
      <c r="B54" s="72" t="s">
        <v>59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</row>
    <row r="56" spans="1:14">
      <c r="B56" s="73" t="s">
        <v>60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</row>
    <row r="57" spans="1:14">
      <c r="B57" s="73" t="s">
        <v>61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</row>
    <row r="58" spans="1:14">
      <c r="B58" s="51" t="s">
        <v>62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</row>
    <row r="59" spans="1:14">
      <c r="B59" s="73" t="s">
        <v>63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</row>
    <row r="60" spans="1:14">
      <c r="B60" s="73" t="s">
        <v>64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</row>
    <row r="61" spans="1:14">
      <c r="B61" s="51" t="s">
        <v>65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</row>
    <row r="62" spans="1:14">
      <c r="B62" s="73" t="s">
        <v>66</v>
      </c>
      <c r="C62" s="73"/>
      <c r="D62" s="73"/>
      <c r="E62" s="73"/>
      <c r="F62" s="73"/>
      <c r="G62" s="73"/>
      <c r="H62" s="73"/>
      <c r="I62" s="73"/>
      <c r="J62" s="73"/>
      <c r="K62" s="73"/>
      <c r="L62" s="73"/>
    </row>
    <row r="63" spans="1:14">
      <c r="B63" s="73" t="s">
        <v>67</v>
      </c>
      <c r="C63" s="73"/>
      <c r="D63" s="73"/>
      <c r="E63" s="73"/>
      <c r="F63" s="73"/>
      <c r="G63" s="73"/>
      <c r="H63" s="73"/>
      <c r="I63" s="73"/>
      <c r="J63" s="73"/>
      <c r="K63" s="73"/>
      <c r="L63" s="73"/>
    </row>
    <row r="64" spans="1:14">
      <c r="B64" s="73" t="s">
        <v>68</v>
      </c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 spans="1:14">
      <c r="B65" s="73" t="s">
        <v>69</v>
      </c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 spans="1:14">
      <c r="B66" s="73" t="s">
        <v>70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</row>
    <row r="67" spans="1:14">
      <c r="B67" s="73" t="s">
        <v>71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</row>
    <row r="68" spans="1:14">
      <c r="B68" s="73" t="s">
        <v>72</v>
      </c>
      <c r="C68" s="73"/>
      <c r="D68" s="73"/>
      <c r="E68" s="73"/>
      <c r="F68" s="73"/>
      <c r="G68" s="73"/>
      <c r="H68" s="73"/>
      <c r="I68" s="73"/>
      <c r="J68" s="73"/>
      <c r="K68" s="73"/>
      <c r="L68" s="73"/>
    </row>
    <row r="69" spans="1:14">
      <c r="B69" s="73" t="s">
        <v>73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 spans="1:14">
      <c r="B70" s="73" t="s">
        <v>74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 spans="1:14">
      <c r="B71" s="73" t="s">
        <v>75</v>
      </c>
      <c r="C71" s="73"/>
      <c r="D71" s="73"/>
      <c r="E71" s="73"/>
      <c r="F71" s="73"/>
      <c r="G71" s="73"/>
      <c r="H71" s="73"/>
      <c r="I71" s="73"/>
      <c r="J71" s="73"/>
      <c r="K71" s="73"/>
      <c r="L71" s="73"/>
    </row>
    <row r="72" spans="1:14">
      <c r="B72" s="73" t="s">
        <v>76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</row>
    <row r="73" spans="1:14">
      <c r="B73" s="69" t="s">
        <v>77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</row>
    <row r="74" spans="1:14">
      <c r="B74" s="73" t="s">
        <v>78</v>
      </c>
      <c r="C74" s="73"/>
      <c r="D74" s="73"/>
      <c r="E74" s="73"/>
      <c r="F74" s="73"/>
      <c r="G74" s="73"/>
      <c r="H74" s="73"/>
      <c r="I74" s="73"/>
      <c r="J74" s="73"/>
      <c r="K74" s="73"/>
      <c r="L74" s="73"/>
    </row>
    <row r="75" spans="1:14">
      <c r="B75" s="69" t="s">
        <v>79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</row>
    <row r="76" spans="1:14">
      <c r="B76" s="73" t="s">
        <v>80</v>
      </c>
      <c r="C76" s="73"/>
      <c r="D76" s="73"/>
      <c r="E76" s="73"/>
      <c r="F76" s="73"/>
      <c r="G76" s="73"/>
      <c r="H76" s="73"/>
      <c r="I76" s="73"/>
      <c r="J76" s="73"/>
      <c r="K76" s="73"/>
      <c r="L76" s="73"/>
    </row>
    <row r="77" spans="1:14">
      <c r="B77" s="73" t="s">
        <v>81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</row>
    <row r="78" spans="1:14">
      <c r="B78" s="73" t="s">
        <v>82</v>
      </c>
      <c r="C78" s="73"/>
      <c r="D78" s="73"/>
      <c r="E78" s="73"/>
      <c r="F78" s="73"/>
      <c r="G78" s="73"/>
      <c r="H78" s="73"/>
      <c r="I78" s="73"/>
      <c r="J78" s="73"/>
      <c r="K78" s="73"/>
      <c r="L78" s="73"/>
    </row>
    <row r="79" spans="1:14">
      <c r="B79" s="73" t="s">
        <v>83</v>
      </c>
      <c r="C79" s="73"/>
      <c r="D79" s="73"/>
      <c r="E79" s="73"/>
      <c r="F79" s="73"/>
      <c r="G79" s="73"/>
      <c r="H79" s="73"/>
      <c r="I79" s="73"/>
      <c r="J79" s="73"/>
      <c r="K79" s="73"/>
      <c r="L79" s="73"/>
    </row>
    <row r="80" spans="1:14">
      <c r="B80" s="73" t="s">
        <v>84</v>
      </c>
      <c r="C80" s="73"/>
      <c r="D80" s="73"/>
      <c r="E80" s="73"/>
      <c r="F80" s="73"/>
      <c r="G80" s="73"/>
      <c r="H80" s="73"/>
      <c r="I80" s="73"/>
      <c r="J80" s="73"/>
      <c r="K80" s="73"/>
      <c r="L80" s="73"/>
    </row>
    <row r="81" spans="1:14">
      <c r="A81" s="34"/>
      <c r="B81" s="74" t="s">
        <v>85</v>
      </c>
      <c r="C81" s="74"/>
      <c r="D81" s="74"/>
      <c r="E81" s="74"/>
      <c r="F81" s="74"/>
      <c r="G81" s="74"/>
      <c r="H81" s="74"/>
      <c r="I81" s="74"/>
      <c r="J81" s="74"/>
      <c r="K81" s="74"/>
      <c r="L81" s="74"/>
    </row>
    <row r="82" spans="1:14">
      <c r="A82" s="34"/>
      <c r="B82" s="73" t="s">
        <v>86</v>
      </c>
      <c r="C82" s="73"/>
      <c r="D82" s="73"/>
      <c r="E82" s="73"/>
      <c r="F82" s="73"/>
      <c r="G82" s="73"/>
      <c r="H82" s="73"/>
      <c r="I82" s="73"/>
      <c r="J82" s="73"/>
      <c r="K82" s="73"/>
      <c r="L82" s="73"/>
    </row>
    <row r="83" spans="1:14">
      <c r="A83" s="34"/>
      <c r="B83" s="74" t="s">
        <v>87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</row>
    <row r="85" spans="1:14">
      <c r="C85" s="40"/>
      <c r="D85" s="40"/>
      <c r="E85" s="40"/>
      <c r="F85" s="40"/>
      <c r="G85" s="40"/>
      <c r="H85" s="40"/>
      <c r="I85" s="40"/>
    </row>
    <row r="86" spans="1:14">
      <c r="C86" s="40"/>
      <c r="D86" s="40"/>
      <c r="E86" s="40"/>
      <c r="F86" s="40"/>
      <c r="G86" s="40"/>
      <c r="H86" s="40"/>
      <c r="I86" s="40"/>
    </row>
    <row r="87" spans="1:14">
      <c r="C87" s="40"/>
      <c r="D87" s="40"/>
      <c r="E87" s="40"/>
      <c r="F87" s="40"/>
      <c r="G87" s="40"/>
      <c r="H87" s="40"/>
      <c r="I87" s="40"/>
    </row>
    <row r="88" spans="1:14">
      <c r="C88" s="40"/>
      <c r="D88" s="40"/>
      <c r="E88" s="40"/>
      <c r="F88" s="40"/>
      <c r="G88" s="40"/>
      <c r="H88" s="40"/>
      <c r="I88" s="40"/>
    </row>
    <row r="89" spans="1:14">
      <c r="C89" s="40"/>
      <c r="D89" s="40"/>
      <c r="E89" s="40"/>
      <c r="F89" s="40"/>
      <c r="G89" s="40"/>
      <c r="H89" s="40"/>
      <c r="I89" s="40"/>
    </row>
    <row r="90" spans="1:14">
      <c r="C90" s="40"/>
      <c r="D90" s="40"/>
      <c r="E90" s="40"/>
      <c r="F90" s="40"/>
      <c r="G90" s="40"/>
      <c r="H90" s="40"/>
      <c r="I90" s="40"/>
    </row>
    <row r="91" spans="1:14">
      <c r="C91" s="40"/>
      <c r="D91" s="40"/>
      <c r="E91" s="40"/>
      <c r="F91" s="40"/>
      <c r="G91" s="40"/>
      <c r="H91" s="40"/>
      <c r="I91" s="40"/>
    </row>
    <row r="92" spans="1:14" customHeight="1" ht="15.6">
      <c r="C92" s="40"/>
      <c r="D92" s="40"/>
      <c r="E92" s="40"/>
      <c r="F92" s="40"/>
      <c r="G92" s="40"/>
      <c r="H92" s="40"/>
      <c r="I92" s="40"/>
    </row>
    <row r="93" spans="1:14" customHeight="1" ht="15.6">
      <c r="C93" s="40"/>
      <c r="D93" s="40"/>
      <c r="E93" s="40"/>
      <c r="F93" s="40"/>
      <c r="G93" s="40"/>
      <c r="H93" s="40"/>
      <c r="I93" s="40"/>
    </row>
    <row r="94" spans="1:14">
      <c r="C94" s="40"/>
      <c r="D94" s="40"/>
      <c r="E94" s="40"/>
      <c r="F94" s="40"/>
      <c r="G94" s="40"/>
      <c r="H94" s="40"/>
      <c r="I94" s="40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9:E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0" workbookViewId="0" showGridLines="true" showRowColHeaders="1">
      <selection activeCell="F44" sqref="F44"/>
    </sheetView>
  </sheetViews>
  <sheetFormatPr defaultRowHeight="14.4" outlineLevelRow="0" outlineLevelCol="0"/>
  <cols>
    <col min="2" max="2" width="24.708" bestFit="true" customWidth="true" style="0"/>
    <col min="3" max="3" width="17.567" bestFit="true" customWidth="true" style="0"/>
    <col min="4" max="4" width="29.421" bestFit="true" customWidth="true" style="0"/>
    <col min="5" max="5" width="43.561" bestFit="true" customWidth="true" style="0"/>
    <col min="6" max="6" width="11.711" bestFit="true" customWidth="true" style="0"/>
  </cols>
  <sheetData>
    <row r="3" spans="1:10">
      <c r="B3" s="77" t="s">
        <v>89</v>
      </c>
      <c r="C3"/>
      <c r="D3"/>
      <c r="E3"/>
      <c r="F3"/>
      <c r="G3"/>
    </row>
    <row r="5" spans="1:10">
      <c r="B5" s="79" t="s">
        <v>90</v>
      </c>
      <c r="C5" s="78" t="s">
        <v>49</v>
      </c>
      <c r="D5" s="78" t="s">
        <v>50</v>
      </c>
      <c r="E5" s="78" t="s">
        <v>51</v>
      </c>
      <c r="F5" s="78" t="s">
        <v>107</v>
      </c>
    </row>
    <row r="6" spans="1:10">
      <c r="B6" t="s">
        <v>91</v>
      </c>
      <c r="C6">
        <v>0</v>
      </c>
      <c r="D6">
        <v>0</v>
      </c>
      <c r="E6">
        <v>0</v>
      </c>
      <c r="F6" s="84">
        <v>632.6</v>
      </c>
      <c r="I6" s="82" t="s">
        <v>105</v>
      </c>
      <c r="J6" s="82" t="s">
        <v>106</v>
      </c>
    </row>
    <row r="7" spans="1:10">
      <c r="B7" t="s">
        <v>92</v>
      </c>
      <c r="C7">
        <v>0</v>
      </c>
      <c r="D7">
        <v>0</v>
      </c>
      <c r="E7">
        <v>0</v>
      </c>
      <c r="F7" s="85">
        <v>5.97</v>
      </c>
      <c r="I7" s="83" t="s">
        <v>19</v>
      </c>
      <c r="J7" s="83">
        <v>300</v>
      </c>
    </row>
    <row r="8" spans="1:10">
      <c r="B8" t="s">
        <v>93</v>
      </c>
      <c r="C8" s="81">
        <v>407.33333333333</v>
      </c>
      <c r="D8" s="81">
        <v>115.0</v>
      </c>
      <c r="E8" s="81">
        <v>3448.0</v>
      </c>
      <c r="F8"/>
    </row>
    <row r="9" spans="1:10">
      <c r="B9" s="80" t="s">
        <v>94</v>
      </c>
      <c r="C9" s="81">
        <v>0.0</v>
      </c>
      <c r="D9" s="81">
        <v>0.0</v>
      </c>
      <c r="E9" s="81">
        <v>0.0</v>
      </c>
      <c r="F9"/>
    </row>
    <row r="10" spans="1:10">
      <c r="B10" t="s">
        <v>95</v>
      </c>
      <c r="C10">
        <v>3.0</v>
      </c>
      <c r="D10">
        <v>3.0</v>
      </c>
      <c r="E10">
        <v>1.0</v>
      </c>
      <c r="F10">
        <f>SUM(C10:E10)</f>
        <v>7</v>
      </c>
    </row>
    <row r="11" spans="1:10">
      <c r="B11" t="s">
        <v>96</v>
      </c>
      <c r="C11" s="81">
        <f>C8*C10</f>
        <v>1222</v>
      </c>
      <c r="D11" s="81">
        <f>D8*D10</f>
        <v>345</v>
      </c>
      <c r="E11" s="81">
        <f>E8*E10</f>
        <v>3448</v>
      </c>
      <c r="F11" s="89">
        <f>SUM(C11:E11)</f>
        <v>5015</v>
      </c>
    </row>
    <row r="12" spans="1:10">
      <c r="B12" s="80" t="s">
        <v>97</v>
      </c>
      <c r="C12" s="81">
        <f>C10*C9</f>
        <v>0</v>
      </c>
      <c r="D12" s="81">
        <f>D10*D9</f>
        <v>0</v>
      </c>
      <c r="E12" s="81">
        <f>E10*E9</f>
        <v>0</v>
      </c>
      <c r="F12" s="89">
        <f>SUM(C12:E12)</f>
        <v>0</v>
      </c>
    </row>
    <row r="13" spans="1:10">
      <c r="B13" t="s">
        <v>98</v>
      </c>
      <c r="C13" s="86">
        <f>C11/F11</f>
        <v>0.24366899302094</v>
      </c>
      <c r="D13" s="86">
        <f>D11/F11</f>
        <v>0.068793619142572</v>
      </c>
      <c r="E13" s="86">
        <f>E11/F11</f>
        <v>0.68753738783649</v>
      </c>
      <c r="F13"/>
    </row>
    <row r="14" spans="1:10">
      <c r="B14" t="s">
        <v>99</v>
      </c>
      <c r="C14" s="81">
        <f>F14*C13</f>
        <v>261.8466999003</v>
      </c>
      <c r="D14" s="81">
        <f>F14*D13</f>
        <v>73.925623130608</v>
      </c>
      <c r="E14" s="81">
        <f>F14*E13</f>
        <v>738.82767696909</v>
      </c>
      <c r="F14" s="89">
        <f>IF(F7&lt;1, J7*0.6, J7*0.6*F7)</f>
        <v>1074.6</v>
      </c>
    </row>
    <row r="15" spans="1:10">
      <c r="B15" t="s">
        <v>100</v>
      </c>
      <c r="C15" s="81">
        <f>C11+C14</f>
        <v>1483.8466999003</v>
      </c>
      <c r="D15" s="81">
        <f>D11+D14</f>
        <v>418.92562313061</v>
      </c>
      <c r="E15" s="81">
        <f>E11+E14</f>
        <v>4186.8276769691</v>
      </c>
      <c r="F15" s="89">
        <f>SUM(C15:E15)</f>
        <v>6089.6</v>
      </c>
    </row>
    <row r="16" spans="1:10">
      <c r="B16" s="80" t="s">
        <v>101</v>
      </c>
      <c r="C16" s="81">
        <f>C12+C14</f>
        <v>261.8466999003</v>
      </c>
      <c r="D16" s="81">
        <f>D12+D14</f>
        <v>73.925623130608</v>
      </c>
      <c r="E16" s="81">
        <f>E12+E14</f>
        <v>738.82767696909</v>
      </c>
      <c r="F16" s="89">
        <f>SUM(C16:E16)</f>
        <v>1074.6</v>
      </c>
    </row>
    <row r="17" spans="1:10">
      <c r="B17" t="s">
        <v>102</v>
      </c>
      <c r="C17" s="81">
        <f>IF(F11&gt;5000,100*C13,50*C13)</f>
        <v>24.366899302094</v>
      </c>
      <c r="D17" s="81">
        <f>IF(F11&gt;5000,100*D13,50*D13)</f>
        <v>6.8793619142572</v>
      </c>
      <c r="E17" s="81">
        <f>IF(F11&gt;5000,100*E13,50*E13)</f>
        <v>68.753738783649</v>
      </c>
      <c r="F17" s="89">
        <f>SUM(C17:E17)</f>
        <v>100</v>
      </c>
    </row>
    <row r="18" spans="1:10">
      <c r="B18" t="s">
        <v>103</v>
      </c>
      <c r="C18" s="81">
        <f>C15+C17</f>
        <v>1508.2135992024</v>
      </c>
      <c r="D18" s="81">
        <f>D15+D17</f>
        <v>425.80498504487</v>
      </c>
      <c r="E18" s="81">
        <f>E15+E17</f>
        <v>4255.5814157527</v>
      </c>
      <c r="F18" s="89">
        <f>SUM(C18:E18)</f>
        <v>6189.6</v>
      </c>
    </row>
    <row r="19" spans="1:10">
      <c r="B19" s="80" t="s">
        <v>104</v>
      </c>
      <c r="C19" s="81">
        <f>C16+C17</f>
        <v>286.21359920239</v>
      </c>
      <c r="D19" s="81">
        <f>D16+D17</f>
        <v>80.804985044866</v>
      </c>
      <c r="E19" s="81">
        <f>E16+E17</f>
        <v>807.58141575274</v>
      </c>
      <c r="F19" s="89">
        <f>SUM(C19:E19)</f>
        <v>1174.6</v>
      </c>
    </row>
    <row r="23" spans="1:10">
      <c r="B23" s="77" t="s">
        <v>114</v>
      </c>
      <c r="C23"/>
      <c r="D23"/>
      <c r="E23"/>
    </row>
    <row r="26" spans="1:10">
      <c r="B26" t="s">
        <v>115</v>
      </c>
      <c r="C26" s="81">
        <v>0</v>
      </c>
      <c r="D26" s="81">
        <v>0</v>
      </c>
      <c r="E26" s="81">
        <v>0</v>
      </c>
      <c r="F26" s="81">
        <f>SUM(C26:E26)</f>
        <v>0</v>
      </c>
    </row>
    <row r="27" spans="1:10">
      <c r="C27" s="87">
        <v>0</v>
      </c>
      <c r="D27" s="87">
        <v>0</v>
      </c>
      <c r="E27" s="87">
        <v>0</v>
      </c>
      <c r="F27" s="86">
        <f>SUM(C27:E27)</f>
        <v>0</v>
      </c>
    </row>
    <row r="28" spans="1:10">
      <c r="B28" t="s">
        <v>108</v>
      </c>
      <c r="C28" s="81">
        <f>MAX(C19,C18)*C27</f>
        <v>0</v>
      </c>
      <c r="D28" s="81">
        <f>MAX(D19,D18)*D27</f>
        <v>0</v>
      </c>
      <c r="E28" s="81">
        <f>MAX(E19,E18)*E27</f>
        <v>0</v>
      </c>
      <c r="F28" s="81">
        <f>SUM(C28:E28)</f>
        <v>0</v>
      </c>
    </row>
    <row r="29" spans="1:10">
      <c r="B29" t="s">
        <v>31</v>
      </c>
      <c r="C29" s="81">
        <f>0.16*(MAX(C19,C18)+C28)</f>
        <v>241.31417587238</v>
      </c>
      <c r="D29" s="81">
        <f>0.16*(MAX(D19,D18)+D28)</f>
        <v>68.128797607178</v>
      </c>
      <c r="E29" s="81">
        <f>0.16*(MAX(E19,E18)+E28)</f>
        <v>680.89302652044</v>
      </c>
      <c r="F29" s="81">
        <f>SUM(C29:E29)</f>
        <v>990.336</v>
      </c>
    </row>
    <row r="30" spans="1:10">
      <c r="B30" t="s">
        <v>32</v>
      </c>
      <c r="C30" s="81">
        <f>0.02*(MAX(C19,C18)+C28)</f>
        <v>30.164271984048</v>
      </c>
      <c r="D30" s="81">
        <f>0.02*(MAX(D19,D18)+D28)</f>
        <v>8.5160997008973</v>
      </c>
      <c r="E30" s="81">
        <f>0.02*(MAX(E19,E18)+E28)</f>
        <v>85.111628315055</v>
      </c>
      <c r="F30" s="81">
        <f>SUM(C30:E30)</f>
        <v>123.792</v>
      </c>
    </row>
    <row r="31" spans="1:10">
      <c r="B31" t="s">
        <v>109</v>
      </c>
      <c r="C31" s="81">
        <f>0.035*(MAX(C18,C19) +C28+C29+C30)</f>
        <v>62.289221647058</v>
      </c>
      <c r="D31" s="81">
        <f>0.035*(MAX(D18,D19) +D28+D29+D30)</f>
        <v>17.585745882353</v>
      </c>
      <c r="E31" s="81">
        <f>0.035*(MAX(E18,E19) +E28+E29+E30)</f>
        <v>175.75551247059</v>
      </c>
      <c r="F31" s="81">
        <f>SUM(C31:E31)</f>
        <v>255.63048</v>
      </c>
    </row>
    <row r="32" spans="1:10">
      <c r="B32" t="s">
        <v>36</v>
      </c>
      <c r="C32" s="81">
        <f>SUM(C28:C31)</f>
        <v>333.76766950349</v>
      </c>
      <c r="D32" s="81">
        <f>SUM(D28:D31)</f>
        <v>94.230643190429</v>
      </c>
      <c r="E32" s="81">
        <f>SUM(E28:E31)</f>
        <v>941.76016730608</v>
      </c>
      <c r="F32" s="81">
        <f>SUM(F28:F31)</f>
        <v>1369.75848</v>
      </c>
    </row>
    <row r="37" spans="1:10">
      <c r="B37" s="77" t="s">
        <v>116</v>
      </c>
      <c r="C37"/>
      <c r="D37"/>
      <c r="E37"/>
    </row>
    <row r="40" spans="1:10">
      <c r="B40" t="s">
        <v>110</v>
      </c>
      <c r="C40" s="81">
        <f>C13*F40</f>
        <v>174.5644666002</v>
      </c>
      <c r="D40" s="81">
        <f>D13*F40</f>
        <v>49.283748753739</v>
      </c>
      <c r="E40" s="81">
        <f>E13*F40</f>
        <v>492.55178464606</v>
      </c>
      <c r="F40" s="81">
        <f>IF(F7&lt;1, J7*0.4,J7*0.4*F7)</f>
        <v>716.4</v>
      </c>
    </row>
    <row r="41" spans="1:10">
      <c r="B41"/>
    </row>
    <row r="43" spans="1:10">
      <c r="B43" t="s">
        <v>110</v>
      </c>
      <c r="C43" t="s">
        <v>49</v>
      </c>
      <c r="D43" t="s">
        <v>50</v>
      </c>
      <c r="E43" t="s">
        <v>51</v>
      </c>
      <c r="F43" t="s">
        <v>107</v>
      </c>
    </row>
    <row r="44" spans="1:10">
      <c r="B44" t="s">
        <v>111</v>
      </c>
      <c r="C44" s="81">
        <f>SUM(C15,C40,C32,(C26))</f>
        <v>1992.178836004</v>
      </c>
      <c r="D44" s="81">
        <f>SUM(D15,D40,D32,(D26))</f>
        <v>562.44001507478</v>
      </c>
      <c r="E44" s="81">
        <f>SUM(E15,E40,E32,(E26))</f>
        <v>5621.1396289212</v>
      </c>
      <c r="F44" s="81">
        <f>SUM(C44:E44)</f>
        <v>8175.75848</v>
      </c>
    </row>
    <row r="45" spans="1:10">
      <c r="B45" t="s">
        <v>45</v>
      </c>
      <c r="C45">
        <v>3.0</v>
      </c>
      <c r="D45">
        <v>3.0</v>
      </c>
      <c r="E45">
        <v>1.0</v>
      </c>
      <c r="F45"/>
    </row>
    <row r="46" spans="1:10">
      <c r="B46" t="s">
        <v>112</v>
      </c>
      <c r="C46" s="81">
        <f>SUM(C44/C45)</f>
        <v>664.05961200132</v>
      </c>
      <c r="D46" s="81">
        <f>SUM(D44/D45)</f>
        <v>187.48000502493</v>
      </c>
      <c r="E46" s="81">
        <f>SUM(E44/E45)</f>
        <v>5621.1396289212</v>
      </c>
      <c r="F46"/>
    </row>
    <row r="47" spans="1:10">
      <c r="B47" t="s">
        <v>113</v>
      </c>
      <c r="C47" s="88">
        <f>C46*3.7</f>
        <v>2457.0205644049</v>
      </c>
      <c r="D47" s="88">
        <f>D46*3.7</f>
        <v>693.67601859222</v>
      </c>
      <c r="E47" s="88">
        <f>E46*3.7</f>
        <v>20798.216627009</v>
      </c>
      <c r="F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