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<sst xmlns="http://schemas.openxmlformats.org/spreadsheetml/2006/main" uniqueCount="116">
  <si>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</si>
  <si>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</si>
  <si>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</si>
  <si>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</si>
  <si>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VICTOR POMIANO PICON</t>
  </si>
  <si>
    <t>SERVICIO:</t>
  </si>
  <si>
    <t>CARGA CONSOLIDADA</t>
  </si>
  <si>
    <t>N° CAJAS:</t>
  </si>
  <si>
    <t>APELLIDO:</t>
  </si>
  <si>
    <t>FECHA:</t>
  </si>
  <si>
    <t>PESO:</t>
  </si>
  <si>
    <t>68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</si>
  <si>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</si>
  <si>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</si>
  <si>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</si>
  <si>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</si>
  <si>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</si>
  <si>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</si>
  <si>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</si>
  <si>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</si>
  <si>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</si>
  <si>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</si>
  <si>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</si>
  <si>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</si>
  <si>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</si>
  <si>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</si>
  <si>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</si>
  <si>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</si>
  <si>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</si>
  <si>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</si>
  <si>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</si>
  <si>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</si>
  <si>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</si>
  <si>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</si>
  <si>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</si>
  <si>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</si>
  <si>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</si>
  <si>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</si>
  <si>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</si>
  <si>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</si>
  <si>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</si>
  <si>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</si>
  <si>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</si>
  <si>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</si>
  <si>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</si>
  <si>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</si>
  <si>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</si>
  <si>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</si>
  <si>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CONECTOR MECANICO PARA FIBRA</t>
  </si>
  <si>
    <t>RECIBIDOR ÓPTICO PARA RED DE FIBRA</t>
  </si>
  <si>
    <t>ESTANTE PARA DECORACON DE HOGAR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</si>
  <si>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</si>
  <si>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</si>
  <si>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</si>
  <si>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</si>
  <si>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</si>
  <si>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</si>
  <si>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</si>
  <si>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</si>
  <si>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</si>
  <si>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</si>
  <si>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</si>
  <si>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</si>
  <si>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</si>
  <si>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</si>
  <si>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</si>
  <si>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</si>
  <si>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</si>
  <si>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</si>
  <si>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</si>
  <si>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</si>
  <si>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</si>
  <si>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</si>
  <si>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</si>
  <si>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</si>
  <si>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</si>
  <si>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</si>
  <si>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</si>
  <si>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</si>
  <si>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</si>
  <si>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</si>
  <si>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</si>
  <si>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</si>
  <si>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</si>
  <si>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</si>
  <si>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</si>
  <si>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</si>
  <si>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VICTOR POMIANO PICON 😁 un gusto saludarte!
        A continuación te envío la cotización final de tu importación📋📦.
        🙋‍♂️ PAGO PENDIENTE :
        ☑️Costo CBM: $386.1
        ☑️Impuestos: $318.84
        ☑️ Total: $704.94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</si>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</sst>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  <numFmt numFmtId="174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4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customHeight="1" ht="18">
      <c r="B2" s="40"/>
      <c r="C2" s="40"/>
      <c r="E2" s="45"/>
      <c r="F2" s="45"/>
      <c r="G2" s="45"/>
      <c r="H2" s="45"/>
      <c r="I2" s="45"/>
      <c r="J2" s="45"/>
      <c r="K2" s="45"/>
      <c r="L2" s="45"/>
    </row>
    <row r="3" spans="1:14" customHeight="1" ht="25.8">
      <c r="B3" s="40"/>
      <c r="C3" s="40"/>
      <c r="E3" s="56" t="s">
        <v>0</v>
      </c>
      <c r="F3" s="56"/>
      <c r="G3" s="56"/>
      <c r="H3" s="56"/>
      <c r="I3" s="56"/>
      <c r="J3" s="56"/>
    </row>
    <row r="4" spans="1:14" customHeight="1" ht="25.8">
      <c r="B4" s="40"/>
      <c r="C4" s="40"/>
      <c r="E4" s="57" t="s">
        <v>1</v>
      </c>
      <c r="F4" s="57"/>
      <c r="G4" s="57"/>
      <c r="H4" s="57"/>
      <c r="I4" s="57"/>
      <c r="J4" s="57"/>
      <c r="K4" s="11"/>
    </row>
    <row r="5" spans="1:14">
      <c r="B5" s="40"/>
      <c r="C5" s="40"/>
      <c r="D5" s="38"/>
    </row>
    <row r="6" spans="1:14">
      <c r="B6" s="40"/>
      <c r="C6" s="40"/>
      <c r="D6" s="24"/>
      <c r="F6" s="24"/>
      <c r="G6" s="24"/>
      <c r="H6" s="24"/>
    </row>
    <row r="7" spans="1:14">
      <c r="A7" s="40"/>
      <c r="B7" s="40"/>
      <c r="C7" s="40"/>
      <c r="E7" s="42" t="s">
        <v>2</v>
      </c>
      <c r="F7" s="42"/>
      <c r="G7" s="42"/>
      <c r="I7" s="40"/>
      <c r="J7" s="40"/>
      <c r="K7" s="40"/>
      <c r="L7" s="40"/>
    </row>
    <row r="8" spans="1:14">
      <c r="B8" s="6" t="s">
        <v>3</v>
      </c>
      <c r="C8" s="103" t="s">
        <v>4</v>
      </c>
      <c r="D8" s="36"/>
      <c r="E8" s="21" t="s">
        <v>5</v>
      </c>
      <c r="F8" s="47" t="s">
        <v>6</v>
      </c>
      <c r="G8" s="48"/>
      <c r="H8" s="35"/>
      <c r="I8" s="1" t="s">
        <v>7</v>
      </c>
      <c r="J8" s="64">
        <f>+'2'!F7</f>
        <v>2.84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43">
        <f>+TODAY()</f>
        <v>45943</v>
      </c>
      <c r="G9" s="44"/>
      <c r="H9" s="35"/>
      <c r="I9" s="1" t="s">
        <v>10</v>
      </c>
      <c r="J9" s="102" t="s">
        <v>11</v>
      </c>
      <c r="K9" s="41"/>
      <c r="L9" s="41"/>
    </row>
    <row r="10" spans="1:14">
      <c r="B10" s="6" t="s">
        <v>12</v>
      </c>
      <c r="C10" s="15">
        <v>46818550</v>
      </c>
      <c r="D10" s="36"/>
      <c r="E10" s="26" t="s">
        <v>13</v>
      </c>
      <c r="F10" s="45" t="s">
        <v>14</v>
      </c>
      <c r="G10" s="46"/>
      <c r="H10" s="35"/>
      <c r="I10" s="1" t="s">
        <v>15</v>
      </c>
      <c r="J10" s="65"/>
      <c r="K10" s="102"/>
      <c r="L10" s="65"/>
    </row>
    <row r="11" spans="1:14">
      <c r="B11" s="6" t="s">
        <v>16</v>
      </c>
      <c r="C11" s="16">
        <v>51915092388</v>
      </c>
      <c r="D11" s="37"/>
      <c r="E11" s="23" t="s">
        <v>17</v>
      </c>
      <c r="F11" s="50" t="s">
        <v>18</v>
      </c>
      <c r="G11" s="67"/>
      <c r="H11" s="35"/>
      <c r="I11" s="1" t="s">
        <v>19</v>
      </c>
      <c r="J11" s="101">
        <f>'2'!F7</f>
        <v>2.84</v>
      </c>
      <c r="K11" s="76"/>
      <c r="L11" s="76"/>
    </row>
    <row r="12" spans="1:14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4">
      <c r="B13" s="68" t="s">
        <v>20</v>
      </c>
      <c r="C13" s="68"/>
      <c r="D13" s="68"/>
      <c r="E13" s="68"/>
      <c r="F13" s="68"/>
      <c r="G13" s="68"/>
      <c r="H13" s="68"/>
      <c r="I13" s="68"/>
      <c r="J13" s="68"/>
      <c r="K13" s="8" t="s">
        <v>21</v>
      </c>
      <c r="L13" s="8" t="s">
        <v>22</v>
      </c>
    </row>
    <row r="14" spans="1:14">
      <c r="B14" s="69" t="s">
        <v>23</v>
      </c>
      <c r="C14" s="69"/>
      <c r="D14" s="69"/>
      <c r="E14" s="69"/>
      <c r="F14" s="69"/>
      <c r="G14" s="69"/>
      <c r="H14" s="69"/>
      <c r="I14" s="69"/>
      <c r="J14" s="69"/>
      <c r="K14" s="13">
        <f>'2'!E11</f>
        <v>1242.6</v>
      </c>
      <c r="L14" s="7" t="s">
        <v>24</v>
      </c>
    </row>
    <row r="15" spans="1:14">
      <c r="B15" s="70" t="s">
        <v>25</v>
      </c>
      <c r="C15" s="70"/>
      <c r="D15" s="70"/>
      <c r="E15" s="70"/>
      <c r="F15" s="70"/>
      <c r="G15" s="70"/>
      <c r="H15" s="70"/>
      <c r="I15" s="70"/>
      <c r="J15" s="70"/>
      <c r="K15" s="14">
        <f>'2'!E14 + '2'!E17</f>
        <v>198.14130882586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1440.7413088259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1" t="s">
        <v>27</v>
      </c>
      <c r="C19" s="71"/>
      <c r="D19" s="71"/>
      <c r="E19" s="71"/>
      <c r="F19" s="71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51" t="s">
        <v>29</v>
      </c>
      <c r="C20" s="51"/>
      <c r="D20" s="51"/>
      <c r="E20" s="51"/>
      <c r="F20" s="51"/>
      <c r="G20" s="51"/>
      <c r="H20" s="51"/>
      <c r="I20" s="51"/>
      <c r="J20" s="19">
        <f>MAX('2'!C27:D27)</f>
        <v>0</v>
      </c>
      <c r="K20" s="13">
        <f>'2'!E28</f>
        <v>0</v>
      </c>
      <c r="L20" s="7" t="s">
        <v>24</v>
      </c>
      <c r="N20" t="s">
        <v>87</v>
      </c>
    </row>
    <row r="21" spans="1:14">
      <c r="B21" s="51" t="s">
        <v>30</v>
      </c>
      <c r="C21" s="51"/>
      <c r="D21" s="51"/>
      <c r="E21" s="51"/>
      <c r="F21" s="51"/>
      <c r="G21" s="51"/>
      <c r="H21" s="51"/>
      <c r="I21" s="51"/>
      <c r="J21" s="19">
        <v>0.16</v>
      </c>
      <c r="K21" s="13">
        <f>'2'!E29</f>
        <v>230.51860941214</v>
      </c>
      <c r="L21" s="7" t="s">
        <v>24</v>
      </c>
    </row>
    <row r="22" spans="1:14">
      <c r="B22" s="50" t="s">
        <v>31</v>
      </c>
      <c r="C22" s="50"/>
      <c r="D22" s="50"/>
      <c r="E22" s="50"/>
      <c r="F22" s="50"/>
      <c r="G22" s="50"/>
      <c r="H22" s="50"/>
      <c r="I22" s="50"/>
      <c r="J22" s="19">
        <v>0.02</v>
      </c>
      <c r="K22" s="13">
        <f>'2'!E30</f>
        <v>28.814826176517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259.33343558865</v>
      </c>
      <c r="L23" s="29" t="s">
        <v>24</v>
      </c>
    </row>
    <row r="24" spans="1:14">
      <c r="B24" s="51"/>
      <c r="C24" s="51"/>
      <c r="D24" s="51"/>
      <c r="E24" s="51"/>
      <c r="F24" s="51"/>
      <c r="G24" s="51"/>
      <c r="H24" s="51"/>
      <c r="I24" s="51"/>
      <c r="J24" s="2"/>
      <c r="K24" s="9"/>
      <c r="L24" s="7"/>
    </row>
    <row r="25" spans="1:14">
      <c r="B25" s="50" t="s">
        <v>33</v>
      </c>
      <c r="C25" s="50"/>
      <c r="D25" s="50"/>
      <c r="E25" s="50"/>
      <c r="F25" s="50"/>
      <c r="G25" s="50"/>
      <c r="H25" s="50"/>
      <c r="I25" s="50"/>
      <c r="J25" s="20" t="s">
        <v>34</v>
      </c>
      <c r="K25" s="14">
        <f>'2'!E31</f>
        <v>59.502616054508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318.83605164316</v>
      </c>
      <c r="L26" s="7" t="s">
        <v>24</v>
      </c>
    </row>
    <row r="27" spans="1:14">
      <c r="B27" s="45"/>
      <c r="C27" s="45"/>
      <c r="D27" s="45"/>
      <c r="E27" s="45"/>
      <c r="F27" s="45"/>
      <c r="G27" s="45"/>
      <c r="H27" s="45"/>
      <c r="I27" s="45"/>
    </row>
    <row r="28" spans="1:14" customHeight="1" ht="15.6">
      <c r="B28" s="54" t="s">
        <v>36</v>
      </c>
      <c r="C28" s="54"/>
      <c r="D28" s="54"/>
      <c r="E28" s="54"/>
      <c r="F28" s="54"/>
      <c r="G28" s="54"/>
      <c r="H28" s="54"/>
      <c r="I28" s="54"/>
      <c r="J28" s="54"/>
      <c r="K28" s="27" t="s">
        <v>21</v>
      </c>
      <c r="L28" s="27" t="s">
        <v>22</v>
      </c>
    </row>
    <row r="29" spans="1:14">
      <c r="B29" s="51" t="s">
        <v>37</v>
      </c>
      <c r="C29" s="51"/>
      <c r="D29" s="51"/>
      <c r="E29" s="51"/>
      <c r="F29" s="51"/>
      <c r="G29" s="51"/>
      <c r="H29" s="51"/>
      <c r="I29" s="51"/>
      <c r="J29" s="51"/>
      <c r="K29" s="13">
        <f>K14</f>
        <v>1242.6</v>
      </c>
      <c r="L29" s="7" t="s">
        <v>24</v>
      </c>
    </row>
    <row r="30" spans="1:14">
      <c r="B30" s="51" t="s">
        <v>38</v>
      </c>
      <c r="C30" s="51"/>
      <c r="D30" s="51"/>
      <c r="E30" s="51"/>
      <c r="F30" s="51"/>
      <c r="G30" s="51"/>
      <c r="H30" s="51"/>
      <c r="I30" s="51"/>
      <c r="J30" s="51"/>
      <c r="K30" s="13">
        <f>IF(J11&lt;1, '2'!J7, '2'!J7*J11)</f>
        <v>923</v>
      </c>
      <c r="L30" s="7" t="s">
        <v>24</v>
      </c>
    </row>
    <row r="31" spans="1:14">
      <c r="B31" s="50" t="s">
        <v>39</v>
      </c>
      <c r="C31" s="50"/>
      <c r="D31" s="50"/>
      <c r="E31" s="50"/>
      <c r="F31" s="50"/>
      <c r="G31" s="50"/>
      <c r="H31" s="50"/>
      <c r="I31" s="50"/>
      <c r="J31" s="50"/>
      <c r="K31" s="14">
        <f>K26</f>
        <v>318.83605164316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2484.4360516432</v>
      </c>
      <c r="L32" s="7" t="s">
        <v>24</v>
      </c>
    </row>
    <row r="33" spans="1:14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58" t="s">
        <v>43</v>
      </c>
      <c r="D35" s="59"/>
      <c r="E35" s="60"/>
      <c r="F35" s="4" t="s">
        <v>44</v>
      </c>
      <c r="G35" s="58" t="s">
        <v>45</v>
      </c>
      <c r="H35" s="60"/>
      <c r="I35" s="3" t="s">
        <v>46</v>
      </c>
      <c r="J35" s="25" t="s">
        <v>35</v>
      </c>
      <c r="K35" s="49" t="s">
        <v>47</v>
      </c>
      <c r="L35" s="49"/>
    </row>
    <row r="36" spans="1:14">
      <c r="A36" s="1"/>
      <c r="B36" s="90">
        <v>1</v>
      </c>
      <c r="C36" s="91" t="s">
        <v>48</v>
      </c>
      <c r="D36" s="92"/>
      <c r="E36" s="93"/>
      <c r="F36" s="90">
        <f>'2'!C10</f>
        <v>4000</v>
      </c>
      <c r="G36" s="94">
        <f>'2'!C8</f>
        <v>0.22</v>
      </c>
      <c r="H36" s="95"/>
      <c r="I36" s="94">
        <f>'2'!C46</f>
        <v>0.33007526921249</v>
      </c>
      <c r="J36" s="94">
        <f>'2'!C44</f>
        <v>1320.3010768499</v>
      </c>
      <c r="K36" s="96">
        <f>'2'!C47</f>
        <v>1.2212784960862</v>
      </c>
      <c r="L36" s="49"/>
    </row>
    <row r="37" spans="1:14">
      <c r="A37" s="1"/>
      <c r="B37" s="90">
        <v>2</v>
      </c>
      <c r="C37" s="91" t="s">
        <v>49</v>
      </c>
      <c r="D37" s="92"/>
      <c r="E37" s="93"/>
      <c r="F37" s="90">
        <f>'2'!D10</f>
        <v>400</v>
      </c>
      <c r="G37" s="94">
        <f>'2'!D8</f>
        <v>4.16</v>
      </c>
      <c r="H37" s="95"/>
      <c r="I37" s="94">
        <f>'2'!D46</f>
        <v>6.2414232723816</v>
      </c>
      <c r="J37" s="94">
        <f>'2'!D44</f>
        <v>2496.5693089526</v>
      </c>
      <c r="K37" s="96">
        <f>'2'!D47</f>
        <v>23.093266107812</v>
      </c>
      <c r="L37" s="49"/>
    </row>
    <row r="38" spans="1:14">
      <c r="A38" s="1"/>
      <c r="B38" s="90">
        <v>3</v>
      </c>
      <c r="C38" s="91" t="s">
        <v>50</v>
      </c>
      <c r="D38" s="92"/>
      <c r="E38" s="93"/>
      <c r="F38" s="90">
        <f>'2'!E10</f>
        <v>182</v>
      </c>
      <c r="G38" s="94">
        <f>'2'!E8</f>
        <v>6.8274725274725</v>
      </c>
      <c r="H38" s="95"/>
      <c r="I38" s="94">
        <f>'2'!E46</f>
        <v>10.243544693392</v>
      </c>
      <c r="J38" s="94">
        <f>'2'!E44</f>
        <v>1864.3251341974</v>
      </c>
      <c r="K38" s="97">
        <f>'2'!E47</f>
        <v>37.901115365552</v>
      </c>
      <c r="L38" s="75"/>
    </row>
    <row r="39" spans="1:14" customHeight="1" ht="15.6">
      <c r="A39"/>
      <c r="B39" s="12" t="s">
        <v>35</v>
      </c>
      <c r="C39" s="2"/>
      <c r="D39" s="2"/>
      <c r="E39" s="2"/>
      <c r="F39" s="12">
        <f>SUM(F36:F38)</f>
        <v>4582</v>
      </c>
      <c r="G39" s="2"/>
      <c r="H39" s="2"/>
      <c r="I39"/>
      <c r="J39" s="98">
        <f>SUM(J36:J38)</f>
        <v>5681.19552</v>
      </c>
      <c r="K39" s="31"/>
      <c r="L39" s="100"/>
    </row>
    <row r="40" spans="1:14" customHeight="1" ht="15.6">
      <c r="B40" s="12"/>
      <c r="C40" s="2"/>
      <c r="D40" s="2"/>
      <c r="E40" s="2"/>
      <c r="F40" s="12"/>
      <c r="G40" s="2"/>
      <c r="H40" s="2"/>
      <c r="I40"/>
      <c r="J40" s="99"/>
      <c r="K40" s="31"/>
      <c r="L40" s="100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2"/>
      <c r="L41" s="33"/>
    </row>
    <row r="42" spans="1:14" customHeight="1" ht="18">
      <c r="B42" s="28" t="s">
        <v>51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6" t="s">
        <v>52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</row>
    <row r="44" spans="1:14" customHeight="1" ht="18">
      <c r="B44" s="66" t="s">
        <v>53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4" customHeight="1" ht="18">
      <c r="B45" s="66" t="s">
        <v>54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6" spans="1:14" customHeight="1" ht="18">
      <c r="B46" s="66" t="s">
        <v>55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spans="1:14" customHeight="1" ht="18">
      <c r="B47" s="66" t="s">
        <v>56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0"/>
      <c r="C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4" customHeight="1" ht="31.8">
      <c r="B50" s="40"/>
      <c r="C50" s="40"/>
      <c r="D50" s="39" t="s">
        <v>0</v>
      </c>
      <c r="E50" s="39"/>
      <c r="F50" s="39"/>
      <c r="G50" s="39"/>
      <c r="H50" s="39"/>
      <c r="I50" s="39"/>
      <c r="J50" s="39"/>
      <c r="K50" s="39"/>
      <c r="L50" s="39"/>
      <c r="M50" s="39"/>
    </row>
    <row r="51" spans="1:14" customHeight="1" ht="21">
      <c r="B51" s="40"/>
      <c r="C51" s="40"/>
      <c r="D51" s="55" t="s">
        <v>57</v>
      </c>
      <c r="E51" s="55"/>
      <c r="F51" s="55"/>
      <c r="G51" s="55"/>
      <c r="H51" s="55"/>
      <c r="I51" s="55"/>
    </row>
    <row r="52" spans="1:14">
      <c r="B52" s="40"/>
      <c r="C52" s="40"/>
    </row>
    <row r="53" spans="1:14">
      <c r="B53" s="40"/>
      <c r="C53" s="40"/>
    </row>
    <row r="54" spans="1:14" customHeight="1" ht="21">
      <c r="B54" s="72" t="s">
        <v>58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6" spans="1:14">
      <c r="B56" s="73" t="s">
        <v>59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 spans="1:14">
      <c r="B57" s="73" t="s">
        <v>60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 spans="1:14">
      <c r="B58" s="51" t="s">
        <v>61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</row>
    <row r="59" spans="1:14">
      <c r="B59" s="73" t="s">
        <v>62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pans="1:14">
      <c r="B60" s="73" t="s">
        <v>63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 spans="1:14">
      <c r="B61" s="51" t="s">
        <v>64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</row>
    <row r="62" spans="1:14">
      <c r="B62" s="73" t="s">
        <v>65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 spans="1:14">
      <c r="B63" s="73" t="s">
        <v>66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 spans="1:14">
      <c r="B64" s="73" t="s">
        <v>67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spans="1:14">
      <c r="B65" s="73" t="s">
        <v>68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spans="1:14">
      <c r="B66" s="73" t="s">
        <v>69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 spans="1:14">
      <c r="B67" s="73" t="s">
        <v>70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4">
      <c r="B68" s="73" t="s">
        <v>71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 spans="1:14">
      <c r="B69" s="73" t="s">
        <v>72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spans="1:14">
      <c r="B70" s="73" t="s">
        <v>73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spans="1:14">
      <c r="B71" s="73" t="s">
        <v>74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</row>
    <row r="72" spans="1:14">
      <c r="B72" s="73" t="s">
        <v>75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</row>
    <row r="73" spans="1:14">
      <c r="B73" s="69" t="s">
        <v>76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spans="1:14">
      <c r="B74" s="73" t="s">
        <v>77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</row>
    <row r="75" spans="1:14">
      <c r="B75" s="69" t="s">
        <v>78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</row>
    <row r="76" spans="1:14">
      <c r="B76" s="73" t="s">
        <v>79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</row>
    <row r="77" spans="1:14">
      <c r="B77" s="73" t="s">
        <v>80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</row>
    <row r="78" spans="1:14">
      <c r="B78" s="73" t="s">
        <v>81</v>
      </c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pans="1:14">
      <c r="B79" s="73" t="s">
        <v>82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14">
      <c r="B80" s="73" t="s">
        <v>83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1:14">
      <c r="A81" s="34"/>
      <c r="B81" s="74" t="s">
        <v>84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pans="1:14">
      <c r="A82" s="34"/>
      <c r="B82" s="73" t="s">
        <v>85</v>
      </c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1:14">
      <c r="A83" s="34"/>
      <c r="B83" s="74" t="s">
        <v>86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5" spans="1:14">
      <c r="C85" s="40"/>
      <c r="D85" s="40"/>
      <c r="E85" s="40"/>
      <c r="F85" s="40"/>
      <c r="G85" s="40"/>
      <c r="H85" s="40"/>
      <c r="I85" s="40"/>
    </row>
    <row r="86" spans="1:14">
      <c r="C86" s="40"/>
      <c r="D86" s="40"/>
      <c r="E86" s="40"/>
      <c r="F86" s="40"/>
      <c r="G86" s="40"/>
      <c r="H86" s="40"/>
      <c r="I86" s="40"/>
    </row>
    <row r="87" spans="1:14">
      <c r="C87" s="40"/>
      <c r="D87" s="40"/>
      <c r="E87" s="40"/>
      <c r="F87" s="40"/>
      <c r="G87" s="40"/>
      <c r="H87" s="40"/>
      <c r="I87" s="40"/>
    </row>
    <row r="88" spans="1:14">
      <c r="C88" s="40"/>
      <c r="D88" s="40"/>
      <c r="E88" s="40"/>
      <c r="F88" s="40"/>
      <c r="G88" s="40"/>
      <c r="H88" s="40"/>
      <c r="I88" s="40"/>
    </row>
    <row r="89" spans="1:14">
      <c r="C89" s="40"/>
      <c r="D89" s="40"/>
      <c r="E89" s="40"/>
      <c r="F89" s="40"/>
      <c r="G89" s="40"/>
      <c r="H89" s="40"/>
      <c r="I89" s="40"/>
    </row>
    <row r="90" spans="1:14">
      <c r="C90" s="40"/>
      <c r="D90" s="40"/>
      <c r="E90" s="40"/>
      <c r="F90" s="40"/>
      <c r="G90" s="40"/>
      <c r="H90" s="40"/>
      <c r="I90" s="40"/>
    </row>
    <row r="91" spans="1:14">
      <c r="C91" s="40"/>
      <c r="D91" s="40"/>
      <c r="E91" s="40"/>
      <c r="F91" s="40"/>
      <c r="G91" s="40"/>
      <c r="H91" s="40"/>
      <c r="I91" s="40"/>
    </row>
    <row r="92" spans="1:14" customHeight="1" ht="15.6">
      <c r="C92" s="40"/>
      <c r="D92" s="40"/>
      <c r="E92" s="40"/>
      <c r="F92" s="40"/>
      <c r="G92" s="40"/>
      <c r="H92" s="40"/>
      <c r="I92" s="40"/>
    </row>
    <row r="93" spans="1:14" customHeight="1" ht="15.6">
      <c r="C93" s="40"/>
      <c r="D93" s="40"/>
      <c r="E93" s="40"/>
      <c r="F93" s="40"/>
      <c r="G93" s="40"/>
      <c r="H93" s="40"/>
      <c r="I93" s="40"/>
    </row>
    <row r="94" spans="1:14">
      <c r="C94" s="40"/>
      <c r="D94" s="40"/>
      <c r="E94" s="40"/>
      <c r="F94" s="40"/>
      <c r="G94" s="40"/>
      <c r="H94" s="40"/>
      <c r="I94" s="40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41.133" bestFit="true" customWidth="true" style="0"/>
    <col min="5" max="5" width="37.705" bestFit="true" customWidth="true" style="0"/>
    <col min="6" max="6" width="10.569" bestFit="true" customWidth="true" style="0"/>
  </cols>
  <sheetData>
    <row r="3" spans="1:10">
      <c r="B3" s="77" t="s">
        <v>88</v>
      </c>
      <c r="C3"/>
      <c r="D3"/>
      <c r="E3"/>
      <c r="F3"/>
      <c r="G3"/>
    </row>
    <row r="5" spans="1:10">
      <c r="B5" s="79" t="s">
        <v>89</v>
      </c>
      <c r="C5" s="78" t="s">
        <v>48</v>
      </c>
      <c r="D5" s="78" t="s">
        <v>49</v>
      </c>
      <c r="E5" s="78" t="s">
        <v>50</v>
      </c>
      <c r="F5" s="78" t="s">
        <v>106</v>
      </c>
    </row>
    <row r="6" spans="1:10">
      <c r="B6" t="s">
        <v>90</v>
      </c>
      <c r="C6">
        <v>0</v>
      </c>
      <c r="D6">
        <v>0</v>
      </c>
      <c r="E6">
        <v>0</v>
      </c>
      <c r="F6" s="84">
        <v>68.0</v>
      </c>
      <c r="I6" s="82" t="s">
        <v>104</v>
      </c>
      <c r="J6" s="82" t="s">
        <v>105</v>
      </c>
    </row>
    <row r="7" spans="1:10">
      <c r="B7" t="s">
        <v>91</v>
      </c>
      <c r="C7">
        <v>0</v>
      </c>
      <c r="D7">
        <v>0</v>
      </c>
      <c r="E7">
        <v>0</v>
      </c>
      <c r="F7" s="85">
        <v>2.84</v>
      </c>
      <c r="I7" s="83" t="s">
        <v>18</v>
      </c>
      <c r="J7" s="83">
        <v>325</v>
      </c>
    </row>
    <row r="8" spans="1:10">
      <c r="B8" t="s">
        <v>92</v>
      </c>
      <c r="C8" s="81">
        <v>0.22</v>
      </c>
      <c r="D8" s="81">
        <v>4.16</v>
      </c>
      <c r="E8" s="81">
        <v>6.8274725274725</v>
      </c>
      <c r="F8"/>
    </row>
    <row r="9" spans="1:10">
      <c r="B9" s="80" t="s">
        <v>93</v>
      </c>
      <c r="C9" s="81">
        <v>0.0</v>
      </c>
      <c r="D9" s="81">
        <v>0.0</v>
      </c>
      <c r="E9" s="81">
        <v>0.0</v>
      </c>
      <c r="F9"/>
    </row>
    <row r="10" spans="1:10">
      <c r="B10" t="s">
        <v>94</v>
      </c>
      <c r="C10">
        <v>4000.0</v>
      </c>
      <c r="D10">
        <v>400.0</v>
      </c>
      <c r="E10">
        <v>182.0</v>
      </c>
      <c r="F10">
        <f>SUM(C10:E10)</f>
        <v>4582</v>
      </c>
    </row>
    <row r="11" spans="1:10">
      <c r="B11" t="s">
        <v>95</v>
      </c>
      <c r="C11" s="81">
        <f>C8*C10</f>
        <v>880</v>
      </c>
      <c r="D11" s="81">
        <f>D8*D10</f>
        <v>1664</v>
      </c>
      <c r="E11" s="81">
        <f>E8*E10</f>
        <v>1242.6</v>
      </c>
      <c r="F11" s="89">
        <f>SUM(C11:E11)</f>
        <v>3786.6</v>
      </c>
    </row>
    <row r="12" spans="1:10">
      <c r="B12" s="80" t="s">
        <v>96</v>
      </c>
      <c r="C12" s="81">
        <f>C10*C9</f>
        <v>0</v>
      </c>
      <c r="D12" s="81">
        <f>D10*D9</f>
        <v>0</v>
      </c>
      <c r="E12" s="81">
        <f>E10*E9</f>
        <v>0</v>
      </c>
      <c r="F12" s="89">
        <f>SUM(C12:E12)</f>
        <v>0</v>
      </c>
    </row>
    <row r="13" spans="1:10">
      <c r="B13" t="s">
        <v>97</v>
      </c>
      <c r="C13" s="86">
        <f>C11/F11</f>
        <v>0.23239845771933</v>
      </c>
      <c r="D13" s="86">
        <f>D11/F11</f>
        <v>0.43944435641473</v>
      </c>
      <c r="E13" s="86">
        <f>E11/F11</f>
        <v>0.32815718586595</v>
      </c>
      <c r="F13"/>
    </row>
    <row r="14" spans="1:10">
      <c r="B14" t="s">
        <v>98</v>
      </c>
      <c r="C14" s="81">
        <f>F14*C13</f>
        <v>128.70226588496</v>
      </c>
      <c r="D14" s="81">
        <f>F14*D13</f>
        <v>243.36428458248</v>
      </c>
      <c r="E14" s="81">
        <f>F14*E13</f>
        <v>181.73344953256</v>
      </c>
      <c r="F14" s="89">
        <f>IF(F7&lt;1, J7*0.6, J7*0.6*F7)</f>
        <v>553.8</v>
      </c>
    </row>
    <row r="15" spans="1:10">
      <c r="B15" t="s">
        <v>99</v>
      </c>
      <c r="C15" s="81">
        <f>C11+C14</f>
        <v>1008.702265885</v>
      </c>
      <c r="D15" s="81">
        <f>D11+D14</f>
        <v>1907.3642845825</v>
      </c>
      <c r="E15" s="81">
        <f>E11+E14</f>
        <v>1424.3334495326</v>
      </c>
      <c r="F15" s="89">
        <f>SUM(C15:E15)</f>
        <v>4340.4</v>
      </c>
    </row>
    <row r="16" spans="1:10">
      <c r="B16" s="80" t="s">
        <v>100</v>
      </c>
      <c r="C16" s="81">
        <f>C12+C14</f>
        <v>128.70226588496</v>
      </c>
      <c r="D16" s="81">
        <f>D12+D14</f>
        <v>243.36428458248</v>
      </c>
      <c r="E16" s="81">
        <f>E12+E14</f>
        <v>181.73344953256</v>
      </c>
      <c r="F16" s="89">
        <f>SUM(C16:E16)</f>
        <v>553.8</v>
      </c>
    </row>
    <row r="17" spans="1:10">
      <c r="B17" t="s">
        <v>101</v>
      </c>
      <c r="C17" s="81">
        <f>IF(F11&gt;5000,100*C13,50*C13)</f>
        <v>11.619922885966</v>
      </c>
      <c r="D17" s="81">
        <f>IF(F11&gt;5000,100*D13,50*D13)</f>
        <v>21.972217820736</v>
      </c>
      <c r="E17" s="81">
        <f>IF(F11&gt;5000,100*E13,50*E13)</f>
        <v>16.407859293297</v>
      </c>
      <c r="F17" s="89">
        <f>SUM(C17:E17)</f>
        <v>50</v>
      </c>
    </row>
    <row r="18" spans="1:10">
      <c r="B18" t="s">
        <v>102</v>
      </c>
      <c r="C18" s="81">
        <f>C15+C17</f>
        <v>1020.3221887709</v>
      </c>
      <c r="D18" s="81">
        <f>D15+D17</f>
        <v>1929.3365024032</v>
      </c>
      <c r="E18" s="81">
        <f>E15+E17</f>
        <v>1440.7413088259</v>
      </c>
      <c r="F18" s="89">
        <f>SUM(C18:E18)</f>
        <v>4390.4</v>
      </c>
    </row>
    <row r="19" spans="1:10">
      <c r="B19" s="80" t="s">
        <v>103</v>
      </c>
      <c r="C19" s="81">
        <f>C16+C17</f>
        <v>140.32218877093</v>
      </c>
      <c r="D19" s="81">
        <f>D16+D17</f>
        <v>265.33650240321</v>
      </c>
      <c r="E19" s="81">
        <f>E16+E17</f>
        <v>198.14130882586</v>
      </c>
      <c r="F19" s="89">
        <f>SUM(C19:E19)</f>
        <v>603.8</v>
      </c>
    </row>
    <row r="23" spans="1:10">
      <c r="B23" s="77" t="s">
        <v>113</v>
      </c>
      <c r="C23"/>
      <c r="D23"/>
      <c r="E23"/>
    </row>
    <row r="26" spans="1:10">
      <c r="B26" t="s">
        <v>114</v>
      </c>
      <c r="C26" s="81">
        <v>0</v>
      </c>
      <c r="D26" s="81">
        <v>0</v>
      </c>
      <c r="E26" s="81">
        <v>0</v>
      </c>
      <c r="F26" s="81">
        <f>SUM(C26:E26)</f>
        <v>0</v>
      </c>
    </row>
    <row r="27" spans="1:10">
      <c r="C27" s="87">
        <v>0.0</v>
      </c>
      <c r="D27" s="87">
        <v>0.0</v>
      </c>
      <c r="E27" s="87">
        <v>0</v>
      </c>
      <c r="F27" s="86">
        <f>SUM(C27:E27)</f>
        <v>0</v>
      </c>
    </row>
    <row r="28" spans="1:10">
      <c r="B28" t="s">
        <v>107</v>
      </c>
      <c r="C28" s="81">
        <f>MAX(C19,C18)*C27</f>
        <v>0</v>
      </c>
      <c r="D28" s="81">
        <f>MAX(D19,D18)*D27</f>
        <v>0</v>
      </c>
      <c r="E28" s="81">
        <f>MAX(E19,E18)*E27</f>
        <v>0</v>
      </c>
      <c r="F28" s="81">
        <f>SUM(C28:E28)</f>
        <v>0</v>
      </c>
    </row>
    <row r="29" spans="1:10">
      <c r="B29" t="s">
        <v>30</v>
      </c>
      <c r="C29" s="81">
        <f>0.16*(MAX(C19,C18)+C28)</f>
        <v>163.25155020335</v>
      </c>
      <c r="D29" s="81">
        <f>0.16*(MAX(D19,D18)+D28)</f>
        <v>308.69384038451</v>
      </c>
      <c r="E29" s="81">
        <f>0.16*(MAX(E19,E18)+E28)</f>
        <v>230.51860941214</v>
      </c>
      <c r="F29" s="81">
        <f>SUM(C29:E29)</f>
        <v>702.464</v>
      </c>
    </row>
    <row r="30" spans="1:10">
      <c r="B30" t="s">
        <v>31</v>
      </c>
      <c r="C30" s="81">
        <f>0.02*(MAX(C19,C18)+C28)</f>
        <v>20.406443775419</v>
      </c>
      <c r="D30" s="81">
        <f>0.02*(MAX(D19,D18)+D28)</f>
        <v>38.586730048064</v>
      </c>
      <c r="E30" s="81">
        <f>0.02*(MAX(E19,E18)+E28)</f>
        <v>28.814826176517</v>
      </c>
      <c r="F30" s="81">
        <f>SUM(C30:E30)</f>
        <v>87.808</v>
      </c>
    </row>
    <row r="31" spans="1:10">
      <c r="B31" t="s">
        <v>108</v>
      </c>
      <c r="C31" s="81">
        <f>0.035*(MAX(C18,C19) +C28+C29+C30)</f>
        <v>42.139306396239</v>
      </c>
      <c r="D31" s="81">
        <f>0.035*(MAX(D18,D19) +D28+D29+D30)</f>
        <v>79.681597549253</v>
      </c>
      <c r="E31" s="81">
        <f>0.035*(MAX(E18,E19) +E28+E29+E30)</f>
        <v>59.502616054508</v>
      </c>
      <c r="F31" s="81">
        <f>SUM(C31:E31)</f>
        <v>181.32352</v>
      </c>
    </row>
    <row r="32" spans="1:10">
      <c r="B32" t="s">
        <v>35</v>
      </c>
      <c r="C32" s="81">
        <f>SUM(C28:C31)</f>
        <v>225.79730037501</v>
      </c>
      <c r="D32" s="81">
        <f>SUM(D28:D31)</f>
        <v>426.96216798183</v>
      </c>
      <c r="E32" s="81">
        <f>SUM(E28:E31)</f>
        <v>318.83605164316</v>
      </c>
      <c r="F32" s="81">
        <f>SUM(F28:F31)</f>
        <v>971.59552</v>
      </c>
    </row>
    <row r="37" spans="1:10">
      <c r="B37" s="77" t="s">
        <v>115</v>
      </c>
      <c r="C37"/>
      <c r="D37"/>
      <c r="E37"/>
    </row>
    <row r="40" spans="1:10">
      <c r="B40" t="s">
        <v>109</v>
      </c>
      <c r="C40" s="81">
        <f>C13*F40</f>
        <v>85.801510589975</v>
      </c>
      <c r="D40" s="81">
        <f>D13*F40</f>
        <v>162.24285638832</v>
      </c>
      <c r="E40" s="81">
        <f>E13*F40</f>
        <v>121.15563302171</v>
      </c>
      <c r="F40" s="81">
        <f>IF(F7&lt;1, J7*0.4,J7*0.4*F7)</f>
        <v>369.2</v>
      </c>
    </row>
    <row r="41" spans="1:10">
      <c r="B41"/>
    </row>
    <row r="43" spans="1:10">
      <c r="B43" t="s">
        <v>109</v>
      </c>
      <c r="C43" t="s">
        <v>48</v>
      </c>
      <c r="D43" t="s">
        <v>49</v>
      </c>
      <c r="E43" t="s">
        <v>50</v>
      </c>
      <c r="F43" t="s">
        <v>106</v>
      </c>
    </row>
    <row r="44" spans="1:10">
      <c r="B44" t="s">
        <v>110</v>
      </c>
      <c r="C44" s="81">
        <f>SUM(C15,C40,C32,(C26))</f>
        <v>1320.3010768499</v>
      </c>
      <c r="D44" s="81">
        <f>SUM(D15,D40,D32,(D26))</f>
        <v>2496.5693089526</v>
      </c>
      <c r="E44" s="81">
        <f>SUM(E15,E40,E32,(E26))</f>
        <v>1864.3251341974</v>
      </c>
      <c r="F44" s="81">
        <f>SUM(C44:E44)</f>
        <v>5681.19552</v>
      </c>
    </row>
    <row r="45" spans="1:10">
      <c r="B45" t="s">
        <v>44</v>
      </c>
      <c r="C45">
        <v>4000.0</v>
      </c>
      <c r="D45">
        <v>400.0</v>
      </c>
      <c r="E45">
        <v>182.0</v>
      </c>
      <c r="F45"/>
    </row>
    <row r="46" spans="1:10">
      <c r="B46" t="s">
        <v>111</v>
      </c>
      <c r="C46" s="81">
        <f>SUM(C44/C45)</f>
        <v>0.33007526921249</v>
      </c>
      <c r="D46" s="81">
        <f>SUM(D44/D45)</f>
        <v>6.2414232723816</v>
      </c>
      <c r="E46" s="81">
        <f>SUM(E44/E45)</f>
        <v>10.243544693392</v>
      </c>
      <c r="F46"/>
    </row>
    <row r="47" spans="1:10">
      <c r="B47" t="s">
        <v>112</v>
      </c>
      <c r="C47" s="88">
        <f>C46*3.7</f>
        <v>1.2212784960862</v>
      </c>
      <c r="D47" s="88">
        <f>D46*3.7</f>
        <v>23.093266107812</v>
      </c>
      <c r="E47" s="88">
        <f>E46*3.7</f>
        <v>37.901115365552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