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<sst xmlns="http://schemas.openxmlformats.org/spreadsheetml/2006/main" uniqueCount="121">
  <si>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PRO MUNDO COMEX S.A.C.</t>
  </si>
  <si>
    <t xml:space="preserve">         RUC: 20612452432</t>
  </si>
  <si>
    <t>COTIZACION N002</t>
  </si>
  <si>
    <t>NOMBRE:</t>
  </si>
  <si>
    <t>CARLOS ALBERTO HUARACHI SOSA</t>
  </si>
  <si>
    <t>SERVICIO:</t>
  </si>
  <si>
    <t>CARGA CONSOLIDADA</t>
  </si>
  <si>
    <t>N° CAJAS:</t>
  </si>
  <si>
    <t>APELLIDO:</t>
  </si>
  <si>
    <t>FECHA:</t>
  </si>
  <si>
    <t>PESO:</t>
  </si>
  <si>
    <t>1.109 Tn</t>
  </si>
  <si>
    <t>DNI/RUC:</t>
  </si>
  <si>
    <t>ORIGEN:</t>
  </si>
  <si>
    <t>CHINA</t>
  </si>
  <si>
    <t>MEDIDA:</t>
  </si>
  <si>
    <t>TELEFONO:</t>
  </si>
  <si>
    <t>51 956 032 494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</si>
  <si>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</si>
  <si>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</si>
  <si>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</si>
  <si>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</si>
  <si>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</si>
  <si>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</si>
  <si>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</si>
  <si>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</si>
  <si>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</si>
  <si>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</si>
  <si>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</si>
  <si>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</si>
  <si>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</si>
  <si>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</si>
  <si>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</si>
  <si>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</si>
  <si>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</si>
  <si>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</si>
  <si>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</si>
  <si>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</si>
  <si>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</si>
  <si>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</si>
  <si>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</si>
  <si>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</si>
  <si>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</si>
  <si>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</si>
  <si>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</si>
  <si>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</si>
  <si>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</si>
  <si>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</si>
  <si>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</si>
  <si>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MOTOR HIDRAULICO ORBITAL</t>
  </si>
  <si>
    <t>BOMBA DE ENGRANAJE EXTERNA</t>
  </si>
  <si>
    <t>BOMBA DE PALETAS</t>
  </si>
  <si>
    <t>CARTUCHO HIDRAULICO DE PALETAS</t>
  </si>
  <si>
    <t>VALVULA DE INVERSION MANUAL</t>
  </si>
  <si>
    <t>VALVULA NEUMÁTICA DE DISTRIBUCIÓN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</si>
  <si>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</si>
  <si>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</si>
  <si>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</si>
  <si>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</si>
  <si>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</si>
  <si>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</si>
  <si>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</si>
  <si>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</si>
  <si>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</si>
  <si>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</si>
  <si>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</si>
  <si>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</si>
  <si>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</si>
  <si>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</si>
  <si>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</si>
  <si>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</si>
  <si>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</si>
  <si>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</si>
  <si>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</si>
  <si>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</si>
  <si>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</si>
  <si>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</si>
  <si>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</si>
  <si>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</si>
  <si>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</si>
  <si>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</si>
  <si>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</si>
  <si>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</si>
  <si>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</si>
  <si>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</si>
  <si>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</si>
  <si>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</si>
  <si>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</si>
  <si>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</si>
  <si>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</si>
  <si>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</si>
  <si>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VALVULA DISTRIBUIDORA HIDRÁULICA</t>
  </si>
  <si>
    <t>Hola CARLOS ALBERTO HUARACHI SOSA 😁 un gusto saludarte!
        A continuación te envío la cotización final de tu importación📋📦.
        🙋‍♂️ PAGO PENDIENTE :
        ☑️Costo CBM: $528.66
        ☑️Impuestos: $1755.67
        ☑️ Total: $2284.33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</si>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</sst>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tn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50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86</xdr:row>
      <xdr:rowOff>104775</xdr:rowOff>
    </xdr:from>
    <xdr:to>
      <xdr:col>8</xdr:col>
      <xdr:colOff>504825</xdr:colOff>
      <xdr:row>104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2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42514606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'2'!J7</f>
        <v>1.29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'2'!J11</f>
        <v>7489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'2'!J14 + '2'!J17</f>
        <v>444.43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7933.43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MAX('2'!C27:H27)</f>
        <v>0</v>
      </c>
      <c r="K20" s="12">
        <f>'2'!J28</f>
        <v>0</v>
      </c>
      <c r="L20" s="7" t="s">
        <v>25</v>
      </c>
      <c r="M20" s="1"/>
      <c r="N20" t="s">
        <v>92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'2'!J29</f>
        <v>1269.3488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'2'!J30</f>
        <v>158.6686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1428.0174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'2'!J31</f>
        <v>327.650659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1755.668059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7489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'2'!N7, '2'!N7*J11)</f>
        <v>574.05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1755.668059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9818.718059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24</v>
      </c>
      <c r="G36" s="88">
        <f>'2'!C8</f>
        <v>64</v>
      </c>
      <c r="H36" s="89"/>
      <c r="I36" s="88">
        <f>'2'!C46</f>
        <v>83.909461313393</v>
      </c>
      <c r="J36" s="88">
        <f>'2'!C44</f>
        <v>2013.8270715214</v>
      </c>
      <c r="K36" s="87">
        <f>'2'!C47</f>
        <v>310.46500685955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10</v>
      </c>
      <c r="G37" s="88">
        <f>'2'!D8</f>
        <v>30</v>
      </c>
      <c r="H37" s="86"/>
      <c r="I37" s="90">
        <f>'2'!D46</f>
        <v>39.332559990653</v>
      </c>
      <c r="J37" s="88">
        <f>'2'!D44</f>
        <v>393.32559990653</v>
      </c>
      <c r="K37" s="87">
        <f>'2'!D47</f>
        <v>145.53047196542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12</v>
      </c>
      <c r="G38" s="88">
        <f>'2'!E8</f>
        <v>195.5</v>
      </c>
      <c r="H38" s="86"/>
      <c r="I38" s="90">
        <f>'2'!E46</f>
        <v>256.31718260576</v>
      </c>
      <c r="J38" s="88">
        <f>'2'!E44</f>
        <v>3075.8061912691</v>
      </c>
      <c r="K38" s="87">
        <f>'2'!E47</f>
        <v>948.37357564129</v>
      </c>
      <c r="L38" s="91"/>
      <c r="M38"/>
    </row>
    <row r="39" spans="1:14" customHeight="1" ht="15.75">
      <c r="A39"/>
      <c r="B39" s="92">
        <v>4</v>
      </c>
      <c r="C39" s="92" t="s">
        <v>52</v>
      </c>
      <c r="D39" s="92"/>
      <c r="E39" s="92"/>
      <c r="F39" s="92">
        <f>'2'!F10</f>
        <v>12</v>
      </c>
      <c r="G39" s="93">
        <f>'2'!F8</f>
        <v>108.75</v>
      </c>
      <c r="H39" s="94"/>
      <c r="I39" s="93">
        <f>'2'!F46</f>
        <v>142.58052996612</v>
      </c>
      <c r="J39" s="93">
        <f>'2'!F44</f>
        <v>1710.9663595934</v>
      </c>
      <c r="K39" s="95">
        <f>'2'!F47</f>
        <v>527.54796087463</v>
      </c>
      <c r="L39" s="96"/>
      <c r="M39"/>
    </row>
    <row r="40" spans="1:14" customHeight="1" ht="15.75">
      <c r="A40"/>
      <c r="B40" s="92">
        <v>5</v>
      </c>
      <c r="C40" s="92" t="s">
        <v>53</v>
      </c>
      <c r="D40" s="92"/>
      <c r="E40" s="92"/>
      <c r="F40" s="92">
        <f>'2'!G10</f>
        <v>24</v>
      </c>
      <c r="G40" s="93">
        <f>'2'!G8</f>
        <v>54.166666666667</v>
      </c>
      <c r="H40" s="94"/>
      <c r="I40" s="93">
        <f>'2'!G46</f>
        <v>71.017122205346</v>
      </c>
      <c r="J40" s="93">
        <f>'2'!G44</f>
        <v>1704.4109329283</v>
      </c>
      <c r="K40" s="95">
        <f>'2'!G47</f>
        <v>262.76335215978</v>
      </c>
      <c r="L40" s="96"/>
      <c r="M40"/>
    </row>
    <row r="41" spans="1:14" customHeight="1" ht="15.75">
      <c r="A41"/>
      <c r="B41" s="92">
        <v>6</v>
      </c>
      <c r="C41" s="92" t="s">
        <v>54</v>
      </c>
      <c r="D41" s="92"/>
      <c r="E41" s="92"/>
      <c r="F41" s="92">
        <f>'2'!H10</f>
        <v>12</v>
      </c>
      <c r="G41" s="93">
        <f>'2'!H8</f>
        <v>21</v>
      </c>
      <c r="H41" s="94"/>
      <c r="I41" s="93">
        <f>'2'!H46</f>
        <v>27.532791993457</v>
      </c>
      <c r="J41" s="93">
        <f>'2'!H44</f>
        <v>330.39350392148</v>
      </c>
      <c r="K41" s="95">
        <f>'2'!H47</f>
        <v>101.87133037579</v>
      </c>
      <c r="L41" s="96"/>
      <c r="M41"/>
    </row>
    <row r="42" spans="1:14" customHeight="1" ht="15.75">
      <c r="A42"/>
      <c r="B42" s="92">
        <v>7</v>
      </c>
      <c r="C42" s="92" t="s">
        <v>91</v>
      </c>
      <c r="D42" s="92"/>
      <c r="E42" s="92"/>
      <c r="F42" s="92">
        <f>'2'!I10</f>
        <v>12</v>
      </c>
      <c r="G42" s="93">
        <f>'2'!I8</f>
        <v>37.5</v>
      </c>
      <c r="H42" s="94"/>
      <c r="I42" s="93">
        <f>'2'!I46</f>
        <v>49.165699988316</v>
      </c>
      <c r="J42" s="93">
        <f>'2'!I44</f>
        <v>589.98839985979</v>
      </c>
      <c r="K42" s="95">
        <f>'2'!I47</f>
        <v>181.91308995677</v>
      </c>
      <c r="L42" s="96"/>
      <c r="M42"/>
    </row>
    <row r="43" spans="1:14">
      <c r="A43" s="1"/>
      <c r="B43" s="97" t="s">
        <v>36</v>
      </c>
      <c r="C43" s="5"/>
      <c r="D43" s="5"/>
      <c r="E43" s="5"/>
      <c r="F43" s="97">
        <f>SUM(F36:F42)</f>
        <v>106</v>
      </c>
      <c r="G43" s="5"/>
      <c r="H43" s="5"/>
      <c r="I43" s="5"/>
      <c r="J43" s="98">
        <f>SUM(J36:J42)</f>
        <v>9818.718059</v>
      </c>
      <c r="K43" s="29"/>
      <c r="L43" s="30"/>
      <c r="M43" s="1"/>
    </row>
    <row r="44" spans="1:14" customHeight="1" ht="18.75">
      <c r="B44" s="99" t="s">
        <v>90</v>
      </c>
      <c r="C44" s="5"/>
      <c r="D44" s="5"/>
      <c r="E44" s="5"/>
      <c r="F44" s="5"/>
      <c r="G44" s="5"/>
      <c r="H44" s="5"/>
      <c r="I44" s="5"/>
      <c r="J44" s="5"/>
      <c r="K44" s="5"/>
      <c r="L44"/>
      <c r="M44"/>
    </row>
    <row r="45" spans="1:14" customHeight="1" ht="18.75">
      <c r="B45" s="40" t="s">
        <v>89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88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 customHeight="1" ht="18.75">
      <c r="B48" s="40" t="s">
        <v>86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/>
    </row>
    <row r="49" spans="1:14" customHeight="1" ht="18.75">
      <c r="B49" s="40" t="s">
        <v>85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/>
    </row>
    <row r="50" spans="1:1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</row>
    <row r="51" spans="1:14" customHeight="1" ht="9">
      <c r="B51" s="38"/>
      <c r="C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4" customHeight="1" ht="31.9">
      <c r="B52" s="38"/>
      <c r="C52" s="38"/>
      <c r="D52" s="52" t="s">
        <v>0</v>
      </c>
      <c r="E52" s="52"/>
      <c r="F52" s="52"/>
      <c r="G52" s="52"/>
      <c r="H52" s="52"/>
      <c r="I52" s="52"/>
      <c r="J52" s="52"/>
      <c r="K52" s="52"/>
      <c r="L52" s="52"/>
      <c r="M52" s="52"/>
    </row>
    <row r="53" spans="1:14" customHeight="1" ht="21">
      <c r="B53" s="38"/>
      <c r="C53" s="38"/>
      <c r="D53" s="55" t="s">
        <v>84</v>
      </c>
      <c r="E53" s="55"/>
      <c r="F53" s="55"/>
      <c r="G53" s="55"/>
      <c r="H53" s="55"/>
      <c r="I53" s="55"/>
      <c r="M53"/>
    </row>
    <row r="54" spans="1:14">
      <c r="B54" s="38"/>
      <c r="C54" s="38"/>
      <c r="M54" s="1"/>
    </row>
    <row r="55" spans="1:14">
      <c r="B55" s="38"/>
      <c r="C55" s="38"/>
      <c r="M55" s="1"/>
    </row>
    <row r="56" spans="1:14" customHeight="1" ht="21">
      <c r="B56" s="47" t="s">
        <v>83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/>
    </row>
    <row r="57" spans="1:14">
      <c r="M57" s="1"/>
    </row>
    <row r="58" spans="1:14">
      <c r="B58" s="37" t="s">
        <v>82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1"/>
    </row>
    <row r="59" spans="1:14">
      <c r="B59" s="37" t="s">
        <v>81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9" t="s">
        <v>80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1"/>
    </row>
    <row r="61" spans="1:14">
      <c r="B61" s="37" t="s">
        <v>79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"/>
    </row>
    <row r="62" spans="1:14">
      <c r="B62" s="37" t="s">
        <v>78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9" t="s">
        <v>77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1"/>
    </row>
    <row r="64" spans="1:14">
      <c r="B64" s="37" t="s">
        <v>76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75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74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73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72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71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70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69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7" t="s">
        <v>67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7" t="s">
        <v>66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6" t="s">
        <v>65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"/>
    </row>
    <row r="76" spans="1:14">
      <c r="B76" s="37" t="s">
        <v>64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6" t="s">
        <v>63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1"/>
    </row>
    <row r="78" spans="1:14">
      <c r="B78" s="37" t="s">
        <v>62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61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60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B81" s="37" t="s">
        <v>59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B82" s="37" t="s">
        <v>58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A83" s="31"/>
      <c r="B83" s="45" t="s">
        <v>57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1"/>
    </row>
    <row r="84" spans="1:14">
      <c r="A84" s="31"/>
      <c r="B84" s="37" t="s">
        <v>56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1"/>
    </row>
    <row r="85" spans="1:14">
      <c r="A85" s="31"/>
      <c r="B85" s="45" t="s">
        <v>55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1"/>
    </row>
    <row r="86" spans="1:14"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>
      <c r="C92" s="38"/>
      <c r="D92" s="38"/>
      <c r="E92" s="38"/>
      <c r="F92" s="38"/>
      <c r="G92" s="38"/>
      <c r="H92" s="38"/>
      <c r="I92" s="38"/>
      <c r="M92" s="1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 customHeight="1" ht="15.6">
      <c r="C94" s="38"/>
      <c r="D94" s="38"/>
      <c r="E94" s="38"/>
      <c r="F94" s="38"/>
      <c r="G94" s="38"/>
      <c r="H94" s="38"/>
      <c r="I94" s="38"/>
      <c r="M94"/>
    </row>
    <row r="95" spans="1:14" customHeight="1" ht="15.6">
      <c r="C95" s="38"/>
      <c r="D95" s="38"/>
      <c r="E95" s="38"/>
      <c r="F95" s="38"/>
      <c r="G95" s="38"/>
      <c r="H95" s="38"/>
      <c r="I95" s="38"/>
      <c r="M95"/>
    </row>
    <row r="96" spans="1:14">
      <c r="C96" s="38"/>
      <c r="D96" s="38"/>
      <c r="E96" s="38"/>
      <c r="F96" s="38"/>
      <c r="G96" s="38"/>
      <c r="H96" s="38"/>
      <c r="I96" s="38"/>
      <c r="M96" s="1"/>
    </row>
    <row r="97" spans="1:14">
      <c r="M97" s="1"/>
    </row>
    <row r="98" spans="1:14">
      <c r="M98" s="1"/>
    </row>
    <row r="99" spans="1:14">
      <c r="M99" s="1"/>
    </row>
    <row r="100" spans="1:14">
      <c r="M100" s="1"/>
    </row>
    <row r="101" spans="1:14">
      <c r="M101" s="1"/>
    </row>
    <row r="102" spans="1:14" customHeight="1" ht="15.6">
      <c r="M102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7:I96"/>
    <mergeCell ref="A1:L1"/>
    <mergeCell ref="E2:L2"/>
    <mergeCell ref="D53:I53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8:L48"/>
    <mergeCell ref="B46:L46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6:L56"/>
    <mergeCell ref="B47:L47"/>
    <mergeCell ref="D52:J52"/>
    <mergeCell ref="K52:M52"/>
    <mergeCell ref="E51:M51"/>
    <mergeCell ref="K35:L35"/>
    <mergeCell ref="B82:L82"/>
    <mergeCell ref="B77:L77"/>
    <mergeCell ref="B78:L78"/>
    <mergeCell ref="B79:L79"/>
    <mergeCell ref="B80:L80"/>
    <mergeCell ref="B81:L81"/>
    <mergeCell ref="B85:L85"/>
    <mergeCell ref="B68:L68"/>
    <mergeCell ref="B69:L69"/>
    <mergeCell ref="B70:L70"/>
    <mergeCell ref="B61:L61"/>
    <mergeCell ref="B62:L62"/>
    <mergeCell ref="B63:L63"/>
    <mergeCell ref="B64:L64"/>
    <mergeCell ref="B65:L65"/>
    <mergeCell ref="B66:L66"/>
    <mergeCell ref="B67:L67"/>
    <mergeCell ref="B72:L72"/>
    <mergeCell ref="B73:L73"/>
    <mergeCell ref="B74:L74"/>
    <mergeCell ref="B84:L84"/>
    <mergeCell ref="B83:L83"/>
    <mergeCell ref="B75:L75"/>
    <mergeCell ref="B76:L76"/>
    <mergeCell ref="A7:C7"/>
    <mergeCell ref="I7:L7"/>
    <mergeCell ref="B60:L60"/>
    <mergeCell ref="B49:L49"/>
    <mergeCell ref="B45:L45"/>
    <mergeCell ref="B58:L58"/>
    <mergeCell ref="B71:L71"/>
    <mergeCell ref="B59:L59"/>
    <mergeCell ref="J11:L11"/>
    <mergeCell ref="B51:C55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0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7"/>
  <sheetViews>
    <sheetView tabSelected="0" workbookViewId="0" showGridLines="true" showRowColHeaders="1">
      <selection activeCell="J44" sqref="J44"/>
    </sheetView>
  </sheetViews>
  <sheetFormatPr defaultRowHeight="14.4" outlineLevelRow="0" outlineLevelCol="0"/>
  <cols>
    <col min="2" max="2" width="24.708" bestFit="true" customWidth="true" style="0"/>
    <col min="3" max="3" width="29.421" bestFit="true" customWidth="true" style="0"/>
    <col min="4" max="4" width="31.707" bestFit="true" customWidth="true" style="0"/>
    <col min="5" max="5" width="19.995" bestFit="true" customWidth="true" style="0"/>
    <col min="6" max="6" width="36.42" bestFit="true" customWidth="true" style="0"/>
    <col min="7" max="7" width="32.992" bestFit="true" customWidth="true" style="0"/>
    <col min="8" max="8" width="39.99" bestFit="true" customWidth="true" style="0"/>
    <col min="9" max="9" width="38.848" bestFit="true" customWidth="true" style="0"/>
    <col min="10" max="10" width="9.283" bestFit="true" customWidth="true" style="0"/>
  </cols>
  <sheetData>
    <row r="3" spans="1:14">
      <c r="B3" s="73" t="s">
        <v>93</v>
      </c>
      <c r="C3"/>
      <c r="D3"/>
      <c r="E3"/>
      <c r="F3"/>
      <c r="G3"/>
    </row>
    <row r="5" spans="1:14">
      <c r="B5" s="75" t="s">
        <v>94</v>
      </c>
      <c r="C5" s="74" t="s">
        <v>49</v>
      </c>
      <c r="D5" s="74" t="s">
        <v>50</v>
      </c>
      <c r="E5" s="74" t="s">
        <v>51</v>
      </c>
      <c r="F5" s="74" t="s">
        <v>52</v>
      </c>
      <c r="G5" s="74" t="s">
        <v>53</v>
      </c>
      <c r="H5" s="74" t="s">
        <v>54</v>
      </c>
      <c r="I5" s="74" t="s">
        <v>91</v>
      </c>
      <c r="J5" s="74" t="s">
        <v>111</v>
      </c>
    </row>
    <row r="6" spans="1:14">
      <c r="B6" t="s">
        <v>95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80">
        <v>1.11</v>
      </c>
      <c r="M6" s="78" t="s">
        <v>109</v>
      </c>
      <c r="N6" s="78" t="s">
        <v>110</v>
      </c>
    </row>
    <row r="7" spans="1:14"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81">
        <v>1.29</v>
      </c>
      <c r="M7" s="79" t="s">
        <v>19</v>
      </c>
      <c r="N7" s="79">
        <v>445.0</v>
      </c>
    </row>
    <row r="8" spans="1:14">
      <c r="B8" t="s">
        <v>97</v>
      </c>
      <c r="C8" s="77">
        <v>64.0</v>
      </c>
      <c r="D8" s="77">
        <v>30.0</v>
      </c>
      <c r="E8" s="77">
        <v>195.5</v>
      </c>
      <c r="F8" s="77">
        <v>108.75</v>
      </c>
      <c r="G8" s="77">
        <v>54.166666666667</v>
      </c>
      <c r="H8" s="77">
        <v>21.0</v>
      </c>
      <c r="I8" s="77">
        <v>37.5</v>
      </c>
      <c r="J8"/>
    </row>
    <row r="9" spans="1:14">
      <c r="B9" s="76" t="s">
        <v>98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 s="77">
        <v>0.0</v>
      </c>
      <c r="I9" s="77">
        <v>0.0</v>
      </c>
      <c r="J9"/>
    </row>
    <row r="10" spans="1:14">
      <c r="B10" t="s">
        <v>99</v>
      </c>
      <c r="C10">
        <v>24.0</v>
      </c>
      <c r="D10">
        <v>10.0</v>
      </c>
      <c r="E10">
        <v>12.0</v>
      </c>
      <c r="F10">
        <v>12.0</v>
      </c>
      <c r="G10">
        <v>24.0</v>
      </c>
      <c r="H10">
        <v>12.0</v>
      </c>
      <c r="I10">
        <v>12.0</v>
      </c>
      <c r="J10">
        <f>SUM(C10:I10)</f>
        <v>106</v>
      </c>
    </row>
    <row r="11" spans="1:14">
      <c r="B11" t="s">
        <v>100</v>
      </c>
      <c r="C11" s="77">
        <f>C8*C10</f>
        <v>1536</v>
      </c>
      <c r="D11" s="77">
        <f>D8*D10</f>
        <v>300</v>
      </c>
      <c r="E11" s="77">
        <f>E8*E10</f>
        <v>2346</v>
      </c>
      <c r="F11" s="77">
        <f>F8*F10</f>
        <v>1305</v>
      </c>
      <c r="G11" s="77">
        <f>G8*G10</f>
        <v>1300</v>
      </c>
      <c r="H11" s="77">
        <f>H8*H10</f>
        <v>252</v>
      </c>
      <c r="I11" s="77">
        <f>I8*I10</f>
        <v>450</v>
      </c>
      <c r="J11" s="85">
        <f>SUM(C11:I11)</f>
        <v>7489</v>
      </c>
    </row>
    <row r="12" spans="1:14">
      <c r="B12" s="76" t="s">
        <v>101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77">
        <f>H10*H9</f>
        <v>0</v>
      </c>
      <c r="I12" s="77">
        <f>I10*I9</f>
        <v>0</v>
      </c>
      <c r="J12" s="85">
        <f>SUM(C12:I12)</f>
        <v>0</v>
      </c>
    </row>
    <row r="13" spans="1:14">
      <c r="B13" t="s">
        <v>102</v>
      </c>
      <c r="C13" s="82">
        <f>C11/J11</f>
        <v>0.20510081452797</v>
      </c>
      <c r="D13" s="82">
        <f>D11/J11</f>
        <v>0.040058752837495</v>
      </c>
      <c r="E13" s="82">
        <f>E11/J11</f>
        <v>0.31325944718921</v>
      </c>
      <c r="F13" s="82">
        <f>F11/J11</f>
        <v>0.1742555748431</v>
      </c>
      <c r="G13" s="82">
        <f>G11/J11</f>
        <v>0.17358792896248</v>
      </c>
      <c r="H13" s="82">
        <f>H11/J11</f>
        <v>0.033649352383496</v>
      </c>
      <c r="I13" s="82">
        <f>I11/J11</f>
        <v>0.060088129256242</v>
      </c>
      <c r="J13"/>
    </row>
    <row r="14" spans="1:14">
      <c r="B14" t="s">
        <v>103</v>
      </c>
      <c r="C14" s="77">
        <f>J14*C13</f>
        <v>70.64287354787</v>
      </c>
      <c r="D14" s="77">
        <f>J14*D13</f>
        <v>13.797436239818</v>
      </c>
      <c r="E14" s="77">
        <f>J14*E13</f>
        <v>107.89595139538</v>
      </c>
      <c r="F14" s="77">
        <f>J14*F13</f>
        <v>60.01884764321</v>
      </c>
      <c r="G14" s="77">
        <f>J14*G13</f>
        <v>59.788890372547</v>
      </c>
      <c r="H14" s="77">
        <f>J14*H13</f>
        <v>11.589846441447</v>
      </c>
      <c r="I14" s="77">
        <f>J14*I13</f>
        <v>20.696154359728</v>
      </c>
      <c r="J14" s="85">
        <f>IF(J7&lt;1, N7*0.6, N7*0.6*J7)</f>
        <v>344.43</v>
      </c>
    </row>
    <row r="15" spans="1:14">
      <c r="B15" t="s">
        <v>104</v>
      </c>
      <c r="C15" s="77">
        <f>C11+C14</f>
        <v>1606.6428735479</v>
      </c>
      <c r="D15" s="77">
        <f>D11+D14</f>
        <v>313.79743623982</v>
      </c>
      <c r="E15" s="77">
        <f>E11+E14</f>
        <v>2453.8959513954</v>
      </c>
      <c r="F15" s="77">
        <f>F11+F14</f>
        <v>1365.0188476432</v>
      </c>
      <c r="G15" s="77">
        <f>G11+G14</f>
        <v>1359.7888903726</v>
      </c>
      <c r="H15" s="77">
        <f>H11+H14</f>
        <v>263.58984644145</v>
      </c>
      <c r="I15" s="77">
        <f>I11+I14</f>
        <v>470.69615435973</v>
      </c>
      <c r="J15" s="85">
        <f>SUM(C15:I15)</f>
        <v>7833.43</v>
      </c>
    </row>
    <row r="16" spans="1:14">
      <c r="B16" s="76" t="s">
        <v>105</v>
      </c>
      <c r="C16" s="77">
        <f>C12+C14</f>
        <v>70.64287354787</v>
      </c>
      <c r="D16" s="77">
        <f>D12+D14</f>
        <v>13.797436239818</v>
      </c>
      <c r="E16" s="77">
        <f>E12+E14</f>
        <v>107.89595139538</v>
      </c>
      <c r="F16" s="77">
        <f>F12+F14</f>
        <v>60.01884764321</v>
      </c>
      <c r="G16" s="77">
        <f>G12+G14</f>
        <v>59.788890372547</v>
      </c>
      <c r="H16" s="77">
        <f>H12+H14</f>
        <v>11.589846441447</v>
      </c>
      <c r="I16" s="77">
        <f>I12+I14</f>
        <v>20.696154359728</v>
      </c>
      <c r="J16" s="85">
        <f>SUM(C16:I16)</f>
        <v>344.43</v>
      </c>
    </row>
    <row r="17" spans="1:14">
      <c r="B17" t="s">
        <v>106</v>
      </c>
      <c r="C17" s="77">
        <f>IF(J11&gt;5000,100*C13,50*C13)</f>
        <v>20.510081452797</v>
      </c>
      <c r="D17" s="77">
        <f>IF(J11&gt;5000,100*D13,50*D13)</f>
        <v>4.0058752837495</v>
      </c>
      <c r="E17" s="77">
        <f>IF(J11&gt;5000,100*E13,50*E13)</f>
        <v>31.325944718921</v>
      </c>
      <c r="F17" s="77">
        <f>IF(J11&gt;5000,100*F13,50*F13)</f>
        <v>17.42555748431</v>
      </c>
      <c r="G17" s="77">
        <f>IF(J11&gt;5000,100*G13,50*G13)</f>
        <v>17.358792896248</v>
      </c>
      <c r="H17" s="77">
        <f>IF(J11&gt;5000,100*H13,50*H13)</f>
        <v>3.3649352383496</v>
      </c>
      <c r="I17" s="77">
        <f>IF(J11&gt;5000,100*I13,50*I13)</f>
        <v>6.0088129256242</v>
      </c>
      <c r="J17" s="85">
        <f>SUM(C17:I17)</f>
        <v>100</v>
      </c>
    </row>
    <row r="18" spans="1:14">
      <c r="B18" t="s">
        <v>107</v>
      </c>
      <c r="C18" s="77">
        <f>C15+C17</f>
        <v>1627.1529550007</v>
      </c>
      <c r="D18" s="77">
        <f>D15+D17</f>
        <v>317.80331152357</v>
      </c>
      <c r="E18" s="77">
        <f>E15+E17</f>
        <v>2485.2218961143</v>
      </c>
      <c r="F18" s="77">
        <f>F15+F17</f>
        <v>1382.4444051275</v>
      </c>
      <c r="G18" s="77">
        <f>G15+G17</f>
        <v>1377.1476832688</v>
      </c>
      <c r="H18" s="77">
        <f>H15+H17</f>
        <v>266.9547816798</v>
      </c>
      <c r="I18" s="77">
        <f>I15+I17</f>
        <v>476.70496728535</v>
      </c>
      <c r="J18" s="85">
        <f>SUM(C18:I18)</f>
        <v>7933.43</v>
      </c>
    </row>
    <row r="19" spans="1:14">
      <c r="B19" s="76" t="s">
        <v>108</v>
      </c>
      <c r="C19" s="77">
        <f>C16+C17</f>
        <v>91.152955000668</v>
      </c>
      <c r="D19" s="77">
        <f>D16+D17</f>
        <v>17.803311523568</v>
      </c>
      <c r="E19" s="77">
        <f>E16+E17</f>
        <v>139.2218961143</v>
      </c>
      <c r="F19" s="77">
        <f>F16+F17</f>
        <v>77.44440512752</v>
      </c>
      <c r="G19" s="77">
        <f>G16+G17</f>
        <v>77.147683268795</v>
      </c>
      <c r="H19" s="77">
        <f>H16+H17</f>
        <v>14.954781679797</v>
      </c>
      <c r="I19" s="77">
        <f>I16+I17</f>
        <v>26.704967285352</v>
      </c>
      <c r="J19" s="85">
        <f>SUM(C19:I19)</f>
        <v>444.43</v>
      </c>
    </row>
    <row r="23" spans="1:14">
      <c r="B23" s="73" t="s">
        <v>118</v>
      </c>
      <c r="C23"/>
      <c r="D23"/>
      <c r="E23"/>
    </row>
    <row r="26" spans="1:14">
      <c r="B26" t="s">
        <v>119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f>SUM(C26:I26)</f>
        <v>0</v>
      </c>
    </row>
    <row r="27" spans="1:14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3">
        <v>0.0</v>
      </c>
      <c r="I27" s="83">
        <v>0.0</v>
      </c>
      <c r="J27" s="82">
        <f>SUM(C27:I27)</f>
        <v>0</v>
      </c>
    </row>
    <row r="28" spans="1:14">
      <c r="B28" t="s">
        <v>112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MAX(H19,H18)*H27</f>
        <v>0</v>
      </c>
      <c r="I28" s="77">
        <f>MAX(I19,I18)*I27</f>
        <v>0</v>
      </c>
      <c r="J28" s="77">
        <f>SUM(C28:I28)</f>
        <v>0</v>
      </c>
    </row>
    <row r="29" spans="1:14">
      <c r="B29" t="s">
        <v>31</v>
      </c>
      <c r="C29" s="77">
        <f>0.16*(MAX(C19,C18)+C28)</f>
        <v>260.34447280011</v>
      </c>
      <c r="D29" s="77">
        <f>0.16*(MAX(D19,D18)+D28)</f>
        <v>50.848529843771</v>
      </c>
      <c r="E29" s="77">
        <f>0.16*(MAX(E19,E18)+E28)</f>
        <v>397.63550337829</v>
      </c>
      <c r="F29" s="77">
        <f>0.16*(MAX(F19,F18)+F28)</f>
        <v>221.1911048204</v>
      </c>
      <c r="G29" s="77">
        <f>0.16*(MAX(G19,G18)+G28)</f>
        <v>220.34362932301</v>
      </c>
      <c r="H29" s="77">
        <f>0.16*(MAX(H19,H18)+H28)</f>
        <v>42.712765068768</v>
      </c>
      <c r="I29" s="77">
        <f>0.16*(MAX(I19,I18)+I28)</f>
        <v>76.272794765656</v>
      </c>
      <c r="J29" s="77">
        <f>SUM(C29:I29)</f>
        <v>1269.3488</v>
      </c>
    </row>
    <row r="30" spans="1:14">
      <c r="B30" t="s">
        <v>32</v>
      </c>
      <c r="C30" s="77">
        <f>0.02*(MAX(C19,C18)+C28)</f>
        <v>32.543059100013</v>
      </c>
      <c r="D30" s="77">
        <f>0.02*(MAX(D19,D18)+D28)</f>
        <v>6.3560662304714</v>
      </c>
      <c r="E30" s="77">
        <f>0.02*(MAX(E19,E18)+E28)</f>
        <v>49.704437922286</v>
      </c>
      <c r="F30" s="77">
        <f>0.02*(MAX(F19,F18)+F28)</f>
        <v>27.64888810255</v>
      </c>
      <c r="G30" s="77">
        <f>0.02*(MAX(G19,G18)+G28)</f>
        <v>27.542953665376</v>
      </c>
      <c r="H30" s="77">
        <f>0.02*(MAX(H19,H18)+H28)</f>
        <v>5.3390956335959</v>
      </c>
      <c r="I30" s="77">
        <f>0.02*(MAX(I19,I18)+I28)</f>
        <v>9.534099345707</v>
      </c>
      <c r="J30" s="77">
        <f>SUM(C30:I30)</f>
        <v>158.6686</v>
      </c>
    </row>
    <row r="31" spans="1:14">
      <c r="B31" t="s">
        <v>113</v>
      </c>
      <c r="C31" s="77">
        <f>0.035*(MAX(C18,C19) +C28+C29+C30)</f>
        <v>67.201417041528</v>
      </c>
      <c r="D31" s="77">
        <f>0.035*(MAX(D18,D19) +D28+D29+D30)</f>
        <v>13.125276765923</v>
      </c>
      <c r="E31" s="77">
        <f>0.035*(MAX(E18,E19) +E28+E29+E30)</f>
        <v>102.63966430952</v>
      </c>
      <c r="F31" s="77">
        <f>0.035*(MAX(F18,F19) +F28+F29+F30)</f>
        <v>57.094953931767</v>
      </c>
      <c r="G31" s="77">
        <f>0.035*(MAX(G18,G19) +G28+G29+G30)</f>
        <v>56.876199319002</v>
      </c>
      <c r="H31" s="77">
        <f>0.035*(MAX(H18,H19) +H28+H29+H30)</f>
        <v>11.025232483376</v>
      </c>
      <c r="I31" s="77">
        <f>0.035*(MAX(I18,I19) +I28+I29+I30)</f>
        <v>19.687915148885</v>
      </c>
      <c r="J31" s="77">
        <f>SUM(C31:I31)</f>
        <v>327.650659</v>
      </c>
    </row>
    <row r="32" spans="1:14">
      <c r="B32" t="s">
        <v>36</v>
      </c>
      <c r="C32" s="77">
        <f>SUM(C28:C31)</f>
        <v>360.08894894165</v>
      </c>
      <c r="D32" s="77">
        <f>SUM(D28:D31)</f>
        <v>70.329872840166</v>
      </c>
      <c r="E32" s="77">
        <f>SUM(E28:E31)</f>
        <v>549.97960561009</v>
      </c>
      <c r="F32" s="77">
        <f>SUM(F28:F31)</f>
        <v>305.93494685472</v>
      </c>
      <c r="G32" s="77">
        <f>SUM(G28:G31)</f>
        <v>304.76278230739</v>
      </c>
      <c r="H32" s="77">
        <f>SUM(H28:H31)</f>
        <v>59.077093185739</v>
      </c>
      <c r="I32" s="77">
        <f>SUM(I28:I31)</f>
        <v>105.49480926025</v>
      </c>
      <c r="J32" s="77">
        <f>SUM(J28:J31)</f>
        <v>1755.668059</v>
      </c>
    </row>
    <row r="37" spans="1:14">
      <c r="B37" s="73" t="s">
        <v>120</v>
      </c>
      <c r="C37"/>
      <c r="D37"/>
      <c r="E37"/>
    </row>
    <row r="40" spans="1:14">
      <c r="B40" t="s">
        <v>114</v>
      </c>
      <c r="C40" s="77">
        <f>C13*J40</f>
        <v>47.095249031913</v>
      </c>
      <c r="D40" s="77">
        <f>D13*J40</f>
        <v>9.1982908265456</v>
      </c>
      <c r="E40" s="77">
        <f>E13*J40</f>
        <v>71.930634263587</v>
      </c>
      <c r="F40" s="77">
        <f>F13*J40</f>
        <v>40.012565095473</v>
      </c>
      <c r="G40" s="77">
        <f>G13*J40</f>
        <v>39.859260248364</v>
      </c>
      <c r="H40" s="77">
        <f>H13*J40</f>
        <v>7.7265642942983</v>
      </c>
      <c r="I40" s="77">
        <f>I13*J40</f>
        <v>13.797436239818</v>
      </c>
      <c r="J40" s="77">
        <f>IF(J7&lt;1, N7*0.4,N7*0.4*J7)</f>
        <v>229.62</v>
      </c>
    </row>
    <row r="41" spans="1:14">
      <c r="B41"/>
    </row>
    <row r="43" spans="1:14">
      <c r="B43" t="s">
        <v>114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91</v>
      </c>
      <c r="J43" t="s">
        <v>111</v>
      </c>
    </row>
    <row r="44" spans="1:14">
      <c r="B44" t="s">
        <v>115</v>
      </c>
      <c r="C44" s="77">
        <f>SUM(C15,C40,C32,(C26))</f>
        <v>2013.8270715214</v>
      </c>
      <c r="D44" s="77">
        <f>SUM(D15,D40,D32,(D26))</f>
        <v>393.32559990653</v>
      </c>
      <c r="E44" s="77">
        <f>SUM(E15,E40,E32,(E26))</f>
        <v>3075.8061912691</v>
      </c>
      <c r="F44" s="77">
        <f>SUM(F15,F40,F32,(F26))</f>
        <v>1710.9663595934</v>
      </c>
      <c r="G44" s="77">
        <f>SUM(G15,G40,G32,(G26))</f>
        <v>1704.4109329283</v>
      </c>
      <c r="H44" s="77">
        <f>SUM(H15,H40,H32,(H26))</f>
        <v>330.39350392148</v>
      </c>
      <c r="I44" s="77">
        <f>SUM(I15,I40,I32,(I26))</f>
        <v>589.98839985979</v>
      </c>
      <c r="J44" s="77">
        <f>SUM(C44:I44)</f>
        <v>9818.718059</v>
      </c>
    </row>
    <row r="45" spans="1:14">
      <c r="B45" t="s">
        <v>45</v>
      </c>
      <c r="C45">
        <v>24.0</v>
      </c>
      <c r="D45">
        <v>10.0</v>
      </c>
      <c r="E45">
        <v>12.0</v>
      </c>
      <c r="F45">
        <v>12.0</v>
      </c>
      <c r="G45">
        <v>24.0</v>
      </c>
      <c r="H45">
        <v>12.0</v>
      </c>
      <c r="I45">
        <v>12.0</v>
      </c>
      <c r="J45"/>
    </row>
    <row r="46" spans="1:14">
      <c r="B46" t="s">
        <v>116</v>
      </c>
      <c r="C46" s="77">
        <f>SUM(C44/C45)</f>
        <v>83.909461313393</v>
      </c>
      <c r="D46" s="77">
        <f>SUM(D44/D45)</f>
        <v>39.332559990653</v>
      </c>
      <c r="E46" s="77">
        <f>SUM(E44/E45)</f>
        <v>256.31718260576</v>
      </c>
      <c r="F46" s="77">
        <f>SUM(F44/F45)</f>
        <v>142.58052996612</v>
      </c>
      <c r="G46" s="77">
        <f>SUM(G44/G45)</f>
        <v>71.017122205346</v>
      </c>
      <c r="H46" s="77">
        <f>SUM(H44/H45)</f>
        <v>27.532791993457</v>
      </c>
      <c r="I46" s="77">
        <f>SUM(I44/I45)</f>
        <v>49.165699988316</v>
      </c>
      <c r="J46"/>
    </row>
    <row r="47" spans="1:14">
      <c r="B47" t="s">
        <v>117</v>
      </c>
      <c r="C47" s="84">
        <f>C46*3.7</f>
        <v>310.46500685955</v>
      </c>
      <c r="D47" s="84">
        <f>D46*3.7</f>
        <v>145.53047196542</v>
      </c>
      <c r="E47" s="84">
        <f>E46*3.7</f>
        <v>948.37357564129</v>
      </c>
      <c r="F47" s="84">
        <f>F46*3.7</f>
        <v>527.54796087463</v>
      </c>
      <c r="G47" s="84">
        <f>G46*3.7</f>
        <v>262.76335215978</v>
      </c>
      <c r="H47" s="84">
        <f>H46*3.7</f>
        <v>101.87133037579</v>
      </c>
      <c r="I47" s="84">
        <f>I46*3.7</f>
        <v>181.91308995677</v>
      </c>
      <c r="J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