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<sst xmlns="http://schemas.openxmlformats.org/spreadsheetml/2006/main" uniqueCount="115">
  <si>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PRO MUNDO COMEX S.A.C.</t>
  </si>
  <si>
    <t xml:space="preserve">         RUC: 20612452432</t>
  </si>
  <si>
    <t>COTIZACION N002</t>
  </si>
  <si>
    <t>NOMBRE:</t>
  </si>
  <si>
    <t>FRESIA CONSUELO HERHUAY NEYRA</t>
  </si>
  <si>
    <t>SERVICIO:</t>
  </si>
  <si>
    <t>CARGA CONSOLIDADA</t>
  </si>
  <si>
    <t>N° CAJAS:</t>
  </si>
  <si>
    <t>APELLIDO:</t>
  </si>
  <si>
    <t>FECHA:</t>
  </si>
  <si>
    <t>PESO:</t>
  </si>
  <si>
    <t>0 Kg</t>
  </si>
  <si>
    <t>DNI/RUC:</t>
  </si>
  <si>
    <t>ORIGEN:</t>
  </si>
  <si>
    <t>CHINA</t>
  </si>
  <si>
    <t>MEDIDA:</t>
  </si>
  <si>
    <t>TELEFONO:</t>
  </si>
  <si>
    <t>51 998889686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</si>
  <si>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</si>
  <si>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</si>
  <si>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</si>
  <si>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</si>
  <si>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</si>
  <si>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</si>
  <si>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</si>
  <si>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</si>
  <si>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</si>
  <si>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</si>
  <si>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</si>
  <si>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</si>
  <si>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</si>
  <si>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</si>
  <si>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</si>
  <si>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</si>
  <si>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</si>
  <si>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</si>
  <si>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</si>
  <si>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</si>
  <si>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</si>
  <si>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</si>
  <si>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</si>
  <si>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</si>
  <si>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</si>
  <si>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</si>
  <si>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</si>
  <si>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</si>
  <si>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</si>
  <si>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</si>
  <si>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</si>
  <si>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CORSET PARA DAMA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</si>
  <si>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</si>
  <si>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</si>
  <si>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</si>
  <si>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</si>
  <si>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</si>
  <si>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</si>
  <si>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</si>
  <si>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</si>
  <si>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</si>
  <si>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</si>
  <si>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</si>
  <si>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</si>
  <si>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</si>
  <si>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</si>
  <si>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</si>
  <si>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</si>
  <si>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</si>
  <si>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</si>
  <si>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</si>
  <si>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</si>
  <si>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</si>
  <si>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</si>
  <si>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</si>
  <si>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</si>
  <si>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</si>
  <si>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</si>
  <si>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</si>
  <si>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</si>
  <si>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</si>
  <si>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</si>
  <si>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</si>
  <si>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</si>
  <si>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</si>
  <si>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</si>
  <si>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</si>
  <si>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</si>
  <si>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FRESIA CONSUELO HERHUAY NEYRA 😁 un gusto saludarte!
        A continuación te envío la cotización final de tu importación📋📦.
        🙋‍♂️ PAGO PENDIENTE :
        ☑️Costo CBM: $415.8
        ☑️Impuestos: $2461.85
        ☑️ Total: $2877.65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</si>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</sst>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2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  <numFmt numFmtId="175" formatCode="_-[$$-409]* #,##0.0_ ;_-[$$-409]* \-#,##0.0\ ;_-[$$-409]* &quot;-&quot;??_ ;_-@_ 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9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1" applyBorder="0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3" borderId="9" applyFont="1" applyNumberFormat="0" applyFill="1" applyBorder="1" applyAlignment="1">
      <alignment horizontal="center" vertical="bottom" textRotation="0" wrapText="false" shrinkToFit="false"/>
    </xf>
    <xf xfId="0" fontId="14" numFmtId="0" fillId="3" borderId="6" applyFont="1" applyNumberFormat="0" applyFill="1" applyBorder="1" applyAlignment="1">
      <alignment horizontal="center" vertical="bottom" textRotation="0" wrapText="false" shrinkToFit="false"/>
    </xf>
    <xf xfId="0" fontId="14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5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7" numFmtId="173" fillId="2" borderId="1" applyFont="1" applyNumberFormat="1" applyFill="1" applyBorder="1" applyAlignment="1">
      <alignment horizontal="center" vertical="bottom" textRotation="0" wrapText="false" shrinkToFit="false"/>
    </xf>
    <xf xfId="0" fontId="17" numFmtId="174" fillId="2" borderId="1" applyFont="1" applyNumberFormat="1" applyFill="1" applyBorder="1" applyAlignment="1">
      <alignment horizontal="center" vertical="bottom" textRotation="0" wrapText="false" shrinkToFit="false"/>
    </xf>
    <xf xfId="0" fontId="5" numFmtId="170" fillId="2" borderId="7" applyFont="1" applyNumberFormat="1" applyFill="1" applyBorder="1" applyAlignment="1">
      <alignment horizontal="center" vertical="bottom" textRotation="0" wrapText="false" shrinkToFit="false"/>
    </xf>
    <xf xfId="0" fontId="5" numFmtId="175" fillId="2" borderId="0" applyFont="1" applyNumberFormat="1" applyFill="1" applyBorder="0" applyAlignment="0"/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4" customHeight="1" ht="18">
      <c r="B2" s="41"/>
      <c r="C2" s="41"/>
      <c r="E2" s="52"/>
      <c r="F2" s="52"/>
      <c r="G2" s="52"/>
      <c r="H2" s="52"/>
      <c r="I2" s="52"/>
      <c r="J2" s="52"/>
      <c r="K2" s="52"/>
      <c r="L2" s="52"/>
    </row>
    <row r="3" spans="1:14" customHeight="1" ht="26.25">
      <c r="B3" s="41"/>
      <c r="C3" s="41"/>
      <c r="E3" s="59" t="s">
        <v>0</v>
      </c>
      <c r="F3" s="59"/>
      <c r="G3" s="59"/>
      <c r="H3" s="59"/>
      <c r="I3" s="59"/>
      <c r="J3" s="59"/>
    </row>
    <row r="4" spans="1:14" customHeight="1" ht="26.25">
      <c r="B4" s="41"/>
      <c r="C4" s="41"/>
      <c r="E4" s="60" t="s">
        <v>1</v>
      </c>
      <c r="F4" s="60"/>
      <c r="G4" s="60"/>
      <c r="H4" s="60"/>
      <c r="I4" s="60"/>
      <c r="J4" s="60"/>
      <c r="K4" s="11"/>
    </row>
    <row r="5" spans="1:14">
      <c r="B5" s="41"/>
      <c r="C5" s="41"/>
      <c r="D5" s="38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68" t="s">
        <v>2</v>
      </c>
      <c r="F7" s="68"/>
      <c r="G7" s="68"/>
      <c r="I7" s="41"/>
      <c r="J7" s="41"/>
      <c r="K7" s="41"/>
      <c r="L7" s="41"/>
    </row>
    <row r="8" spans="1:14">
      <c r="B8" s="6" t="s">
        <v>3</v>
      </c>
      <c r="C8" s="98" t="s">
        <v>4</v>
      </c>
      <c r="D8" s="36"/>
      <c r="E8" s="21" t="s">
        <v>5</v>
      </c>
      <c r="F8" s="72" t="s">
        <v>6</v>
      </c>
      <c r="G8" s="73"/>
      <c r="H8" s="35"/>
      <c r="I8" s="1" t="s">
        <v>7</v>
      </c>
      <c r="J8" s="64">
        <f>+'2'!F7</f>
        <v>0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69">
        <f>+TODAY()</f>
        <v>45944</v>
      </c>
      <c r="G9" s="70"/>
      <c r="H9" s="35"/>
      <c r="I9" s="1" t="s">
        <v>10</v>
      </c>
      <c r="J9" s="97" t="s">
        <v>11</v>
      </c>
      <c r="K9" s="67"/>
      <c r="L9" s="67"/>
    </row>
    <row r="10" spans="1:14">
      <c r="B10" s="6" t="s">
        <v>12</v>
      </c>
      <c r="C10" s="15">
        <v>46741542</v>
      </c>
      <c r="D10" s="36"/>
      <c r="E10" s="26" t="s">
        <v>13</v>
      </c>
      <c r="F10" s="52" t="s">
        <v>14</v>
      </c>
      <c r="G10" s="71"/>
      <c r="H10" s="35"/>
      <c r="I10" s="1" t="s">
        <v>15</v>
      </c>
      <c r="J10" s="65"/>
      <c r="K10" s="97"/>
      <c r="L10" s="65"/>
    </row>
    <row r="11" spans="1:14">
      <c r="B11" s="6" t="s">
        <v>16</v>
      </c>
      <c r="C11" s="16" t="s">
        <v>17</v>
      </c>
      <c r="D11" s="37"/>
      <c r="E11" s="23" t="s">
        <v>18</v>
      </c>
      <c r="F11" s="54" t="s">
        <v>19</v>
      </c>
      <c r="G11" s="66"/>
      <c r="H11" s="35"/>
      <c r="I11" s="1" t="s">
        <v>20</v>
      </c>
      <c r="J11" s="96">
        <f>'2'!D7</f>
        <v>2.21</v>
      </c>
      <c r="K11" s="47"/>
      <c r="L11" s="47"/>
    </row>
    <row r="12" spans="1:14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4">
      <c r="B13" s="56" t="s">
        <v>21</v>
      </c>
      <c r="C13" s="56"/>
      <c r="D13" s="56"/>
      <c r="E13" s="56"/>
      <c r="F13" s="56"/>
      <c r="G13" s="56"/>
      <c r="H13" s="56"/>
      <c r="I13" s="56"/>
      <c r="J13" s="56"/>
      <c r="K13" s="8" t="s">
        <v>22</v>
      </c>
      <c r="L13" s="8" t="s">
        <v>23</v>
      </c>
    </row>
    <row r="14" spans="1:14">
      <c r="B14" s="39" t="s">
        <v>24</v>
      </c>
      <c r="C14" s="39"/>
      <c r="D14" s="39"/>
      <c r="E14" s="39"/>
      <c r="F14" s="39"/>
      <c r="G14" s="39"/>
      <c r="H14" s="39"/>
      <c r="I14" s="39"/>
      <c r="J14" s="39"/>
      <c r="K14" s="13">
        <f>'2'!D11</f>
        <v>10560.4099938</v>
      </c>
      <c r="L14" s="7" t="s">
        <v>25</v>
      </c>
    </row>
    <row r="15" spans="1:14">
      <c r="B15" s="57" t="s">
        <v>26</v>
      </c>
      <c r="C15" s="57"/>
      <c r="D15" s="57"/>
      <c r="E15" s="57"/>
      <c r="F15" s="57"/>
      <c r="G15" s="57"/>
      <c r="H15" s="57"/>
      <c r="I15" s="57"/>
      <c r="J15" s="57"/>
      <c r="K15" s="14">
        <f>'2'!D14 + '2'!D17</f>
        <v>564.1</v>
      </c>
      <c r="L15" s="10" t="s">
        <v>25</v>
      </c>
    </row>
    <row r="16" spans="1:14">
      <c r="B16" s="53" t="s">
        <v>27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11124.5099938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9" t="s">
        <v>28</v>
      </c>
      <c r="C19" s="49"/>
      <c r="D19" s="49"/>
      <c r="E19" s="49"/>
      <c r="F19" s="49"/>
      <c r="G19" s="17"/>
      <c r="H19" s="17"/>
      <c r="I19" s="17"/>
      <c r="J19" s="8" t="s">
        <v>29</v>
      </c>
      <c r="K19" s="8" t="s">
        <v>22</v>
      </c>
      <c r="L19" s="8" t="s">
        <v>23</v>
      </c>
    </row>
    <row r="20" spans="1:14">
      <c r="B20" s="42" t="s">
        <v>30</v>
      </c>
      <c r="C20" s="42"/>
      <c r="D20" s="42"/>
      <c r="E20" s="42"/>
      <c r="F20" s="42"/>
      <c r="G20" s="42"/>
      <c r="H20" s="42"/>
      <c r="I20" s="42"/>
      <c r="J20" s="19">
        <f>MAX('2'!C27:B27)</f>
        <v>0</v>
      </c>
      <c r="K20" s="13">
        <f>'2'!D28</f>
        <v>0</v>
      </c>
      <c r="L20" s="7" t="s">
        <v>25</v>
      </c>
      <c r="N20" t="s">
        <v>86</v>
      </c>
    </row>
    <row r="21" spans="1:14">
      <c r="B21" s="42" t="s">
        <v>31</v>
      </c>
      <c r="C21" s="42"/>
      <c r="D21" s="42"/>
      <c r="E21" s="42"/>
      <c r="F21" s="42"/>
      <c r="G21" s="42"/>
      <c r="H21" s="42"/>
      <c r="I21" s="42"/>
      <c r="J21" s="19">
        <v>0.16</v>
      </c>
      <c r="K21" s="13">
        <f>'2'!D29</f>
        <v>1779.921599008</v>
      </c>
      <c r="L21" s="7" t="s">
        <v>25</v>
      </c>
    </row>
    <row r="22" spans="1:14">
      <c r="B22" s="54" t="s">
        <v>32</v>
      </c>
      <c r="C22" s="54"/>
      <c r="D22" s="54"/>
      <c r="E22" s="54"/>
      <c r="F22" s="54"/>
      <c r="G22" s="54"/>
      <c r="H22" s="54"/>
      <c r="I22" s="54"/>
      <c r="J22" s="19">
        <v>0.02</v>
      </c>
      <c r="K22" s="13">
        <f>'2'!D30</f>
        <v>222.490199876</v>
      </c>
      <c r="L22" s="7" t="s">
        <v>25</v>
      </c>
    </row>
    <row r="23" spans="1:14">
      <c r="B23" s="53" t="s">
        <v>33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2002.411798884</v>
      </c>
      <c r="L23" s="29" t="s">
        <v>25</v>
      </c>
    </row>
    <row r="24" spans="1:14">
      <c r="B24" s="42"/>
      <c r="C24" s="42"/>
      <c r="D24" s="42"/>
      <c r="E24" s="42"/>
      <c r="F24" s="42"/>
      <c r="G24" s="42"/>
      <c r="H24" s="42"/>
      <c r="I24" s="42"/>
      <c r="J24" s="2"/>
      <c r="K24" s="9"/>
      <c r="L24" s="7"/>
    </row>
    <row r="25" spans="1:14">
      <c r="B25" s="54" t="s">
        <v>34</v>
      </c>
      <c r="C25" s="54"/>
      <c r="D25" s="54"/>
      <c r="E25" s="54"/>
      <c r="F25" s="54"/>
      <c r="G25" s="54"/>
      <c r="H25" s="54"/>
      <c r="I25" s="54"/>
      <c r="J25" s="20" t="s">
        <v>35</v>
      </c>
      <c r="K25" s="14">
        <f>'2'!D31</f>
        <v>459.44226274394</v>
      </c>
      <c r="L25" s="10" t="s">
        <v>25</v>
      </c>
    </row>
    <row r="26" spans="1:14">
      <c r="B26" s="53" t="s">
        <v>36</v>
      </c>
      <c r="C26" s="53"/>
      <c r="D26" s="53"/>
      <c r="E26" s="53"/>
      <c r="F26" s="53"/>
      <c r="G26" s="53"/>
      <c r="H26" s="53"/>
      <c r="I26" s="53"/>
      <c r="K26" s="13">
        <f>K23+K25</f>
        <v>2461.8540616279</v>
      </c>
      <c r="L26" s="7" t="s">
        <v>25</v>
      </c>
    </row>
    <row r="27" spans="1:14">
      <c r="B27" s="52"/>
      <c r="C27" s="52"/>
      <c r="D27" s="52"/>
      <c r="E27" s="52"/>
      <c r="F27" s="52"/>
      <c r="G27" s="52"/>
      <c r="H27" s="52"/>
      <c r="I27" s="52"/>
    </row>
    <row r="28" spans="1:14" customHeight="1" ht="15.75">
      <c r="B28" s="75" t="s">
        <v>37</v>
      </c>
      <c r="C28" s="75"/>
      <c r="D28" s="75"/>
      <c r="E28" s="75"/>
      <c r="F28" s="75"/>
      <c r="G28" s="75"/>
      <c r="H28" s="75"/>
      <c r="I28" s="75"/>
      <c r="J28" s="75"/>
      <c r="K28" s="27" t="s">
        <v>22</v>
      </c>
      <c r="L28" s="27" t="s">
        <v>23</v>
      </c>
    </row>
    <row r="29" spans="1:14">
      <c r="B29" s="42" t="s">
        <v>38</v>
      </c>
      <c r="C29" s="42"/>
      <c r="D29" s="42"/>
      <c r="E29" s="42"/>
      <c r="F29" s="42"/>
      <c r="G29" s="42"/>
      <c r="H29" s="42"/>
      <c r="I29" s="42"/>
      <c r="J29" s="42"/>
      <c r="K29" s="13">
        <f>K14</f>
        <v>10560.4099938</v>
      </c>
      <c r="L29" s="7" t="s">
        <v>25</v>
      </c>
    </row>
    <row r="30" spans="1:14">
      <c r="B30" s="42" t="s">
        <v>39</v>
      </c>
      <c r="C30" s="42"/>
      <c r="D30" s="42"/>
      <c r="E30" s="42"/>
      <c r="F30" s="42"/>
      <c r="G30" s="42"/>
      <c r="H30" s="42"/>
      <c r="I30" s="42"/>
      <c r="J30" s="42"/>
      <c r="K30" s="13">
        <f>IF(J11&lt;1, '2'!H7, '2'!H7*J11)</f>
        <v>773.5</v>
      </c>
      <c r="L30" s="7" t="s">
        <v>25</v>
      </c>
    </row>
    <row r="31" spans="1:14">
      <c r="B31" s="54" t="s">
        <v>40</v>
      </c>
      <c r="C31" s="54"/>
      <c r="D31" s="54"/>
      <c r="E31" s="54"/>
      <c r="F31" s="54"/>
      <c r="G31" s="54"/>
      <c r="H31" s="54"/>
      <c r="I31" s="54"/>
      <c r="J31" s="54"/>
      <c r="K31" s="14">
        <f>K26</f>
        <v>2461.8540616279</v>
      </c>
      <c r="L31" s="10" t="s">
        <v>25</v>
      </c>
    </row>
    <row r="32" spans="1:14">
      <c r="B32" s="53" t="s">
        <v>41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13795.764055428</v>
      </c>
      <c r="L32" s="7" t="s">
        <v>25</v>
      </c>
    </row>
    <row r="33" spans="1:14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4">
      <c r="B34" s="61" t="s">
        <v>42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43</v>
      </c>
      <c r="C35" s="44" t="s">
        <v>44</v>
      </c>
      <c r="D35" s="45"/>
      <c r="E35" s="46"/>
      <c r="F35" s="4" t="s">
        <v>45</v>
      </c>
      <c r="G35" s="44" t="s">
        <v>46</v>
      </c>
      <c r="H35" s="46"/>
      <c r="I35" s="3" t="s">
        <v>47</v>
      </c>
      <c r="J35" s="25" t="s">
        <v>36</v>
      </c>
      <c r="K35" s="51" t="s">
        <v>48</v>
      </c>
      <c r="L35" s="51"/>
    </row>
    <row r="36" spans="1:14">
      <c r="A36" s="1"/>
      <c r="B36" s="89">
        <v>1</v>
      </c>
      <c r="C36" s="89" t="s">
        <v>49</v>
      </c>
      <c r="D36" s="89"/>
      <c r="E36" s="89"/>
      <c r="F36" s="89">
        <f>'2'!C10</f>
        <v>3285</v>
      </c>
      <c r="G36" s="91">
        <f>'2'!C8</f>
        <v>3.21473668</v>
      </c>
      <c r="H36" s="92"/>
      <c r="I36" s="91">
        <f>'2'!C46</f>
        <v>4.1996237611653</v>
      </c>
      <c r="J36" s="91">
        <f>'2'!C44</f>
        <v>13795.764055428</v>
      </c>
      <c r="K36" s="90">
        <f>'2'!C47</f>
        <v>15.538607916312</v>
      </c>
      <c r="L36" s="51"/>
    </row>
    <row r="37" spans="1:14" customHeight="1" ht="15.75">
      <c r="A37"/>
      <c r="B37" s="12" t="s">
        <v>36</v>
      </c>
      <c r="C37" s="2"/>
      <c r="D37" s="2"/>
      <c r="E37" s="2"/>
      <c r="F37" s="12">
        <f>SUM(F36:F36)</f>
        <v>3285</v>
      </c>
      <c r="G37" s="2"/>
      <c r="H37" s="2"/>
      <c r="I37"/>
      <c r="J37" s="93">
        <f>SUM(J36:J36)</f>
        <v>13795.764055428</v>
      </c>
      <c r="K37" s="31"/>
      <c r="L37" s="95"/>
    </row>
    <row r="38" spans="1:14" customHeight="1" ht="15.75">
      <c r="A38"/>
      <c r="B38" s="12"/>
      <c r="C38" s="2"/>
      <c r="D38" s="2"/>
      <c r="E38" s="2"/>
      <c r="F38" s="12"/>
      <c r="G38" s="2"/>
      <c r="H38" s="2"/>
      <c r="I38"/>
      <c r="J38" s="94"/>
      <c r="K38" s="31"/>
      <c r="L38" s="95"/>
    </row>
    <row r="39" spans="1:14">
      <c r="A39" s="1"/>
      <c r="B39" s="5"/>
      <c r="C39" s="5"/>
      <c r="D39" s="5"/>
      <c r="E39" s="5"/>
      <c r="F39" s="5"/>
      <c r="G39" s="5"/>
      <c r="H39" s="5"/>
      <c r="I39" s="5"/>
      <c r="J39" s="5"/>
      <c r="K39" s="32"/>
      <c r="L39" s="33"/>
    </row>
    <row r="40" spans="1:14" customHeight="1" ht="18.75">
      <c r="B40" s="28" t="s">
        <v>50</v>
      </c>
      <c r="C40" s="5"/>
      <c r="D40" s="5"/>
      <c r="E40" s="5"/>
      <c r="F40" s="5"/>
      <c r="G40" s="5"/>
      <c r="H40" s="5"/>
      <c r="I40" s="5"/>
      <c r="J40" s="5"/>
      <c r="K40" s="5"/>
    </row>
    <row r="41" spans="1:14" customHeight="1" ht="18.75">
      <c r="B41" s="43" t="s">
        <v>51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4" customHeight="1" ht="18.75">
      <c r="B42" s="43" t="s">
        <v>52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4" customHeight="1" ht="18.75">
      <c r="B43" s="43" t="s">
        <v>53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4" customHeight="1" ht="18.75">
      <c r="B44" s="43" t="s">
        <v>54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4" customHeight="1" ht="18.75">
      <c r="B45" s="43" t="s">
        <v>55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41"/>
      <c r="C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4" customHeight="1" ht="31.9">
      <c r="B48" s="41"/>
      <c r="C48" s="41"/>
      <c r="D48" s="55" t="s">
        <v>0</v>
      </c>
      <c r="E48" s="55"/>
      <c r="F48" s="55"/>
      <c r="G48" s="55"/>
      <c r="H48" s="55"/>
      <c r="I48" s="55"/>
      <c r="J48" s="55"/>
      <c r="K48" s="55"/>
      <c r="L48" s="55"/>
      <c r="M48" s="55"/>
    </row>
    <row r="49" spans="1:14" customHeight="1" ht="21">
      <c r="B49" s="41"/>
      <c r="C49" s="41"/>
      <c r="D49" s="58" t="s">
        <v>56</v>
      </c>
      <c r="E49" s="58"/>
      <c r="F49" s="58"/>
      <c r="G49" s="58"/>
      <c r="H49" s="58"/>
      <c r="I49" s="58"/>
    </row>
    <row r="50" spans="1:14">
      <c r="B50" s="41"/>
      <c r="C50" s="41"/>
    </row>
    <row r="51" spans="1:14">
      <c r="B51" s="41"/>
      <c r="C51" s="41"/>
    </row>
    <row r="52" spans="1:14" customHeight="1" ht="21">
      <c r="B52" s="50" t="s">
        <v>57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4" spans="1:14">
      <c r="B54" s="40" t="s">
        <v>58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4">
      <c r="B55" s="40" t="s">
        <v>59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14">
      <c r="B56" s="42" t="s">
        <v>60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</row>
    <row r="57" spans="1:14">
      <c r="B57" s="40" t="s">
        <v>61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4">
      <c r="B58" s="40" t="s">
        <v>62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4">
      <c r="B59" s="42" t="s">
        <v>63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</row>
    <row r="60" spans="1:14">
      <c r="B60" s="40" t="s">
        <v>64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4">
      <c r="B61" s="40" t="s">
        <v>65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4">
      <c r="B62" s="40" t="s">
        <v>66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4">
      <c r="B63" s="40" t="s">
        <v>67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4">
      <c r="B64" s="40" t="s">
        <v>68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4">
      <c r="B65" s="40" t="s">
        <v>69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4">
      <c r="B66" s="40" t="s">
        <v>70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4">
      <c r="B67" s="40" t="s">
        <v>71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spans="1:14">
      <c r="B68" s="40" t="s">
        <v>72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4">
      <c r="B69" s="40" t="s">
        <v>73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4">
      <c r="B70" s="40" t="s">
        <v>74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4">
      <c r="B71" s="39" t="s">
        <v>75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4">
      <c r="B72" s="40" t="s">
        <v>76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4">
      <c r="B73" s="39" t="s">
        <v>77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4">
      <c r="B74" s="40" t="s">
        <v>78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4">
      <c r="B75" s="40" t="s">
        <v>79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spans="1:14">
      <c r="B76" s="40" t="s">
        <v>80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</row>
    <row r="77" spans="1:14">
      <c r="B77" s="40" t="s">
        <v>81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</row>
    <row r="78" spans="1:14">
      <c r="B78" s="40" t="s">
        <v>82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</row>
    <row r="79" spans="1:14">
      <c r="A79" s="34"/>
      <c r="B79" s="48" t="s">
        <v>83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4">
      <c r="A80" s="34"/>
      <c r="B80" s="40" t="s">
        <v>84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spans="1:14">
      <c r="A81" s="34"/>
      <c r="B81" s="48" t="s">
        <v>85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3" spans="1:14">
      <c r="C83" s="41"/>
      <c r="D83" s="41"/>
      <c r="E83" s="41"/>
      <c r="F83" s="41"/>
      <c r="G83" s="41"/>
      <c r="H83" s="41"/>
      <c r="I83" s="41"/>
    </row>
    <row r="84" spans="1:14">
      <c r="C84" s="41"/>
      <c r="D84" s="41"/>
      <c r="E84" s="41"/>
      <c r="F84" s="41"/>
      <c r="G84" s="41"/>
      <c r="H84" s="41"/>
      <c r="I84" s="41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 customHeight="1" ht="15.6">
      <c r="C90" s="41"/>
      <c r="D90" s="41"/>
      <c r="E90" s="41"/>
      <c r="F90" s="41"/>
      <c r="G90" s="41"/>
      <c r="H90" s="41"/>
      <c r="I90" s="41"/>
    </row>
    <row r="91" spans="1:14" customHeight="1" ht="15.6">
      <c r="C91" s="41"/>
      <c r="D91" s="41"/>
      <c r="E91" s="41"/>
      <c r="F91" s="41"/>
      <c r="G91" s="41"/>
      <c r="H91" s="41"/>
      <c r="I91" s="41"/>
    </row>
    <row r="92" spans="1:14">
      <c r="C92" s="41"/>
      <c r="D92" s="41"/>
      <c r="E92" s="41"/>
      <c r="F92" s="41"/>
      <c r="G92" s="41"/>
      <c r="H92" s="41"/>
      <c r="I92" s="41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19.995" bestFit="true" customWidth="true" style="0"/>
    <col min="4" max="4" width="10.569" bestFit="true" customWidth="true" style="0"/>
  </cols>
  <sheetData>
    <row r="3" spans="1:8">
      <c r="B3" s="76" t="s">
        <v>87</v>
      </c>
      <c r="C3"/>
      <c r="D3"/>
      <c r="E3"/>
      <c r="F3"/>
      <c r="G3"/>
    </row>
    <row r="5" spans="1:8">
      <c r="B5" s="78" t="s">
        <v>88</v>
      </c>
      <c r="C5" s="77" t="s">
        <v>49</v>
      </c>
      <c r="D5" s="77" t="s">
        <v>105</v>
      </c>
    </row>
    <row r="6" spans="1:8">
      <c r="B6" t="s">
        <v>89</v>
      </c>
      <c r="C6">
        <v>0</v>
      </c>
      <c r="D6" s="83">
        <v>0.0</v>
      </c>
      <c r="G6" s="81" t="s">
        <v>103</v>
      </c>
      <c r="H6" s="81" t="s">
        <v>104</v>
      </c>
    </row>
    <row r="7" spans="1:8">
      <c r="B7" t="s">
        <v>90</v>
      </c>
      <c r="C7">
        <v>0</v>
      </c>
      <c r="D7" s="84">
        <v>2.21</v>
      </c>
      <c r="G7" s="82" t="s">
        <v>19</v>
      </c>
      <c r="H7" s="82">
        <v>350</v>
      </c>
    </row>
    <row r="8" spans="1:8">
      <c r="B8" t="s">
        <v>91</v>
      </c>
      <c r="C8" s="80">
        <v>3.21473668</v>
      </c>
      <c r="D8"/>
    </row>
    <row r="9" spans="1:8">
      <c r="B9" s="79" t="s">
        <v>92</v>
      </c>
      <c r="C9" s="80">
        <v>0.0</v>
      </c>
      <c r="D9"/>
    </row>
    <row r="10" spans="1:8">
      <c r="B10" t="s">
        <v>93</v>
      </c>
      <c r="C10">
        <v>3285.0</v>
      </c>
      <c r="D10">
        <f>SUM(C10:C10)</f>
        <v>3285</v>
      </c>
    </row>
    <row r="11" spans="1:8">
      <c r="B11" t="s">
        <v>94</v>
      </c>
      <c r="C11" s="80">
        <f>C8*C10</f>
        <v>10560.4099938</v>
      </c>
      <c r="D11" s="88">
        <f>SUM(C11:C11)</f>
        <v>10560.4099938</v>
      </c>
    </row>
    <row r="12" spans="1:8">
      <c r="B12" s="79" t="s">
        <v>95</v>
      </c>
      <c r="C12" s="80">
        <f>C10*C9</f>
        <v>0</v>
      </c>
      <c r="D12" s="88">
        <f>SUM(C12:C12)</f>
        <v>0</v>
      </c>
    </row>
    <row r="13" spans="1:8">
      <c r="B13" t="s">
        <v>96</v>
      </c>
      <c r="C13" s="85">
        <f>C11/D11</f>
        <v>1</v>
      </c>
      <c r="D13"/>
    </row>
    <row r="14" spans="1:8">
      <c r="B14" t="s">
        <v>97</v>
      </c>
      <c r="C14" s="80">
        <f>D14*C13</f>
        <v>464.1</v>
      </c>
      <c r="D14" s="88">
        <f>IF(D7&lt;1, H7*0.6, H7*0.6*D7)</f>
        <v>464.1</v>
      </c>
    </row>
    <row r="15" spans="1:8">
      <c r="B15" t="s">
        <v>98</v>
      </c>
      <c r="C15" s="80">
        <f>C11+C14</f>
        <v>11024.5099938</v>
      </c>
      <c r="D15" s="88">
        <f>SUM(C15:C15)</f>
        <v>11024.5099938</v>
      </c>
    </row>
    <row r="16" spans="1:8">
      <c r="B16" s="79" t="s">
        <v>99</v>
      </c>
      <c r="C16" s="80">
        <f>C12+C14</f>
        <v>464.1</v>
      </c>
      <c r="D16" s="88">
        <f>SUM(C16:C16)</f>
        <v>464.1</v>
      </c>
    </row>
    <row r="17" spans="1:8">
      <c r="B17" t="s">
        <v>100</v>
      </c>
      <c r="C17" s="80">
        <f>IF(D11&gt;5000,100*C13,50*C13)</f>
        <v>100</v>
      </c>
      <c r="D17" s="88">
        <f>SUM(C17:C17)</f>
        <v>100</v>
      </c>
    </row>
    <row r="18" spans="1:8">
      <c r="B18" t="s">
        <v>101</v>
      </c>
      <c r="C18" s="80">
        <f>C15+C17</f>
        <v>11124.5099938</v>
      </c>
      <c r="D18" s="88">
        <f>SUM(C18:C18)</f>
        <v>11124.5099938</v>
      </c>
    </row>
    <row r="19" spans="1:8">
      <c r="B19" s="79" t="s">
        <v>102</v>
      </c>
      <c r="C19" s="80">
        <f>C16+C17</f>
        <v>564.1</v>
      </c>
      <c r="D19" s="88">
        <f>SUM(C19:C19)</f>
        <v>564.1</v>
      </c>
    </row>
    <row r="23" spans="1:8">
      <c r="B23" s="76" t="s">
        <v>112</v>
      </c>
      <c r="C23"/>
      <c r="D23"/>
      <c r="E23"/>
    </row>
    <row r="26" spans="1:8">
      <c r="B26" t="s">
        <v>113</v>
      </c>
      <c r="C26" s="80">
        <v>0</v>
      </c>
      <c r="D26" s="80">
        <f>SUM(C26:C26)</f>
        <v>0</v>
      </c>
    </row>
    <row r="27" spans="1:8">
      <c r="C27" s="86">
        <v>0</v>
      </c>
      <c r="D27" s="85">
        <f>SUM(C27:C27)</f>
        <v>0</v>
      </c>
    </row>
    <row r="28" spans="1:8">
      <c r="B28" t="s">
        <v>106</v>
      </c>
      <c r="C28" s="80">
        <f>MAX(C19,C18)*C27</f>
        <v>0</v>
      </c>
      <c r="D28" s="80">
        <f>SUM(C28:C28)</f>
        <v>0</v>
      </c>
    </row>
    <row r="29" spans="1:8">
      <c r="B29" t="s">
        <v>31</v>
      </c>
      <c r="C29" s="80">
        <f>0.16*(MAX(C19,C18)+C28)</f>
        <v>1779.921599008</v>
      </c>
      <c r="D29" s="80">
        <f>SUM(C29:C29)</f>
        <v>1779.921599008</v>
      </c>
    </row>
    <row r="30" spans="1:8">
      <c r="B30" t="s">
        <v>32</v>
      </c>
      <c r="C30" s="80">
        <f>0.02*(MAX(C19,C18)+C28)</f>
        <v>222.490199876</v>
      </c>
      <c r="D30" s="80">
        <f>SUM(C30:C30)</f>
        <v>222.490199876</v>
      </c>
    </row>
    <row r="31" spans="1:8">
      <c r="B31" t="s">
        <v>107</v>
      </c>
      <c r="C31" s="80">
        <f>0.035*(MAX(C18,C19) +C28+C29+C30)</f>
        <v>459.44226274394</v>
      </c>
      <c r="D31" s="80">
        <f>SUM(C31:C31)</f>
        <v>459.44226274394</v>
      </c>
    </row>
    <row r="32" spans="1:8">
      <c r="B32" t="s">
        <v>36</v>
      </c>
      <c r="C32" s="80">
        <f>SUM(C28:C31)</f>
        <v>2461.8540616279</v>
      </c>
      <c r="D32" s="80">
        <f>SUM(D28:D31)</f>
        <v>2461.8540616279</v>
      </c>
    </row>
    <row r="37" spans="1:8">
      <c r="B37" s="76" t="s">
        <v>114</v>
      </c>
      <c r="C37"/>
      <c r="D37"/>
      <c r="E37"/>
    </row>
    <row r="40" spans="1:8">
      <c r="B40" t="s">
        <v>108</v>
      </c>
      <c r="C40" s="80">
        <f>C13*D40</f>
        <v>309.4</v>
      </c>
      <c r="D40" s="80">
        <f>IF(D7&lt;1, H7*0.4,H7*0.4*D7)</f>
        <v>309.4</v>
      </c>
    </row>
    <row r="41" spans="1:8">
      <c r="B41"/>
    </row>
    <row r="43" spans="1:8">
      <c r="B43" t="s">
        <v>108</v>
      </c>
      <c r="C43" t="s">
        <v>49</v>
      </c>
      <c r="D43" t="s">
        <v>105</v>
      </c>
    </row>
    <row r="44" spans="1:8">
      <c r="B44" t="s">
        <v>109</v>
      </c>
      <c r="C44" s="80">
        <f>SUM(C15,C40,C32,(C26))</f>
        <v>13795.764055428</v>
      </c>
      <c r="D44" s="80">
        <f>SUM(C44:C44)</f>
        <v>13795.764055428</v>
      </c>
    </row>
    <row r="45" spans="1:8">
      <c r="B45" t="s">
        <v>45</v>
      </c>
      <c r="C45">
        <v>3285.0</v>
      </c>
      <c r="D45"/>
    </row>
    <row r="46" spans="1:8">
      <c r="B46" t="s">
        <v>110</v>
      </c>
      <c r="C46" s="80">
        <f>SUM(C44/C45)</f>
        <v>4.1996237611653</v>
      </c>
      <c r="D46"/>
    </row>
    <row r="47" spans="1:8">
      <c r="B47" t="s">
        <v>111</v>
      </c>
      <c r="C47" s="87">
        <f>C46*3.7</f>
        <v>15.538607916312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