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<sst xmlns="http://schemas.openxmlformats.org/spreadsheetml/2006/main" uniqueCount="118">
  <si>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</si>
  <si>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</si>
  <si>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</si>
  <si>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</si>
  <si>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JAIME RAFAEL CHINCHAY RUBIO</t>
  </si>
  <si>
    <t>SERVICIO:</t>
  </si>
  <si>
    <t>CARGA CONSOLIDADA</t>
  </si>
  <si>
    <t>N° CAJAS:</t>
  </si>
  <si>
    <t>APELLIDO:</t>
  </si>
  <si>
    <t>FECHA:</t>
  </si>
  <si>
    <t>PESO:</t>
  </si>
  <si>
    <t>1.335 Tn</t>
  </si>
  <si>
    <t>DNI/RUC:</t>
  </si>
  <si>
    <t>ORIGEN:</t>
  </si>
  <si>
    <t>CHINA</t>
  </si>
  <si>
    <t>MEDIDA:</t>
  </si>
  <si>
    <t>TELEFONO:</t>
  </si>
  <si>
    <t>51 925 333 428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</si>
  <si>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</si>
  <si>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</si>
  <si>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</si>
  <si>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</si>
  <si>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</si>
  <si>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</si>
  <si>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</si>
  <si>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</si>
  <si>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</si>
  <si>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</si>
  <si>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</si>
  <si>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</si>
  <si>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</si>
  <si>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</si>
  <si>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</si>
  <si>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</si>
  <si>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</si>
  <si>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</si>
  <si>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</si>
  <si>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</si>
  <si>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</si>
  <si>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</si>
  <si>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</si>
  <si>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</si>
  <si>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</si>
  <si>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</si>
  <si>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</si>
  <si>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</si>
  <si>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</si>
  <si>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</si>
  <si>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</si>
  <si>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CARBURADOR PARA MOTOCICLETAS</t>
  </si>
  <si>
    <t>BOCINA UNIVERSAL PARA MOTO</t>
  </si>
  <si>
    <t>VELOCIMETRO PARA MOTOCICLETAS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</si>
  <si>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</si>
  <si>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</si>
  <si>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</si>
  <si>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</si>
  <si>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</si>
  <si>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</si>
  <si>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</si>
  <si>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</si>
  <si>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</si>
  <si>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</si>
  <si>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</si>
  <si>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</si>
  <si>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</si>
  <si>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</si>
  <si>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</si>
  <si>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</si>
  <si>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</si>
  <si>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</si>
  <si>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</si>
  <si>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</si>
  <si>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</si>
  <si>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</si>
  <si>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</si>
  <si>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</si>
  <si>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</si>
  <si>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</si>
  <si>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</si>
  <si>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</si>
  <si>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</si>
  <si>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</si>
  <si>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</si>
  <si>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</si>
  <si>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</si>
  <si>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</si>
  <si>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</si>
  <si>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</si>
  <si>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BARRA DE POSAPIES COMPLETA</t>
  </si>
  <si>
    <t>Hola JAIME RAFAEL CHINCHAY RUBIO 😁 un gusto saludarte!
        A continuación te envío la cotización final de tu importación📋📦.
        🙋‍♂️ PAGO PENDIENTE :
        ☑️Costo CBM: $386.1
        ☑️Impuestos: $1307.1
        ☑️ Total: $1693.2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</si>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</sst>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tn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47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83</xdr:row>
      <xdr:rowOff>104775</xdr:rowOff>
    </xdr:from>
    <xdr:to>
      <xdr:col>8</xdr:col>
      <xdr:colOff>504825</xdr:colOff>
      <xdr:row>101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9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77576244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'2'!G7</f>
        <v>3.11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'2'!G11</f>
        <v>5200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'2'!G14 + '2'!G17</f>
        <v>706.45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5906.45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MAX('2'!C27:E27)</f>
        <v>0</v>
      </c>
      <c r="K20" s="12">
        <f>'2'!G28</f>
        <v>0</v>
      </c>
      <c r="L20" s="7" t="s">
        <v>25</v>
      </c>
      <c r="M20" s="1"/>
      <c r="N20" t="s">
        <v>89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'2'!G29</f>
        <v>945.032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'2'!G30</f>
        <v>118.129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1063.161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'2'!G31</f>
        <v>243.936385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1307.097385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5200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'2'!K7, '2'!K7*J11)</f>
        <v>1010.75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1307.097385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7517.847385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1000</v>
      </c>
      <c r="G36" s="88">
        <f>'2'!C8</f>
        <v>3.7</v>
      </c>
      <c r="H36" s="89"/>
      <c r="I36" s="88">
        <f>'2'!C46</f>
        <v>5.3492375624038</v>
      </c>
      <c r="J36" s="88">
        <f>'2'!C44</f>
        <v>5349.2375624038</v>
      </c>
      <c r="K36" s="87">
        <f>'2'!C47</f>
        <v>19.792178980894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1000</v>
      </c>
      <c r="G37" s="88">
        <f>'2'!D8</f>
        <v>0.43</v>
      </c>
      <c r="H37" s="86"/>
      <c r="I37" s="90">
        <f>'2'!D46</f>
        <v>0.62166814914423</v>
      </c>
      <c r="J37" s="88">
        <f>'2'!D44</f>
        <v>621.66814914423</v>
      </c>
      <c r="K37" s="87">
        <f>'2'!D47</f>
        <v>2.3001721518337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200</v>
      </c>
      <c r="G38" s="88">
        <f>'2'!E8</f>
        <v>3.3</v>
      </c>
      <c r="H38" s="86"/>
      <c r="I38" s="90">
        <f>'2'!E46</f>
        <v>4.7709416097115</v>
      </c>
      <c r="J38" s="88">
        <f>'2'!E44</f>
        <v>954.18832194231</v>
      </c>
      <c r="K38" s="87">
        <f>'2'!E47</f>
        <v>17.652483955933</v>
      </c>
      <c r="L38" s="91"/>
      <c r="M38"/>
    </row>
    <row r="39" spans="1:14" customHeight="1" ht="15.75">
      <c r="A39"/>
      <c r="B39" s="92">
        <v>4</v>
      </c>
      <c r="C39" s="92" t="s">
        <v>88</v>
      </c>
      <c r="D39" s="92"/>
      <c r="E39" s="92"/>
      <c r="F39" s="92">
        <f>'2'!F10</f>
        <v>200</v>
      </c>
      <c r="G39" s="93">
        <f>'2'!F8</f>
        <v>2.05</v>
      </c>
      <c r="H39" s="94"/>
      <c r="I39" s="93">
        <f>'2'!F46</f>
        <v>2.9637667575481</v>
      </c>
      <c r="J39" s="93">
        <f>'2'!F44</f>
        <v>592.75335150962</v>
      </c>
      <c r="K39" s="95">
        <f>'2'!F47</f>
        <v>10.965937002928</v>
      </c>
      <c r="L39" s="96"/>
      <c r="M39"/>
    </row>
    <row r="40" spans="1:14">
      <c r="A40" s="1"/>
      <c r="B40" s="97" t="s">
        <v>36</v>
      </c>
      <c r="C40" s="5"/>
      <c r="D40" s="5"/>
      <c r="E40" s="5"/>
      <c r="F40" s="97">
        <f>SUM(F36:F39)</f>
        <v>2400</v>
      </c>
      <c r="G40" s="5"/>
      <c r="H40" s="5"/>
      <c r="I40" s="5"/>
      <c r="J40" s="98">
        <f>SUM(J36:J39)</f>
        <v>7517.847385</v>
      </c>
      <c r="K40" s="29"/>
      <c r="L40" s="30"/>
      <c r="M40" s="1"/>
    </row>
    <row r="41" spans="1:14" customHeight="1" ht="18.75">
      <c r="B41" s="99" t="s">
        <v>87</v>
      </c>
      <c r="C41" s="5"/>
      <c r="D41" s="5"/>
      <c r="E41" s="5"/>
      <c r="F41" s="5"/>
      <c r="G41" s="5"/>
      <c r="H41" s="5"/>
      <c r="I41" s="5"/>
      <c r="J41" s="5"/>
      <c r="K41" s="5"/>
      <c r="L41"/>
      <c r="M41"/>
    </row>
    <row r="42" spans="1:14" customHeight="1" ht="18.75">
      <c r="B42" s="40" t="s">
        <v>86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/>
    </row>
    <row r="43" spans="1:14" customHeight="1" ht="18.75">
      <c r="B43" s="40" t="s">
        <v>85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</row>
    <row r="48" spans="1:14" customHeight="1" ht="9">
      <c r="B48" s="38"/>
      <c r="C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4" customHeight="1" ht="31.9">
      <c r="B49" s="38"/>
      <c r="C49" s="38"/>
      <c r="D49" s="52" t="s">
        <v>0</v>
      </c>
      <c r="E49" s="52"/>
      <c r="F49" s="52"/>
      <c r="G49" s="52"/>
      <c r="H49" s="52"/>
      <c r="I49" s="52"/>
      <c r="J49" s="52"/>
      <c r="K49" s="52"/>
      <c r="L49" s="52"/>
      <c r="M49" s="52"/>
    </row>
    <row r="50" spans="1:14" customHeight="1" ht="21">
      <c r="B50" s="38"/>
      <c r="C50" s="38"/>
      <c r="D50" s="55" t="s">
        <v>81</v>
      </c>
      <c r="E50" s="55"/>
      <c r="F50" s="55"/>
      <c r="G50" s="55"/>
      <c r="H50" s="55"/>
      <c r="I50" s="55"/>
      <c r="M50"/>
    </row>
    <row r="51" spans="1:14">
      <c r="B51" s="38"/>
      <c r="C51" s="38"/>
      <c r="M51" s="1"/>
    </row>
    <row r="52" spans="1:14">
      <c r="B52" s="38"/>
      <c r="C52" s="38"/>
      <c r="M52" s="1"/>
    </row>
    <row r="53" spans="1:14" customHeight="1" ht="21">
      <c r="B53" s="47" t="s">
        <v>80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/>
    </row>
    <row r="54" spans="1:14">
      <c r="M54" s="1"/>
    </row>
    <row r="55" spans="1:14">
      <c r="B55" s="37" t="s">
        <v>79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1"/>
    </row>
    <row r="56" spans="1:14">
      <c r="B56" s="37" t="s">
        <v>78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9" t="s">
        <v>77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1"/>
    </row>
    <row r="58" spans="1:14">
      <c r="B58" s="37" t="s">
        <v>76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1"/>
    </row>
    <row r="59" spans="1:14">
      <c r="B59" s="37" t="s">
        <v>75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9" t="s">
        <v>74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1"/>
    </row>
    <row r="61" spans="1:14">
      <c r="B61" s="37" t="s">
        <v>73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"/>
    </row>
    <row r="62" spans="1:14">
      <c r="B62" s="37" t="s">
        <v>72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71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70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69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68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67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66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64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63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6" t="s">
        <v>62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1"/>
    </row>
    <row r="73" spans="1:14">
      <c r="B73" s="37" t="s">
        <v>61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6" t="s">
        <v>60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1"/>
    </row>
    <row r="75" spans="1:14">
      <c r="B75" s="37" t="s">
        <v>59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7" t="s">
        <v>58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57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56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A80" s="31"/>
      <c r="B80" s="45" t="s">
        <v>54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1"/>
    </row>
    <row r="81" spans="1:14">
      <c r="A81" s="31"/>
      <c r="B81" s="37" t="s">
        <v>53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A82" s="31"/>
      <c r="B82" s="45" t="s">
        <v>52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1"/>
    </row>
    <row r="83" spans="1:14">
      <c r="M83" s="1"/>
    </row>
    <row r="84" spans="1:14">
      <c r="C84" s="38"/>
      <c r="D84" s="38"/>
      <c r="E84" s="38"/>
      <c r="F84" s="38"/>
      <c r="G84" s="38"/>
      <c r="H84" s="38"/>
      <c r="I84" s="38"/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 customHeight="1" ht="15.6">
      <c r="C91" s="38"/>
      <c r="D91" s="38"/>
      <c r="E91" s="38"/>
      <c r="F91" s="38"/>
      <c r="G91" s="38"/>
      <c r="H91" s="38"/>
      <c r="I91" s="38"/>
      <c r="M9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 customHeight="1" ht="15.6">
      <c r="M99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4:I93"/>
    <mergeCell ref="A1:L1"/>
    <mergeCell ref="E2:L2"/>
    <mergeCell ref="D50:I50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5:L45"/>
    <mergeCell ref="B43:L43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3:L53"/>
    <mergeCell ref="B44:L44"/>
    <mergeCell ref="D49:J49"/>
    <mergeCell ref="K49:M49"/>
    <mergeCell ref="E48:M48"/>
    <mergeCell ref="K35:L35"/>
    <mergeCell ref="B79:L79"/>
    <mergeCell ref="B74:L74"/>
    <mergeCell ref="B75:L75"/>
    <mergeCell ref="B76:L76"/>
    <mergeCell ref="B77:L77"/>
    <mergeCell ref="B78:L78"/>
    <mergeCell ref="B82:L82"/>
    <mergeCell ref="B65:L65"/>
    <mergeCell ref="B66:L66"/>
    <mergeCell ref="B67:L67"/>
    <mergeCell ref="B58:L58"/>
    <mergeCell ref="B59:L59"/>
    <mergeCell ref="B60:L60"/>
    <mergeCell ref="B61:L61"/>
    <mergeCell ref="B62:L62"/>
    <mergeCell ref="B63:L63"/>
    <mergeCell ref="B64:L64"/>
    <mergeCell ref="B69:L69"/>
    <mergeCell ref="B70:L70"/>
    <mergeCell ref="B71:L71"/>
    <mergeCell ref="B81:L81"/>
    <mergeCell ref="B80:L80"/>
    <mergeCell ref="B72:L72"/>
    <mergeCell ref="B73:L73"/>
    <mergeCell ref="A7:C7"/>
    <mergeCell ref="I7:L7"/>
    <mergeCell ref="B57:L57"/>
    <mergeCell ref="B46:L46"/>
    <mergeCell ref="B42:L42"/>
    <mergeCell ref="B55:L55"/>
    <mergeCell ref="B68:L68"/>
    <mergeCell ref="B56:L56"/>
    <mergeCell ref="J11:L11"/>
    <mergeCell ref="B48:C52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0" workbookViewId="0" showGridLines="true" showRowColHeaders="1">
      <selection activeCell="G44" sqref="G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1.707" bestFit="true" customWidth="true" style="0"/>
    <col min="5" max="5" width="35.277" bestFit="true" customWidth="true" style="0"/>
    <col min="6" max="6" width="31.707" bestFit="true" customWidth="true" style="0"/>
    <col min="7" max="7" width="9.283" bestFit="true" customWidth="true" style="0"/>
  </cols>
  <sheetData>
    <row r="3" spans="1:11">
      <c r="B3" s="73" t="s">
        <v>90</v>
      </c>
      <c r="C3"/>
      <c r="D3"/>
      <c r="E3"/>
      <c r="F3"/>
      <c r="G3"/>
    </row>
    <row r="5" spans="1:11">
      <c r="B5" s="75" t="s">
        <v>91</v>
      </c>
      <c r="C5" s="74" t="s">
        <v>49</v>
      </c>
      <c r="D5" s="74" t="s">
        <v>50</v>
      </c>
      <c r="E5" s="74" t="s">
        <v>51</v>
      </c>
      <c r="F5" s="74" t="s">
        <v>88</v>
      </c>
      <c r="G5" s="74" t="s">
        <v>108</v>
      </c>
    </row>
    <row r="6" spans="1:11">
      <c r="B6" t="s">
        <v>92</v>
      </c>
      <c r="C6">
        <v>0</v>
      </c>
      <c r="D6">
        <v>0</v>
      </c>
      <c r="E6">
        <v>0</v>
      </c>
      <c r="F6">
        <v>0</v>
      </c>
      <c r="G6" s="80">
        <v>1.34</v>
      </c>
      <c r="J6" s="78" t="s">
        <v>106</v>
      </c>
      <c r="K6" s="78" t="s">
        <v>107</v>
      </c>
    </row>
    <row r="7" spans="1:11">
      <c r="B7" t="s">
        <v>93</v>
      </c>
      <c r="C7">
        <v>0</v>
      </c>
      <c r="D7">
        <v>0</v>
      </c>
      <c r="E7">
        <v>0</v>
      </c>
      <c r="F7">
        <v>0</v>
      </c>
      <c r="G7" s="81">
        <v>3.11</v>
      </c>
      <c r="J7" s="79" t="s">
        <v>19</v>
      </c>
      <c r="K7" s="79">
        <v>325</v>
      </c>
    </row>
    <row r="8" spans="1:11">
      <c r="B8" t="s">
        <v>94</v>
      </c>
      <c r="C8" s="77">
        <v>3.7</v>
      </c>
      <c r="D8" s="77">
        <v>0.43</v>
      </c>
      <c r="E8" s="77">
        <v>3.3</v>
      </c>
      <c r="F8" s="77">
        <v>2.05</v>
      </c>
      <c r="G8"/>
    </row>
    <row r="9" spans="1:11">
      <c r="B9" s="76" t="s">
        <v>95</v>
      </c>
      <c r="C9" s="77">
        <v>0.0</v>
      </c>
      <c r="D9" s="77">
        <v>0.0</v>
      </c>
      <c r="E9" s="77">
        <v>0.0</v>
      </c>
      <c r="F9" s="77">
        <v>0.0</v>
      </c>
      <c r="G9"/>
    </row>
    <row r="10" spans="1:11">
      <c r="B10" t="s">
        <v>96</v>
      </c>
      <c r="C10">
        <v>1000.0</v>
      </c>
      <c r="D10">
        <v>1000.0</v>
      </c>
      <c r="E10">
        <v>200.0</v>
      </c>
      <c r="F10">
        <v>200.0</v>
      </c>
      <c r="G10">
        <f>SUM(C10:F10)</f>
        <v>2400</v>
      </c>
    </row>
    <row r="11" spans="1:11">
      <c r="B11" t="s">
        <v>97</v>
      </c>
      <c r="C11" s="77">
        <f>C8*C10</f>
        <v>3700</v>
      </c>
      <c r="D11" s="77">
        <f>D8*D10</f>
        <v>430</v>
      </c>
      <c r="E11" s="77">
        <f>E8*E10</f>
        <v>660</v>
      </c>
      <c r="F11" s="77">
        <f>F8*F10</f>
        <v>410</v>
      </c>
      <c r="G11" s="85">
        <f>SUM(C11:F11)</f>
        <v>5200</v>
      </c>
    </row>
    <row r="12" spans="1:11">
      <c r="B12" s="76" t="s">
        <v>98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85">
        <f>SUM(C12:F12)</f>
        <v>0</v>
      </c>
    </row>
    <row r="13" spans="1:11">
      <c r="B13" t="s">
        <v>99</v>
      </c>
      <c r="C13" s="82">
        <f>C11/G11</f>
        <v>0.71153846153846</v>
      </c>
      <c r="D13" s="82">
        <f>D11/G11</f>
        <v>0.082692307692308</v>
      </c>
      <c r="E13" s="82">
        <f>E11/G11</f>
        <v>0.12692307692308</v>
      </c>
      <c r="F13" s="82">
        <f>F11/G11</f>
        <v>0.078846153846154</v>
      </c>
      <c r="G13"/>
    </row>
    <row r="14" spans="1:11">
      <c r="B14" t="s">
        <v>100</v>
      </c>
      <c r="C14" s="77">
        <f>G14*C13</f>
        <v>431.5125</v>
      </c>
      <c r="D14" s="77">
        <f>G14*D13</f>
        <v>50.14875</v>
      </c>
      <c r="E14" s="77">
        <f>G14*E13</f>
        <v>76.9725</v>
      </c>
      <c r="F14" s="77">
        <f>G14*F13</f>
        <v>47.81625</v>
      </c>
      <c r="G14" s="85">
        <f>IF(G7&lt;1, K7*0.6, K7*0.6*G7)</f>
        <v>606.45</v>
      </c>
    </row>
    <row r="15" spans="1:11">
      <c r="B15" t="s">
        <v>101</v>
      </c>
      <c r="C15" s="77">
        <f>C11+C14</f>
        <v>4131.5125</v>
      </c>
      <c r="D15" s="77">
        <f>D11+D14</f>
        <v>480.14875</v>
      </c>
      <c r="E15" s="77">
        <f>E11+E14</f>
        <v>736.9725</v>
      </c>
      <c r="F15" s="77">
        <f>F11+F14</f>
        <v>457.81625</v>
      </c>
      <c r="G15" s="85">
        <f>SUM(C15:F15)</f>
        <v>5806.45</v>
      </c>
    </row>
    <row r="16" spans="1:11">
      <c r="B16" s="76" t="s">
        <v>102</v>
      </c>
      <c r="C16" s="77">
        <f>C12+C14</f>
        <v>431.5125</v>
      </c>
      <c r="D16" s="77">
        <f>D12+D14</f>
        <v>50.14875</v>
      </c>
      <c r="E16" s="77">
        <f>E12+E14</f>
        <v>76.9725</v>
      </c>
      <c r="F16" s="77">
        <f>F12+F14</f>
        <v>47.81625</v>
      </c>
      <c r="G16" s="85">
        <f>SUM(C16:F16)</f>
        <v>606.45</v>
      </c>
    </row>
    <row r="17" spans="1:11">
      <c r="B17" t="s">
        <v>103</v>
      </c>
      <c r="C17" s="77">
        <f>IF(G11&gt;5000,100*C13,50*C13)</f>
        <v>71.153846153846</v>
      </c>
      <c r="D17" s="77">
        <f>IF(G11&gt;5000,100*D13,50*D13)</f>
        <v>8.2692307692308</v>
      </c>
      <c r="E17" s="77">
        <f>IF(G11&gt;5000,100*E13,50*E13)</f>
        <v>12.692307692308</v>
      </c>
      <c r="F17" s="77">
        <f>IF(G11&gt;5000,100*F13,50*F13)</f>
        <v>7.8846153846154</v>
      </c>
      <c r="G17" s="85">
        <f>SUM(C17:F17)</f>
        <v>100</v>
      </c>
    </row>
    <row r="18" spans="1:11">
      <c r="B18" t="s">
        <v>104</v>
      </c>
      <c r="C18" s="77">
        <f>C15+C17</f>
        <v>4202.6663461538</v>
      </c>
      <c r="D18" s="77">
        <f>D15+D17</f>
        <v>488.41798076923</v>
      </c>
      <c r="E18" s="77">
        <f>E15+E17</f>
        <v>749.66480769231</v>
      </c>
      <c r="F18" s="77">
        <f>F15+F17</f>
        <v>465.70086538462</v>
      </c>
      <c r="G18" s="85">
        <f>SUM(C18:F18)</f>
        <v>5906.45</v>
      </c>
    </row>
    <row r="19" spans="1:11">
      <c r="B19" s="76" t="s">
        <v>105</v>
      </c>
      <c r="C19" s="77">
        <f>C16+C17</f>
        <v>502.66634615385</v>
      </c>
      <c r="D19" s="77">
        <f>D16+D17</f>
        <v>58.417980769231</v>
      </c>
      <c r="E19" s="77">
        <f>E16+E17</f>
        <v>89.664807692308</v>
      </c>
      <c r="F19" s="77">
        <f>F16+F17</f>
        <v>55.700865384615</v>
      </c>
      <c r="G19" s="85">
        <f>SUM(C19:F19)</f>
        <v>706.45</v>
      </c>
    </row>
    <row r="23" spans="1:11">
      <c r="B23" s="73" t="s">
        <v>115</v>
      </c>
      <c r="C23"/>
      <c r="D23"/>
      <c r="E23"/>
    </row>
    <row r="26" spans="1:11">
      <c r="B26" t="s">
        <v>116</v>
      </c>
      <c r="C26" s="77">
        <v>0</v>
      </c>
      <c r="D26" s="77">
        <v>0</v>
      </c>
      <c r="E26" s="77">
        <v>0</v>
      </c>
      <c r="F26" s="77">
        <v>0</v>
      </c>
      <c r="G26" s="77">
        <f>SUM(C26:F26)</f>
        <v>0</v>
      </c>
    </row>
    <row r="27" spans="1:11">
      <c r="C27" s="83">
        <v>0.0</v>
      </c>
      <c r="D27" s="83">
        <v>0.0</v>
      </c>
      <c r="E27" s="83">
        <v>0.0</v>
      </c>
      <c r="F27" s="83">
        <v>0.0</v>
      </c>
      <c r="G27" s="82">
        <f>SUM(C27:F27)</f>
        <v>0</v>
      </c>
    </row>
    <row r="28" spans="1:11">
      <c r="B28" t="s">
        <v>109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SUM(C28:F28)</f>
        <v>0</v>
      </c>
    </row>
    <row r="29" spans="1:11">
      <c r="B29" t="s">
        <v>31</v>
      </c>
      <c r="C29" s="77">
        <f>0.16*(MAX(C19,C18)+C28)</f>
        <v>672.42661538462</v>
      </c>
      <c r="D29" s="77">
        <f>0.16*(MAX(D19,D18)+D28)</f>
        <v>78.146876923077</v>
      </c>
      <c r="E29" s="77">
        <f>0.16*(MAX(E19,E18)+E28)</f>
        <v>119.94636923077</v>
      </c>
      <c r="F29" s="77">
        <f>0.16*(MAX(F19,F18)+F28)</f>
        <v>74.512138461538</v>
      </c>
      <c r="G29" s="77">
        <f>SUM(C29:F29)</f>
        <v>945.032</v>
      </c>
    </row>
    <row r="30" spans="1:11">
      <c r="B30" t="s">
        <v>32</v>
      </c>
      <c r="C30" s="77">
        <f>0.02*(MAX(C19,C18)+C28)</f>
        <v>84.053326923077</v>
      </c>
      <c r="D30" s="77">
        <f>0.02*(MAX(D19,D18)+D28)</f>
        <v>9.7683596153846</v>
      </c>
      <c r="E30" s="77">
        <f>0.02*(MAX(E19,E18)+E28)</f>
        <v>14.993296153846</v>
      </c>
      <c r="F30" s="77">
        <f>0.02*(MAX(F19,F18)+F28)</f>
        <v>9.3140173076923</v>
      </c>
      <c r="G30" s="77">
        <f>SUM(C30:F30)</f>
        <v>118.129</v>
      </c>
    </row>
    <row r="31" spans="1:11">
      <c r="B31" t="s">
        <v>110</v>
      </c>
      <c r="C31" s="77">
        <f>0.035*(MAX(C18,C19) +C28+C29+C30)</f>
        <v>173.57012009615</v>
      </c>
      <c r="D31" s="77">
        <f>0.035*(MAX(D18,D19) +D28+D29+D30)</f>
        <v>20.171662605769</v>
      </c>
      <c r="E31" s="77">
        <f>0.035*(MAX(E18,E19) +E28+E29+E30)</f>
        <v>30.961156557692</v>
      </c>
      <c r="F31" s="77">
        <f>0.035*(MAX(F18,F19) +F28+F29+F30)</f>
        <v>19.233445740385</v>
      </c>
      <c r="G31" s="77">
        <f>SUM(C31:F31)</f>
        <v>243.936385</v>
      </c>
    </row>
    <row r="32" spans="1:11">
      <c r="B32" t="s">
        <v>36</v>
      </c>
      <c r="C32" s="77">
        <f>SUM(C28:C31)</f>
        <v>930.05006240385</v>
      </c>
      <c r="D32" s="77">
        <f>SUM(D28:D31)</f>
        <v>108.08689914423</v>
      </c>
      <c r="E32" s="77">
        <f>SUM(E28:E31)</f>
        <v>165.90082194231</v>
      </c>
      <c r="F32" s="77">
        <f>SUM(F28:F31)</f>
        <v>103.05960150962</v>
      </c>
      <c r="G32" s="77">
        <f>SUM(G28:G31)</f>
        <v>1307.097385</v>
      </c>
    </row>
    <row r="37" spans="1:11">
      <c r="B37" s="73" t="s">
        <v>117</v>
      </c>
      <c r="C37"/>
      <c r="D37"/>
      <c r="E37"/>
    </row>
    <row r="40" spans="1:11">
      <c r="B40" t="s">
        <v>111</v>
      </c>
      <c r="C40" s="77">
        <f>C13*G40</f>
        <v>287.675</v>
      </c>
      <c r="D40" s="77">
        <f>D13*G40</f>
        <v>33.4325</v>
      </c>
      <c r="E40" s="77">
        <f>E13*G40</f>
        <v>51.315</v>
      </c>
      <c r="F40" s="77">
        <f>F13*G40</f>
        <v>31.8775</v>
      </c>
      <c r="G40" s="77">
        <f>IF(G7&lt;1, K7*0.4,K7*0.4*G7)</f>
        <v>404.3</v>
      </c>
    </row>
    <row r="41" spans="1:11">
      <c r="B41"/>
    </row>
    <row r="43" spans="1:11">
      <c r="B43" t="s">
        <v>111</v>
      </c>
      <c r="C43" t="s">
        <v>49</v>
      </c>
      <c r="D43" t="s">
        <v>50</v>
      </c>
      <c r="E43" t="s">
        <v>51</v>
      </c>
      <c r="F43" t="s">
        <v>88</v>
      </c>
      <c r="G43" t="s">
        <v>108</v>
      </c>
    </row>
    <row r="44" spans="1:11">
      <c r="B44" t="s">
        <v>112</v>
      </c>
      <c r="C44" s="77">
        <f>SUM(C15,C40,C32,(C26))</f>
        <v>5349.2375624038</v>
      </c>
      <c r="D44" s="77">
        <f>SUM(D15,D40,D32,(D26))</f>
        <v>621.66814914423</v>
      </c>
      <c r="E44" s="77">
        <f>SUM(E15,E40,E32,(E26))</f>
        <v>954.18832194231</v>
      </c>
      <c r="F44" s="77">
        <f>SUM(F15,F40,F32,(F26))</f>
        <v>592.75335150962</v>
      </c>
      <c r="G44" s="77">
        <f>SUM(C44:F44)</f>
        <v>7517.847385</v>
      </c>
    </row>
    <row r="45" spans="1:11">
      <c r="B45" t="s">
        <v>45</v>
      </c>
      <c r="C45">
        <v>1000.0</v>
      </c>
      <c r="D45">
        <v>1000.0</v>
      </c>
      <c r="E45">
        <v>200.0</v>
      </c>
      <c r="F45">
        <v>200.0</v>
      </c>
      <c r="G45"/>
    </row>
    <row r="46" spans="1:11">
      <c r="B46" t="s">
        <v>113</v>
      </c>
      <c r="C46" s="77">
        <f>SUM(C44/C45)</f>
        <v>5.3492375624038</v>
      </c>
      <c r="D46" s="77">
        <f>SUM(D44/D45)</f>
        <v>0.62166814914423</v>
      </c>
      <c r="E46" s="77">
        <f>SUM(E44/E45)</f>
        <v>4.7709416097115</v>
      </c>
      <c r="F46" s="77">
        <f>SUM(F44/F45)</f>
        <v>2.9637667575481</v>
      </c>
      <c r="G46"/>
    </row>
    <row r="47" spans="1:11">
      <c r="B47" t="s">
        <v>114</v>
      </c>
      <c r="C47" s="84">
        <f>C46*3.7</f>
        <v>19.792178980894</v>
      </c>
      <c r="D47" s="84">
        <f>D46*3.7</f>
        <v>2.3001721518337</v>
      </c>
      <c r="E47" s="84">
        <f>E46*3.7</f>
        <v>17.652483955933</v>
      </c>
      <c r="F47" s="84">
        <f>F46*3.7</f>
        <v>10.965937002928</v>
      </c>
      <c r="G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