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<sst xmlns="http://schemas.openxmlformats.org/spreadsheetml/2006/main" uniqueCount="135">
  <si>
    <t>COTIZACION Nº20240000001</t>
  </si>
  <si>
    <t>NOMBRE:</t>
  </si>
  <si>
    <t>Edison Benicio Mayhualla</t>
  </si>
  <si>
    <t>CARLOS ALBERTO HUARACHI SOSA</t>
  </si>
  <si>
    <t>SERVICIO:</t>
  </si>
  <si>
    <t>CARGA CONSOLIDADA</t>
  </si>
  <si>
    <t>N° CAJAS:</t>
  </si>
  <si>
    <t>DNI/RUC:</t>
  </si>
  <si>
    <t>FECHA:</t>
  </si>
  <si>
    <t>PESO:</t>
  </si>
  <si>
    <t>1.109 Tn</t>
  </si>
  <si>
    <t>CORREO:</t>
  </si>
  <si>
    <t>ORIGEN:</t>
  </si>
  <si>
    <t>CHINA</t>
  </si>
  <si>
    <t>MEDIDA</t>
  </si>
  <si>
    <t>TELEFONO:</t>
  </si>
  <si>
    <t>51 956 032 494</t>
  </si>
  <si>
    <t>CLIENTE:</t>
  </si>
  <si>
    <t>NUEVO</t>
  </si>
  <si>
    <t>MANUAL</t>
  </si>
  <si>
    <t>VOLUMEN:</t>
  </si>
  <si>
    <t>CBM</t>
  </si>
  <si>
    <t>CALCULO DE BASE IMPONIBLE</t>
  </si>
  <si>
    <t>MONTO</t>
  </si>
  <si>
    <t>MONEDA</t>
  </si>
  <si>
    <t>VALOR DE CARGA</t>
  </si>
  <si>
    <t>FLETE INTERNACIONAL + SEGURO</t>
  </si>
  <si>
    <t>VALOR CIF</t>
  </si>
  <si>
    <t>USD</t>
  </si>
  <si>
    <t>CALCULO DE TRIBUTOS</t>
  </si>
  <si>
    <t>%</t>
  </si>
  <si>
    <t>ADVALOREM</t>
  </si>
  <si>
    <t>Hola CARLOS ALBERTO HUARACHI SOSA 😁 un gusto saludarte!
A continuación te envío la cotización final de tu importación📋📦.
🙋‍♂️ PAGO PENDIENTE :
Pronto le aviso nuevos avances, que tengan buen día🚢
Último día de pago: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</si>
  <si>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</si>
  <si>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</si>
  <si>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</si>
  <si>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</si>
  <si>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</si>
  <si>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</si>
  <si>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</si>
  <si>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</si>
  <si>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</si>
  <si>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</si>
  <si>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</si>
  <si>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</si>
  <si>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</si>
  <si>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</si>
  <si>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</si>
  <si>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</si>
  <si>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</si>
  <si>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</si>
  <si>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</si>
  <si>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MOTOR HIDRAULICO ORBITAL</t>
  </si>
  <si>
    <t>BOMBA DE ENGRANAJE EXTERNA</t>
  </si>
  <si>
    <t>BOMBA DE PALETAS</t>
  </si>
  <si>
    <t>CARTUCHO HIDRAULICO DE PALETAS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</si>
  <si>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</si>
  <si>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</si>
  <si>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</si>
  <si>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</si>
  <si>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</si>
  <si>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</si>
  <si>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</si>
  <si>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</si>
  <si>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</si>
  <si>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</si>
  <si>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</si>
  <si>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</si>
  <si>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</si>
  <si>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</si>
  <si>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</si>
  <si>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</si>
  <si>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</si>
  <si>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</si>
  <si>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</si>
  <si>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</si>
  <si>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</si>
  <si>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</si>
  <si>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</si>
  <si>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</si>
  <si>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</si>
  <si>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</si>
  <si>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</si>
  <si>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</si>
  <si>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</si>
  <si>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</si>
  <si>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</si>
  <si>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</si>
  <si>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</si>
  <si>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</si>
  <si>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</si>
  <si>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</si>
  <si>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</si>
  <si>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</si>
  <si>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</si>
  <si>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</si>
  <si>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</si>
  <si>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</si>
  <si>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</si>
  <si>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</si>
  <si>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</si>
  <si>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</si>
  <si>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</si>
  <si>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</si>
  <si>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</si>
  <si>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</si>
  <si>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</si>
  <si>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</si>
  <si>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</si>
  <si>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</si>
  <si>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</si>
  <si>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</si>
  <si>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</si>
  <si>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</si>
  <si>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</si>
  <si>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</si>
  <si>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</si>
  <si>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</si>
  <si>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</si>
  <si>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</si>
  <si>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VALVULA DE INVERSION MANUAL</t>
  </si>
  <si>
    <t>VALVULA NEUMÁTICA DE DISTRIBUCIÓN</t>
  </si>
  <si>
    <t>VALVULA DISTRIBUIDORA HIDRÁULICA</t>
  </si>
  <si>
    <t>Total</t>
  </si>
  <si>
    <t>Tipo Cliente</t>
  </si>
  <si>
    <t>Tarifa</t>
  </si>
  <si>
    <t>Tributos Aplicables</t>
  </si>
  <si>
    <t>AD VALOREM</t>
  </si>
  <si>
    <t>PERCEPCION</t>
  </si>
  <si>
    <t>Costos Destinos</t>
  </si>
  <si>
    <t>ITEM</t>
  </si>
  <si>
    <t>COSTO TOTAL</t>
  </si>
  <si>
    <t>CANTIDAD</t>
  </si>
  <si>
    <t>COSTO UNITARIO</t>
  </si>
  <si>
    <t>COSTO SOLES</t>
  </si>
</sst>
</file>

<file path=xl/styles.xml><?xml version="1.0" encoding="utf-8"?>
<styleSheet xmlns="http://schemas.openxmlformats.org/spreadsheetml/2006/main" xml:space="preserve">
  <numFmts count="13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0.0\ &quot;kg&quot;"/>
    <numFmt numFmtId="173" formatCode="#,##0.000\ &quot;m3&quot;"/>
    <numFmt numFmtId="174" formatCode="&quot;$&quot;#,##0_-"/>
    <numFmt numFmtId="175" formatCode="0.00&quot; tn&quot;"/>
    <numFmt numFmtId="176" formatCode="&quot;S/.&quot; #,##0.00_-"/>
  </numFmts>
  <fonts count="26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2"/>
      <color rgb="FFFFFFFF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0" numFmtId="170" fillId="2" borderId="9" applyFont="0" applyNumberFormat="1" applyFill="1" applyBorder="1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16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2" fillId="4" borderId="0" applyFont="1" applyNumberFormat="1" applyFill="1" applyBorder="0" applyAlignment="1">
      <alignment horizontal="center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17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0" fillId="8" borderId="9" applyFont="1" applyNumberFormat="0" applyFill="1" applyBorder="1" applyAlignment="1">
      <alignment horizontal="center" vertical="center" textRotation="0" wrapText="false" shrinkToFit="false"/>
    </xf>
    <xf xfId="0" fontId="18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19" numFmtId="171" fillId="8" borderId="4" applyFont="1" applyNumberFormat="1" applyFill="1" applyBorder="1" applyAlignment="1">
      <alignment horizontal="center" vertical="center" textRotation="0" wrapText="false" shrinkToFit="false"/>
    </xf>
    <xf xfId="0" fontId="19" numFmtId="171" fillId="8" borderId="6" applyFont="1" applyNumberFormat="1" applyFill="1" applyBorder="1" applyAlignment="1">
      <alignment horizontal="center" vertical="center" textRotation="0" wrapText="false" shrinkToFit="false"/>
    </xf>
    <xf xfId="0" fontId="19" numFmtId="171" fillId="8" borderId="14" applyFont="1" applyNumberFormat="1" applyFill="1" applyBorder="1" applyAlignment="1">
      <alignment horizontal="center" vertical="center" textRotation="0" wrapText="true" shrinkToFit="false"/>
    </xf>
    <xf xfId="0" fontId="19" numFmtId="171" fillId="8" borderId="15" applyFont="1" applyNumberFormat="1" applyFill="1" applyBorder="1" applyAlignment="1">
      <alignment horizontal="center" vertical="center" textRotation="0" wrapText="true" shrinkToFit="false"/>
    </xf>
    <xf xfId="0" fontId="19" numFmtId="171" fillId="8" borderId="0" applyFont="1" applyNumberFormat="1" applyFill="1" applyBorder="0" applyAlignment="1">
      <alignment horizontal="center" vertical="center" textRotation="0" wrapText="true" shrinkToFit="false"/>
    </xf>
    <xf xfId="0" fontId="19" numFmtId="171" fillId="8" borderId="7" applyFont="1" applyNumberFormat="1" applyFill="1" applyBorder="1" applyAlignment="1">
      <alignment horizontal="center" vertical="center" textRotation="0" wrapText="true" shrinkToFit="false"/>
    </xf>
    <xf xfId="0" fontId="19" numFmtId="171" fillId="8" borderId="16" applyFont="1" applyNumberFormat="1" applyFill="1" applyBorder="1" applyAlignment="1">
      <alignment horizontal="center" vertical="center" textRotation="0" wrapText="true" shrinkToFit="false"/>
    </xf>
    <xf xfId="0" fontId="19" numFmtId="171" fillId="8" borderId="17" applyFont="1" applyNumberFormat="1" applyFill="1" applyBorder="1" applyAlignment="1">
      <alignment horizontal="center" vertical="center" textRotation="0" wrapText="true" shrinkToFit="false"/>
    </xf>
    <xf xfId="0" fontId="19" numFmtId="171" fillId="8" borderId="18" applyFont="1" applyNumberFormat="1" applyFill="1" applyBorder="1" applyAlignment="1">
      <alignment horizontal="center" vertical="center" textRotation="0" wrapText="true" shrinkToFit="false"/>
    </xf>
    <xf xfId="0" fontId="19" numFmtId="171" fillId="8" borderId="19" applyFont="1" applyNumberFormat="1" applyFill="1" applyBorder="1" applyAlignment="1">
      <alignment horizontal="center" vertical="center" textRotation="0" wrapText="true" shrinkToFit="false"/>
    </xf>
    <xf xfId="0" fontId="20" numFmtId="0" fillId="9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9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0"/>
    <xf xfId="0" fontId="0" numFmtId="0" fillId="10" borderId="9" applyFont="0" applyNumberFormat="0" applyFill="1" applyBorder="1" applyAlignment="1">
      <alignment horizontal="center" vertical="bottom" textRotation="0" wrapText="false" shrinkToFit="false"/>
    </xf>
    <xf xfId="0" fontId="0" numFmtId="174" fillId="0" borderId="0" applyFont="0" applyNumberFormat="1" applyFill="0" applyBorder="0" applyAlignment="0"/>
    <xf xfId="0" fontId="24" numFmtId="10" fillId="0" borderId="0" applyFont="1" applyNumberFormat="1" applyFill="0" applyBorder="0" applyAlignment="0"/>
    <xf xfId="0" fontId="8" numFmtId="0" fillId="11" borderId="9" applyFont="1" applyNumberFormat="0" applyFill="1" applyBorder="1" applyAlignment="1">
      <alignment horizontal="center" vertical="bottom" textRotation="0" wrapText="false" shrinkToFit="false"/>
    </xf>
    <xf xfId="0" fontId="0" numFmtId="0" fillId="12" borderId="9" applyFont="0" applyNumberFormat="0" applyFill="1" applyBorder="1" applyAlignment="0"/>
    <xf xfId="0" fontId="8" numFmtId="0" fillId="11" borderId="9" applyFont="1" applyNumberFormat="0" applyFill="1" applyBorder="1" applyAlignment="0"/>
    <xf xfId="0" fontId="0" numFmtId="174" fillId="0" borderId="9" applyFont="0" applyNumberFormat="1" applyFill="0" applyBorder="1" applyAlignment="0"/>
    <xf xfId="0" fontId="0" numFmtId="10" fillId="0" borderId="9" applyFont="0" applyNumberFormat="1" applyFill="0" applyBorder="1" applyAlignment="0"/>
    <xf xfId="0" fontId="0" numFmtId="175" fillId="0" borderId="9" applyFont="0" applyNumberFormat="1" applyFill="0" applyBorder="1" applyAlignment="0"/>
    <xf xfId="0" fontId="5" numFmtId="0" fillId="0" borderId="9" applyFont="1" applyNumberFormat="0" applyFill="0" applyBorder="1" applyAlignment="0"/>
    <xf xfId="0" fontId="5" numFmtId="174" fillId="0" borderId="9" applyFont="1" applyNumberFormat="1" applyFill="0" applyBorder="1" applyAlignment="0"/>
    <xf xfId="0" fontId="0" numFmtId="176" fillId="0" borderId="9" applyFont="0" applyNumberFormat="1" applyFill="0" applyBorder="1" applyAlignment="0"/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4" fillId="4" borderId="0" applyFont="1" applyNumberFormat="1" applyFill="1" applyBorder="0" applyAlignment="1">
      <alignment horizontal="center" vertical="bottom" textRotation="0" wrapText="false" shrinkToFit="false"/>
    </xf>
    <xf xfId="0" fontId="8" numFmtId="174" fillId="5" borderId="9" applyFont="1" applyNumberFormat="1" applyFill="1" applyBorder="1" applyAlignment="1">
      <alignment horizontal="center" vertical="bottom" textRotation="0" wrapText="false" shrinkToFit="false"/>
    </xf>
    <xf xfId="0" fontId="8" numFmtId="176" fillId="5" borderId="9" applyFont="1" applyNumberFormat="1" applyFill="1" applyBorder="1" applyAlignment="1">
      <alignment horizontal="center" vertical="bottom" textRotation="0" wrapText="false" shrinkToFit="false"/>
    </xf>
    <xf xfId="0" fontId="0" numFmtId="174" fillId="2" borderId="9" applyFont="0" applyNumberFormat="1" applyFill="1" applyBorder="1" applyAlignment="1">
      <alignment horizontal="center" vertical="bottom" textRotation="0" wrapText="false" shrinkToFit="false"/>
    </xf>
    <xf xfId="0" fontId="0" numFmtId="174" fillId="2" borderId="9" applyFont="0" applyNumberFormat="1" applyFill="1" applyBorder="1" applyAlignment="0"/>
    <xf xfId="0" fontId="9" numFmtId="174" fillId="2" borderId="9" applyFont="1" applyNumberFormat="1" applyFill="1" applyBorder="1" applyAlignment="0"/>
    <xf xfId="0" fontId="5" numFmtId="174" fillId="2" borderId="9" applyFont="1" applyNumberFormat="1" applyFill="1" applyBorder="1" applyAlignment="1">
      <alignment horizontal="right" vertical="bottom" textRotation="0" wrapText="false" shrinkToFit="false"/>
    </xf>
    <xf xfId="0" fontId="25" numFmtId="176" fillId="5" borderId="9" applyFont="1" applyNumberFormat="1" applyFill="1" applyBorder="1" applyAlignment="1">
      <alignment horizontal="left" vertical="bottom" textRotation="0" wrapText="false" shrinkToFit="false"/>
    </xf>
    <xf xfId="0" fontId="2" numFmtId="0" fillId="2" borderId="9" applyFont="1" applyNumberFormat="0" applyFill="1" applyBorder="1" applyAlignment="0"/>
    <xf xfId="0" fontId="4" numFmtId="0" fillId="2" borderId="9" applyFont="1" applyNumberFormat="0" applyFill="1" applyBorder="1" applyAlignment="0"/>
    <xf xfId="0" fontId="4" numFmtId="174" fillId="2" borderId="9" applyFont="1" applyNumberFormat="1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91c28fba22400e34d31650dbeae342d.png"/><Relationship Id="rId2" Type="http://schemas.openxmlformats.org/officeDocument/2006/relationships/image" Target="../media/8c389b243dff461f1445e4e199a3f3a4.png"/><Relationship Id="rId3" Type="http://schemas.openxmlformats.org/officeDocument/2006/relationships/image" Target="../media/8c389b243dff461f1445e4e199a3f3a4.png"/><Relationship Id="rId4" Type="http://schemas.openxmlformats.org/officeDocument/2006/relationships/image" Target="../media/091c28fba22400e34d31650dbeae342d.png"/><Relationship Id="rId5" Type="http://schemas.openxmlformats.org/officeDocument/2006/relationships/image" Target="../media/7028a1d82577d8f0088e95736740258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0" workbookViewId="0" zoomScale="70" zoomScaleNormal="70" showGridLines="false" showRowColHeaders="1" topLeftCell="A25">
      <selection activeCell="J40" sqref="J40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62"/>
      <c r="G3" s="62"/>
      <c r="H3" s="62"/>
      <c r="I3" s="62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63"/>
      <c r="G4" s="63"/>
      <c r="H4" s="63"/>
      <c r="I4" s="63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64" t="s">
        <v>0</v>
      </c>
      <c r="E7" s="64"/>
      <c r="F7" s="64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14" t="s">
        <v>3</v>
      </c>
      <c r="D8" s="9" t="s">
        <v>4</v>
      </c>
      <c r="E8" s="10" t="s">
        <v>5</v>
      </c>
      <c r="F8" s="11"/>
      <c r="G8" s="3"/>
      <c r="H8" s="1" t="s">
        <v>6</v>
      </c>
      <c r="I8" s="65" t="str">
        <f>+'2'!D5</f>
        <v>BOMBA DE ENGRANAJE EXTERNA</v>
      </c>
      <c r="J8" s="65"/>
      <c r="K8" s="65"/>
      <c r="L8" s="1"/>
      <c r="M8" s="1"/>
      <c r="N8" s="1"/>
      <c r="O8" s="1"/>
      <c r="P8" s="1"/>
      <c r="Q8" s="1"/>
    </row>
    <row r="9" spans="1:17">
      <c r="A9" s="7" t="s">
        <v>7</v>
      </c>
      <c r="B9" s="8"/>
      <c r="C9" s="1"/>
      <c r="D9" s="12" t="s">
        <v>8</v>
      </c>
      <c r="E9" s="66">
        <f>+TODAY()</f>
        <v>45940</v>
      </c>
      <c r="F9" s="67"/>
      <c r="G9" s="3"/>
      <c r="H9" s="1" t="s">
        <v>9</v>
      </c>
      <c r="I9" s="68">
        <f>+'2'!D6</f>
        <v>0</v>
      </c>
      <c r="J9" s="68" t="s">
        <v>10</v>
      </c>
      <c r="K9" s="68"/>
      <c r="L9" s="1"/>
      <c r="M9" s="1"/>
      <c r="N9" s="1"/>
      <c r="O9" s="1"/>
      <c r="P9" s="1"/>
      <c r="Q9" s="1"/>
    </row>
    <row r="10" spans="1:17">
      <c r="A10" s="7" t="s">
        <v>11</v>
      </c>
      <c r="B10" s="8"/>
      <c r="C10" s="1">
        <v>42514606</v>
      </c>
      <c r="D10" s="13" t="s">
        <v>12</v>
      </c>
      <c r="E10" s="1" t="s">
        <v>13</v>
      </c>
      <c r="F10" s="14"/>
      <c r="G10" s="3"/>
      <c r="H10" s="1" t="s">
        <v>14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15</v>
      </c>
      <c r="B11" s="16">
        <v>51912768538</v>
      </c>
      <c r="C11" s="1" t="s">
        <v>16</v>
      </c>
      <c r="D11" s="17" t="s">
        <v>17</v>
      </c>
      <c r="E11" s="18" t="s">
        <v>18</v>
      </c>
      <c r="F11" s="19" t="s">
        <v>19</v>
      </c>
      <c r="G11" s="1"/>
      <c r="H11" s="1" t="s">
        <v>20</v>
      </c>
      <c r="I11" s="69" t="s">
        <v>21</v>
      </c>
      <c r="J11" s="115">
        <f>'2'!I7</f>
        <v>0</v>
      </c>
      <c r="K11" s="69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70" t="s">
        <v>22</v>
      </c>
      <c r="B13" s="70"/>
      <c r="C13" s="70"/>
      <c r="D13" s="70"/>
      <c r="E13" s="70"/>
      <c r="F13" s="21"/>
      <c r="G13" s="21"/>
      <c r="H13" s="22"/>
      <c r="I13" s="22"/>
      <c r="J13" s="23" t="s">
        <v>23</v>
      </c>
      <c r="K13" s="23" t="s">
        <v>24</v>
      </c>
      <c r="L13" s="1"/>
      <c r="M13" s="1"/>
      <c r="N13" s="1"/>
      <c r="O13" s="1"/>
      <c r="P13" s="1"/>
      <c r="Q13" s="1"/>
    </row>
    <row r="14" spans="1:17">
      <c r="A14" s="71" t="s">
        <v>25</v>
      </c>
      <c r="B14" s="71"/>
      <c r="C14" s="71"/>
      <c r="D14" s="3"/>
      <c r="E14" s="3"/>
      <c r="F14" s="3"/>
      <c r="G14" s="3"/>
      <c r="H14" s="1"/>
      <c r="I14" s="1"/>
      <c r="J14" s="25">
        <f>'2'!D18</f>
        <v>317.80331152357</v>
      </c>
      <c r="K14" s="26">
        <f>'2'!I11</f>
        <v>450</v>
      </c>
      <c r="L14" s="1"/>
      <c r="M14" s="1"/>
      <c r="N14" s="1"/>
      <c r="O14" s="1"/>
      <c r="P14" s="1"/>
      <c r="Q14" s="1"/>
    </row>
    <row r="15" spans="1:17">
      <c r="A15" s="72" t="s">
        <v>26</v>
      </c>
      <c r="B15" s="72"/>
      <c r="C15" s="72"/>
      <c r="D15" s="18"/>
      <c r="E15" s="18"/>
      <c r="F15" s="18"/>
      <c r="G15" s="18"/>
      <c r="H15" s="18"/>
      <c r="I15" s="18"/>
      <c r="J15" s="27" t="e">
        <f>IF(I11&lt;1,'2'!D21+'2'!D24,60%*(T16*I11)+'2'!D24)</f>
        <v>#VALUE!</v>
      </c>
      <c r="K15" s="28">
        <f>'2'!I14 + '2'!I17</f>
        <v>26.704967285352</v>
      </c>
      <c r="L15" s="1"/>
      <c r="M15" s="1"/>
      <c r="N15" s="1"/>
      <c r="O15" s="1"/>
      <c r="P15" s="1"/>
      <c r="Q15" s="1"/>
    </row>
    <row r="16" spans="1:17">
      <c r="A16" s="7" t="s">
        <v>27</v>
      </c>
      <c r="B16" s="3"/>
      <c r="C16" s="3"/>
      <c r="D16" s="3"/>
      <c r="E16" s="3"/>
      <c r="F16" s="3"/>
      <c r="G16" s="3"/>
      <c r="H16" s="3"/>
      <c r="I16" s="3"/>
      <c r="J16" s="25" t="e">
        <f>SUM(J14:J15)</f>
        <v>#VALUE!</v>
      </c>
      <c r="K16" s="26" t="s">
        <v>28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70" t="s">
        <v>29</v>
      </c>
      <c r="B19" s="70"/>
      <c r="C19" s="70"/>
      <c r="D19" s="70"/>
      <c r="E19" s="70"/>
      <c r="F19" s="21"/>
      <c r="G19" s="21"/>
      <c r="H19" s="21"/>
      <c r="I19" s="23" t="s">
        <v>30</v>
      </c>
      <c r="J19" s="23" t="s">
        <v>23</v>
      </c>
      <c r="K19" s="23" t="s">
        <v>24</v>
      </c>
      <c r="L19" s="1"/>
      <c r="M19" s="1"/>
      <c r="N19" s="1"/>
      <c r="O19" s="1"/>
      <c r="P19" s="1"/>
      <c r="Q19" s="1"/>
    </row>
    <row r="20" spans="1:17">
      <c r="A20" s="3" t="s">
        <v>31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'2'!D34</f>
        <v>0</v>
      </c>
      <c r="K20" s="26">
        <f>'2'!I28</f>
        <v>0</v>
      </c>
      <c r="L20" s="1"/>
      <c r="M20" s="1"/>
      <c r="N20" s="30" t="s">
        <v>32</v>
      </c>
      <c r="O20" s="1"/>
      <c r="P20" s="1"/>
      <c r="Q20" s="1"/>
    </row>
    <row r="21" spans="1:17">
      <c r="A21" s="3" t="s">
        <v>33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0</v>
      </c>
      <c r="K21" s="26">
        <f>'2'!I29</f>
        <v>76.272794765656</v>
      </c>
      <c r="L21" s="1"/>
      <c r="M21" s="1"/>
      <c r="N21" s="31" t="e">
        <f>J31/I11</f>
        <v>#VALUE!</v>
      </c>
      <c r="O21" s="1"/>
      <c r="P21" s="1"/>
      <c r="Q21" s="1"/>
    </row>
    <row r="22" spans="1:17">
      <c r="A22" s="3" t="s">
        <v>34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0</v>
      </c>
      <c r="K22" s="26">
        <f>'2'!I30</f>
        <v>9.534099345707</v>
      </c>
      <c r="L22" s="1"/>
      <c r="M22" s="1"/>
      <c r="N22" s="1"/>
      <c r="O22" s="1"/>
      <c r="P22" s="1"/>
      <c r="Q22" s="1"/>
    </row>
    <row r="23" spans="1:17">
      <c r="A23" s="18" t="s">
        <v>35</v>
      </c>
      <c r="B23" s="18"/>
      <c r="C23" s="18"/>
      <c r="D23" s="18"/>
      <c r="E23" s="18"/>
      <c r="F23" s="18"/>
      <c r="G23" s="18"/>
      <c r="H23" s="18"/>
      <c r="I23" s="32">
        <f>MAX('2'!C30:C30)</f>
        <v>32.543059100013</v>
      </c>
      <c r="J23" s="27">
        <f>'2'!D31</f>
        <v>13.125276765923</v>
      </c>
      <c r="K23" s="28" t="s">
        <v>28</v>
      </c>
      <c r="L23" s="1"/>
      <c r="M23" s="1"/>
      <c r="N23" s="1"/>
      <c r="O23" s="1"/>
      <c r="P23" s="1"/>
      <c r="Q23" s="1"/>
    </row>
    <row r="24" spans="1:17">
      <c r="A24" s="7" t="s">
        <v>36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13.125276765923</v>
      </c>
      <c r="K24" s="26" t="s">
        <v>28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>
        <f>'2'!I31</f>
        <v>19.687915148885</v>
      </c>
      <c r="L25" s="1"/>
      <c r="M25" s="1"/>
      <c r="N25" s="1"/>
      <c r="O25" s="1"/>
      <c r="P25" s="1"/>
      <c r="Q25" s="1"/>
    </row>
    <row r="26" spans="1:17">
      <c r="A26" s="18" t="s">
        <v>37</v>
      </c>
      <c r="B26" s="18"/>
      <c r="C26" s="18"/>
      <c r="D26" s="18"/>
      <c r="E26" s="18"/>
      <c r="F26" s="18"/>
      <c r="G26" s="18"/>
      <c r="H26" s="18"/>
      <c r="I26" s="36" t="s">
        <v>38</v>
      </c>
      <c r="J26" s="27">
        <f>'2'!D37</f>
        <v/>
      </c>
      <c r="K26" s="28" t="s">
        <v>28</v>
      </c>
      <c r="L26" s="1"/>
      <c r="M26" s="1"/>
      <c r="N26" s="1"/>
      <c r="O26" s="1"/>
      <c r="P26" s="1"/>
      <c r="Q26" s="1"/>
    </row>
    <row r="27" spans="1:17">
      <c r="A27" s="7" t="s">
        <v>39</v>
      </c>
      <c r="B27" s="3"/>
      <c r="C27" s="3"/>
      <c r="D27" s="3"/>
      <c r="E27" s="3"/>
      <c r="F27" s="3"/>
      <c r="G27" s="3"/>
      <c r="H27" s="3"/>
      <c r="I27" s="1"/>
      <c r="J27" s="25">
        <f>J24+J26</f>
        <v>13.125276765923</v>
      </c>
      <c r="K27" s="26" t="s">
        <v>28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61" t="s">
        <v>40</v>
      </c>
      <c r="B29" s="61"/>
      <c r="C29" s="61"/>
      <c r="D29" s="61"/>
      <c r="E29" s="61"/>
      <c r="F29" s="37"/>
      <c r="G29" s="37"/>
      <c r="H29" s="38"/>
      <c r="I29" s="38"/>
      <c r="J29" s="38" t="s">
        <v>23</v>
      </c>
      <c r="K29" s="38">
        <f>K14</f>
        <v>450</v>
      </c>
      <c r="L29" s="1"/>
      <c r="M29" s="1"/>
      <c r="N29" s="1"/>
      <c r="O29" s="1"/>
      <c r="P29" s="1"/>
      <c r="Q29" s="1"/>
    </row>
    <row r="30" spans="1:17">
      <c r="A30" s="3" t="s">
        <v>41</v>
      </c>
      <c r="B30" s="3"/>
      <c r="C30" s="3"/>
      <c r="D30" s="3"/>
      <c r="E30" s="3"/>
      <c r="F30" s="3"/>
      <c r="G30" s="3"/>
      <c r="H30" s="25"/>
      <c r="I30" s="25"/>
      <c r="J30" s="25">
        <f>J14</f>
        <v>317.80331152357</v>
      </c>
      <c r="K30" s="26">
        <f>IF(J11&lt;1, 445, 445*J11)</f>
        <v>445</v>
      </c>
      <c r="L30" s="1"/>
      <c r="M30" s="1"/>
      <c r="N30" s="1"/>
      <c r="O30" s="1"/>
      <c r="P30" s="1"/>
      <c r="Q30" s="1"/>
    </row>
    <row r="31" spans="1:17">
      <c r="A31" s="3" t="s">
        <v>42</v>
      </c>
      <c r="B31" s="3"/>
      <c r="C31" s="3"/>
      <c r="D31" s="3"/>
      <c r="E31" s="3"/>
      <c r="F31" s="3"/>
      <c r="G31" s="3"/>
      <c r="H31" s="25"/>
      <c r="I31" s="25"/>
      <c r="J31" s="25" t="e">
        <f>IF(I11&lt;1,T16,T16*I11)</f>
        <v>#VALUE!</v>
      </c>
      <c r="K31" s="26">
        <f>K20+K21+K22+K25</f>
        <v>105.49480926025</v>
      </c>
      <c r="L31" s="30" t="s">
        <v>23</v>
      </c>
      <c r="M31" s="1"/>
      <c r="N31" s="1"/>
      <c r="O31" s="1"/>
      <c r="P31" s="1"/>
      <c r="Q31" s="1"/>
    </row>
    <row r="32" spans="1:17">
      <c r="A32" s="18" t="s">
        <v>43</v>
      </c>
      <c r="B32" s="18"/>
      <c r="C32" s="18"/>
      <c r="D32" s="18"/>
      <c r="E32" s="18"/>
      <c r="F32" s="18"/>
      <c r="G32" s="18"/>
      <c r="H32" s="27"/>
      <c r="I32" s="27"/>
      <c r="J32" s="27">
        <f>J27</f>
        <v>13.125276765923</v>
      </c>
      <c r="K32" s="28">
        <f>K29+K30+K31</f>
        <v>1000.4948092602</v>
      </c>
      <c r="L32" s="1"/>
      <c r="M32" s="1"/>
      <c r="N32" s="34"/>
      <c r="O32" s="1"/>
      <c r="P32" s="1"/>
      <c r="Q32" s="1"/>
    </row>
    <row r="33" spans="1:17">
      <c r="A33" s="7" t="s">
        <v>44</v>
      </c>
      <c r="B33" s="3"/>
      <c r="C33" s="3"/>
      <c r="D33" s="3"/>
      <c r="E33" s="3"/>
      <c r="F33" s="3"/>
      <c r="G33" s="3"/>
      <c r="H33" s="25"/>
      <c r="I33" s="25"/>
      <c r="J33" s="25" t="e">
        <f>SUM(J30:J32)</f>
        <v>#VALUE!</v>
      </c>
      <c r="K33" s="26" t="s">
        <v>28</v>
      </c>
      <c r="L33" s="1"/>
      <c r="M33" s="75" t="s">
        <v>45</v>
      </c>
      <c r="N33" s="75"/>
      <c r="O33" s="75"/>
      <c r="P33" s="75"/>
      <c r="Q33" s="75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76"/>
      <c r="N34" s="76"/>
      <c r="O34" s="76"/>
      <c r="P34" s="76"/>
      <c r="Q34" s="76"/>
    </row>
    <row r="35" spans="1:17">
      <c r="A35" s="77" t="s">
        <v>46</v>
      </c>
      <c r="B35" s="78"/>
      <c r="C35" s="78"/>
      <c r="D35" s="78"/>
      <c r="E35" s="78"/>
      <c r="F35" s="78"/>
      <c r="G35" s="78"/>
      <c r="H35" s="78"/>
      <c r="I35" s="78"/>
      <c r="J35" s="78"/>
      <c r="K35" s="79"/>
      <c r="L35" s="1"/>
      <c r="M35" s="80" t="s">
        <v>47</v>
      </c>
      <c r="N35" s="82" t="s">
        <v>48</v>
      </c>
      <c r="O35" s="84" t="s">
        <v>49</v>
      </c>
      <c r="P35" s="86" t="s">
        <v>50</v>
      </c>
      <c r="Q35" s="88" t="s">
        <v>51</v>
      </c>
    </row>
    <row r="36" spans="1:17">
      <c r="A36" s="39"/>
      <c r="B36" s="41">
        <v>1</v>
      </c>
      <c r="C36" s="41" t="s">
        <v>52</v>
      </c>
      <c r="D36" s="41"/>
      <c r="E36" s="41"/>
      <c r="F36" s="41">
        <f>'2'!C10</f>
        <v>24</v>
      </c>
      <c r="G36" s="118">
        <f>'2'!C8</f>
        <v>64</v>
      </c>
      <c r="H36" s="42"/>
      <c r="I36" s="118">
        <f>'2'!C46</f>
        <v>83.909461313393</v>
      </c>
      <c r="J36" s="116">
        <f>'2'!C44</f>
        <v>2013.8270715214</v>
      </c>
      <c r="K36" s="117">
        <f>'2'!C47</f>
        <v>310.46500685955</v>
      </c>
      <c r="L36" s="42"/>
      <c r="M36" s="81"/>
      <c r="N36" s="83"/>
      <c r="O36" s="85"/>
      <c r="P36" s="87"/>
      <c r="Q36" s="89"/>
    </row>
    <row r="37" spans="1:17">
      <c r="A37" s="39"/>
      <c r="B37" s="41">
        <v>2</v>
      </c>
      <c r="C37" s="41" t="s">
        <v>53</v>
      </c>
      <c r="D37" s="41"/>
      <c r="E37" s="41"/>
      <c r="F37" s="59">
        <f>'2'!D10</f>
        <v>10</v>
      </c>
      <c r="G37" s="118">
        <f>'2'!D8</f>
        <v>30</v>
      </c>
      <c r="H37" s="58"/>
      <c r="I37" s="119">
        <f>'2'!D46</f>
        <v>39.332559990653</v>
      </c>
      <c r="J37" s="116">
        <f>'2'!D44</f>
        <v>393.32559990653</v>
      </c>
      <c r="K37" s="117">
        <f>'2'!D47</f>
        <v>145.53047196542</v>
      </c>
      <c r="L37" s="42"/>
      <c r="M37" s="39">
        <v>1</v>
      </c>
      <c r="N37" s="40">
        <f>+B37</f>
        <v>2</v>
      </c>
      <c r="O37" s="43">
        <f>+F37</f>
        <v>10</v>
      </c>
      <c r="P37" s="44">
        <f>+H37</f>
        <v/>
      </c>
      <c r="Q37" s="45">
        <f>P37*3.8</f>
        <v>0</v>
      </c>
    </row>
    <row r="38" spans="1:17" customHeight="1" ht="15.6">
      <c r="A38" s="46"/>
      <c r="B38" s="41">
        <v>3</v>
      </c>
      <c r="C38" s="41" t="s">
        <v>54</v>
      </c>
      <c r="D38" s="41"/>
      <c r="E38" s="60"/>
      <c r="F38" s="41">
        <f>'2'!E10</f>
        <v>12</v>
      </c>
      <c r="G38" s="118">
        <f>'2'!E8</f>
        <v>195.5</v>
      </c>
      <c r="H38" s="42"/>
      <c r="I38" s="120">
        <f>'2'!E46</f>
        <v>256.31718260576</v>
      </c>
      <c r="J38" s="121">
        <f>'2'!E44</f>
        <v>3075.8061912691</v>
      </c>
      <c r="K38" s="122">
        <f>'2'!E47</f>
        <v>948.37357564129</v>
      </c>
      <c r="L38" s="41"/>
      <c r="M38" s="1"/>
      <c r="N38" s="1"/>
      <c r="O38" s="1"/>
      <c r="P38" s="1"/>
      <c r="Q38" s="1"/>
    </row>
    <row r="39" spans="1:17" customHeight="1" ht="15.6">
      <c r="A39" s="46"/>
      <c r="B39" s="41">
        <v>4</v>
      </c>
      <c r="C39" s="41" t="s">
        <v>55</v>
      </c>
      <c r="D39" s="41"/>
      <c r="E39" s="60"/>
      <c r="F39" s="41">
        <f>'2'!F10</f>
        <v>12</v>
      </c>
      <c r="G39" s="118">
        <f>'2'!F8</f>
        <v>108.75</v>
      </c>
      <c r="H39" s="42"/>
      <c r="I39" s="120">
        <f>'2'!F46</f>
        <v>142.58052996612</v>
      </c>
      <c r="J39" s="121">
        <f>'2'!F44</f>
        <v>1710.9663595934</v>
      </c>
      <c r="K39" s="122">
        <f>'2'!F47</f>
        <v>527.54796087463</v>
      </c>
      <c r="L39" s="42"/>
      <c r="M39" s="90" t="s">
        <v>56</v>
      </c>
      <c r="N39" s="90"/>
      <c r="O39" s="90"/>
      <c r="P39" s="91" t="s">
        <v>57</v>
      </c>
      <c r="Q39" s="92"/>
    </row>
    <row r="40" spans="1:17" customHeight="1" ht="18">
      <c r="A40" s="48" t="s">
        <v>58</v>
      </c>
      <c r="B40" s="124" t="s">
        <v>39</v>
      </c>
      <c r="C40" s="123"/>
      <c r="D40" s="123"/>
      <c r="E40" s="123"/>
      <c r="F40" s="124">
        <f>SUM(F36:F39)</f>
        <v>58</v>
      </c>
      <c r="G40" s="123"/>
      <c r="H40" s="123"/>
      <c r="I40" s="123"/>
      <c r="J40" s="125">
        <f>SUM(J36:J39)</f>
        <v>7193.9252222904</v>
      </c>
      <c r="K40" s="42"/>
      <c r="L40" s="42"/>
      <c r="M40" s="90"/>
      <c r="N40" s="90"/>
      <c r="O40" s="90"/>
      <c r="P40" s="93"/>
      <c r="Q40" s="94"/>
    </row>
    <row r="41" spans="1:17" customHeight="1" ht="21">
      <c r="A41" s="49" t="s">
        <v>59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73" t="s">
        <v>60</v>
      </c>
      <c r="N41" s="74"/>
      <c r="O41" s="50" t="e">
        <f>+J31</f>
        <v>#VALUE!</v>
      </c>
      <c r="P41" s="51" t="s">
        <v>61</v>
      </c>
      <c r="Q41" s="1"/>
    </row>
    <row r="42" spans="1:17" customHeight="1" ht="21">
      <c r="A42" s="49" t="s">
        <v>62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73" t="s">
        <v>63</v>
      </c>
      <c r="N42" s="74"/>
      <c r="O42" s="50">
        <f>+J32</f>
        <v>13.125276765923</v>
      </c>
      <c r="P42" s="51" t="s">
        <v>64</v>
      </c>
      <c r="Q42" s="1"/>
    </row>
    <row r="43" spans="1:17" customHeight="1" ht="18">
      <c r="A43" s="49" t="s">
        <v>65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49" t="s">
        <v>66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95" t="s">
        <v>67</v>
      </c>
      <c r="N44" s="95"/>
      <c r="O44" s="96" t="e">
        <f>+O41+O42+J14</f>
        <v>#VALUE!</v>
      </c>
      <c r="P44" s="98" t="s">
        <v>68</v>
      </c>
      <c r="Q44" s="99"/>
    </row>
    <row r="45" spans="1:17" customHeight="1" ht="18">
      <c r="A45" s="49" t="s">
        <v>69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95"/>
      <c r="N45" s="95"/>
      <c r="O45" s="97"/>
      <c r="P45" s="98"/>
      <c r="Q45" s="99"/>
    </row>
    <row r="46" spans="1:17" customHeight="1" ht="18">
      <c r="A46" s="49" t="s">
        <v>70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49" t="s">
        <v>71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49" t="s">
        <v>72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00" t="s">
        <v>73</v>
      </c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2" t="s">
        <v>74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2" t="s">
        <v>75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76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2" t="s">
        <v>77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2" t="s">
        <v>78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79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2" t="s">
        <v>80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2" t="s">
        <v>81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2" t="s">
        <v>82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2" t="s">
        <v>83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2" t="s">
        <v>84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2" t="s">
        <v>85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2" t="s">
        <v>86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2" t="s">
        <v>87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2" t="s">
        <v>88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3" t="s">
        <v>89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2" t="s">
        <v>90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4" t="s">
        <v>91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2" t="s">
        <v>92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93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2" t="s">
        <v>94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2" t="s">
        <v>95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2" t="s">
        <v>96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2" t="s">
        <v>97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2" t="s">
        <v>98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2" t="s">
        <v>99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2" t="s">
        <v>100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5" t="s">
        <v>101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5" t="s">
        <v>102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5" t="s">
        <v>103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5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56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56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7"/>
      <c r="D104" s="1"/>
      <c r="E104" s="1"/>
      <c r="F104" s="1"/>
      <c r="G104" s="1"/>
      <c r="H104" s="47"/>
      <c r="I104" s="47"/>
      <c r="J104" s="47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7"/>
      <c r="D105" s="1"/>
      <c r="E105" s="1"/>
      <c r="F105" s="1"/>
      <c r="G105" s="1"/>
      <c r="H105" s="47"/>
      <c r="I105" s="47"/>
      <c r="J105" s="47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57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C8:C9"/>
    <mergeCell ref="C36:E36"/>
    <mergeCell ref="G36:H36"/>
    <mergeCell ref="K36:L36"/>
    <mergeCell ref="C37:E37"/>
    <mergeCell ref="G37:H37"/>
    <mergeCell ref="K37:L37"/>
    <mergeCell ref="C38:E38"/>
    <mergeCell ref="G38:H38"/>
    <mergeCell ref="K38:L38"/>
    <mergeCell ref="C39:E39"/>
    <mergeCell ref="G39:H39"/>
    <mergeCell ref="K39:L39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47"/>
  <sheetViews>
    <sheetView tabSelected="1" workbookViewId="0" showGridLines="true" showRowColHeaders="1">
      <selection activeCell="B40" sqref="B40:K47"/>
    </sheetView>
  </sheetViews>
  <sheetFormatPr defaultRowHeight="14.4" outlineLevelRow="0" outlineLevelCol="0"/>
  <cols>
    <col min="2" max="2" width="24.708" bestFit="true" customWidth="true" style="0"/>
    <col min="3" max="3" width="29.421" bestFit="true" customWidth="true" style="0"/>
    <col min="4" max="4" width="31.707" bestFit="true" customWidth="true" style="0"/>
    <col min="5" max="5" width="19.995" bestFit="true" customWidth="true" style="0"/>
    <col min="6" max="6" width="36.42" bestFit="true" customWidth="true" style="0"/>
    <col min="7" max="7" width="32.992" bestFit="true" customWidth="true" style="0"/>
    <col min="8" max="8" width="39.99" bestFit="true" customWidth="true" style="0"/>
    <col min="9" max="9" width="38.848" bestFit="true" customWidth="true" style="0"/>
  </cols>
  <sheetData>
    <row r="3" spans="1:14">
      <c r="B3" s="102" t="s">
        <v>104</v>
      </c>
      <c r="C3" s="101"/>
      <c r="D3" s="101"/>
      <c r="E3" s="101"/>
      <c r="F3" s="101"/>
      <c r="G3" s="101"/>
    </row>
    <row r="5" spans="1:14">
      <c r="B5" s="105" t="s">
        <v>105</v>
      </c>
      <c r="C5" s="107" t="s">
        <v>52</v>
      </c>
      <c r="D5" s="107" t="s">
        <v>53</v>
      </c>
      <c r="E5" s="107" t="s">
        <v>54</v>
      </c>
      <c r="F5" s="107" t="s">
        <v>55</v>
      </c>
      <c r="G5" s="107" t="s">
        <v>120</v>
      </c>
      <c r="H5" s="107" t="s">
        <v>121</v>
      </c>
      <c r="I5" s="107" t="s">
        <v>122</v>
      </c>
      <c r="J5" s="107" t="s">
        <v>123</v>
      </c>
      <c r="K5" s="101"/>
    </row>
    <row r="6" spans="1:14">
      <c r="B6" s="101" t="s">
        <v>106</v>
      </c>
      <c r="C6" s="101">
        <v>0</v>
      </c>
      <c r="D6" s="101">
        <v>0</v>
      </c>
      <c r="E6" s="101">
        <v>0</v>
      </c>
      <c r="F6" s="101">
        <v>0</v>
      </c>
      <c r="G6" s="101">
        <v>0</v>
      </c>
      <c r="H6" s="101">
        <v>0</v>
      </c>
      <c r="I6" s="101">
        <v>0</v>
      </c>
      <c r="J6" s="110">
        <v>1.11</v>
      </c>
      <c r="K6" s="101"/>
      <c r="M6" t="s">
        <v>124</v>
      </c>
      <c r="N6" t="s">
        <v>125</v>
      </c>
    </row>
    <row r="7" spans="1:14">
      <c r="B7" s="101" t="s">
        <v>107</v>
      </c>
      <c r="C7" s="101">
        <v>0</v>
      </c>
      <c r="D7" s="101">
        <v>0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11">
        <v>1.29</v>
      </c>
      <c r="K7" s="101"/>
      <c r="M7" t="s">
        <v>19</v>
      </c>
      <c r="N7">
        <v>445.0</v>
      </c>
    </row>
    <row r="8" spans="1:14">
      <c r="B8" s="101" t="s">
        <v>108</v>
      </c>
      <c r="C8" s="108">
        <v>64.0</v>
      </c>
      <c r="D8" s="108">
        <v>30.0</v>
      </c>
      <c r="E8" s="108">
        <v>195.5</v>
      </c>
      <c r="F8" s="108">
        <v>108.75</v>
      </c>
      <c r="G8" s="108">
        <v>54.166666666667</v>
      </c>
      <c r="H8" s="108">
        <v>21.0</v>
      </c>
      <c r="I8" s="108">
        <v>37.5</v>
      </c>
      <c r="J8" s="101"/>
      <c r="K8" s="101"/>
    </row>
    <row r="9" spans="1:14">
      <c r="B9" s="106" t="s">
        <v>109</v>
      </c>
      <c r="C9" s="108">
        <v>0.0</v>
      </c>
      <c r="D9" s="108">
        <v>0.0</v>
      </c>
      <c r="E9" s="108">
        <v>0.0</v>
      </c>
      <c r="F9" s="108">
        <v>0.0</v>
      </c>
      <c r="G9" s="108">
        <v>0.0</v>
      </c>
      <c r="H9" s="108">
        <v>0.0</v>
      </c>
      <c r="I9" s="108">
        <v>0.0</v>
      </c>
      <c r="J9" s="101"/>
      <c r="K9" s="101"/>
    </row>
    <row r="10" spans="1:14">
      <c r="B10" s="101" t="s">
        <v>110</v>
      </c>
      <c r="C10" s="101">
        <v>24.0</v>
      </c>
      <c r="D10" s="101">
        <v>10.0</v>
      </c>
      <c r="E10" s="101">
        <v>12.0</v>
      </c>
      <c r="F10" s="101">
        <v>12.0</v>
      </c>
      <c r="G10" s="101">
        <v>24.0</v>
      </c>
      <c r="H10" s="101">
        <v>12.0</v>
      </c>
      <c r="I10" s="101">
        <v>12.0</v>
      </c>
      <c r="J10" s="101">
        <f>SUM(C10:I10)</f>
        <v>106</v>
      </c>
      <c r="K10" s="101"/>
    </row>
    <row r="11" spans="1:14">
      <c r="B11" s="101" t="s">
        <v>111</v>
      </c>
      <c r="C11" s="108">
        <f>C8*C10</f>
        <v>1536</v>
      </c>
      <c r="D11" s="108">
        <f>D8*D10</f>
        <v>300</v>
      </c>
      <c r="E11" s="108">
        <f>E8*E10</f>
        <v>2346</v>
      </c>
      <c r="F11" s="108">
        <f>F8*F10</f>
        <v>1305</v>
      </c>
      <c r="G11" s="108">
        <f>G8*G10</f>
        <v>1300</v>
      </c>
      <c r="H11" s="108">
        <f>H8*H10</f>
        <v>252</v>
      </c>
      <c r="I11" s="108">
        <f>I8*I10</f>
        <v>450</v>
      </c>
      <c r="J11" s="101">
        <f>SUM(C11:I11)</f>
        <v>7489</v>
      </c>
      <c r="K11" s="101"/>
    </row>
    <row r="12" spans="1:14">
      <c r="B12" s="106" t="s">
        <v>112</v>
      </c>
      <c r="C12" s="108">
        <f>C10*C9</f>
        <v>0</v>
      </c>
      <c r="D12" s="108">
        <f>D10*D9</f>
        <v>0</v>
      </c>
      <c r="E12" s="108">
        <f>E10*E9</f>
        <v>0</v>
      </c>
      <c r="F12" s="108">
        <f>F10*F9</f>
        <v>0</v>
      </c>
      <c r="G12" s="108">
        <f>G10*G9</f>
        <v>0</v>
      </c>
      <c r="H12" s="108">
        <f>H10*H9</f>
        <v>0</v>
      </c>
      <c r="I12" s="108">
        <f>I10*I9</f>
        <v>0</v>
      </c>
      <c r="J12" s="101"/>
      <c r="K12" s="101"/>
    </row>
    <row r="13" spans="1:14">
      <c r="B13" s="101" t="s">
        <v>113</v>
      </c>
      <c r="C13" s="109">
        <f>C11/J11</f>
        <v>0.20510081452797</v>
      </c>
      <c r="D13" s="109">
        <f>D11/J11</f>
        <v>0.040058752837495</v>
      </c>
      <c r="E13" s="109">
        <f>E11/J11</f>
        <v>0.31325944718921</v>
      </c>
      <c r="F13" s="109">
        <f>F11/J11</f>
        <v>0.1742555748431</v>
      </c>
      <c r="G13" s="109">
        <f>G11/J11</f>
        <v>0.17358792896248</v>
      </c>
      <c r="H13" s="109">
        <f>H11/J11</f>
        <v>0.033649352383496</v>
      </c>
      <c r="I13" s="109">
        <f>I11/J11</f>
        <v>0.060088129256242</v>
      </c>
      <c r="J13" s="101"/>
      <c r="K13" s="101"/>
    </row>
    <row r="14" spans="1:14">
      <c r="B14" s="101" t="s">
        <v>114</v>
      </c>
      <c r="C14" s="108">
        <f>J14*C13</f>
        <v>70.64287354787</v>
      </c>
      <c r="D14" s="108">
        <f>J14*D13</f>
        <v>13.797436239818</v>
      </c>
      <c r="E14" s="108">
        <f>J14*E13</f>
        <v>107.89595139538</v>
      </c>
      <c r="F14" s="108">
        <f>J14*F13</f>
        <v>60.01884764321</v>
      </c>
      <c r="G14" s="108">
        <f>J14*G13</f>
        <v>59.788890372547</v>
      </c>
      <c r="H14" s="108">
        <f>J14*H13</f>
        <v>11.589846441447</v>
      </c>
      <c r="I14" s="108">
        <f>J14*I13</f>
        <v>20.696154359728</v>
      </c>
      <c r="J14" s="101">
        <f>IF(J7&lt;1, N7*0.6, N7*0.6*J7)</f>
        <v>344.43</v>
      </c>
      <c r="K14" s="101"/>
    </row>
    <row r="15" spans="1:14">
      <c r="B15" s="101" t="s">
        <v>115</v>
      </c>
      <c r="C15" s="108">
        <f>C11+C14</f>
        <v>1606.6428735479</v>
      </c>
      <c r="D15" s="108">
        <f>D11+D14</f>
        <v>313.79743623982</v>
      </c>
      <c r="E15" s="108">
        <f>E11+E14</f>
        <v>2453.8959513954</v>
      </c>
      <c r="F15" s="108">
        <f>F11+F14</f>
        <v>1365.0188476432</v>
      </c>
      <c r="G15" s="108">
        <f>G11+G14</f>
        <v>1359.7888903726</v>
      </c>
      <c r="H15" s="108">
        <f>H11+H14</f>
        <v>263.58984644145</v>
      </c>
      <c r="I15" s="108">
        <f>I11+I14</f>
        <v>470.69615435973</v>
      </c>
      <c r="J15" s="112">
        <f>SUM(C15:I15)</f>
        <v>7833.43</v>
      </c>
      <c r="K15" s="101"/>
    </row>
    <row r="16" spans="1:14">
      <c r="B16" s="106" t="s">
        <v>116</v>
      </c>
      <c r="C16" s="108">
        <f>C12+C14</f>
        <v>70.64287354787</v>
      </c>
      <c r="D16" s="108">
        <f>D12+D14</f>
        <v>13.797436239818</v>
      </c>
      <c r="E16" s="108">
        <f>E12+E14</f>
        <v>107.89595139538</v>
      </c>
      <c r="F16" s="108">
        <f>F12+F14</f>
        <v>60.01884764321</v>
      </c>
      <c r="G16" s="108">
        <f>G12+G14</f>
        <v>59.788890372547</v>
      </c>
      <c r="H16" s="108">
        <f>H12+H14</f>
        <v>11.589846441447</v>
      </c>
      <c r="I16" s="108">
        <f>I12+I14</f>
        <v>20.696154359728</v>
      </c>
      <c r="J16" s="101"/>
      <c r="K16" s="101"/>
    </row>
    <row r="17" spans="1:14">
      <c r="B17" s="101" t="s">
        <v>117</v>
      </c>
      <c r="C17" s="108">
        <f>IF(J11&gt;5000,100*C13,50*C13)</f>
        <v>20.510081452797</v>
      </c>
      <c r="D17" s="108">
        <f>IF(J11&gt;5000,100*D13,50*D13)</f>
        <v>4.0058752837495</v>
      </c>
      <c r="E17" s="108">
        <f>IF(J11&gt;5000,100*E13,50*E13)</f>
        <v>31.325944718921</v>
      </c>
      <c r="F17" s="108">
        <f>IF(J11&gt;5000,100*F13,50*F13)</f>
        <v>17.42555748431</v>
      </c>
      <c r="G17" s="108">
        <f>IF(J11&gt;5000,100*G13,50*G13)</f>
        <v>17.358792896248</v>
      </c>
      <c r="H17" s="108">
        <f>IF(J11&gt;5000,100*H13,50*H13)</f>
        <v>3.3649352383496</v>
      </c>
      <c r="I17" s="108">
        <f>IF(J11&gt;5000,100*I13,50*I13)</f>
        <v>6.0088129256242</v>
      </c>
      <c r="J17" s="101"/>
      <c r="K17" s="101"/>
    </row>
    <row r="18" spans="1:14">
      <c r="B18" s="101" t="s">
        <v>118</v>
      </c>
      <c r="C18" s="108">
        <f>C15+C17</f>
        <v>1627.1529550007</v>
      </c>
      <c r="D18" s="108">
        <f>D15+D17</f>
        <v>317.80331152357</v>
      </c>
      <c r="E18" s="108">
        <f>E15+E17</f>
        <v>2485.2218961143</v>
      </c>
      <c r="F18" s="108">
        <f>F15+F17</f>
        <v>1382.4444051275</v>
      </c>
      <c r="G18" s="108">
        <f>G15+G17</f>
        <v>1377.1476832688</v>
      </c>
      <c r="H18" s="108">
        <f>H15+H17</f>
        <v>266.9547816798</v>
      </c>
      <c r="I18" s="108">
        <f>I15+I17</f>
        <v>476.70496728535</v>
      </c>
      <c r="J18" s="101"/>
      <c r="K18" s="101"/>
    </row>
    <row r="19" spans="1:14">
      <c r="B19" s="106" t="s">
        <v>119</v>
      </c>
      <c r="C19" s="108">
        <f>C16+C17</f>
        <v>91.152955000668</v>
      </c>
      <c r="D19" s="108">
        <f>D16+D17</f>
        <v>17.803311523568</v>
      </c>
      <c r="E19" s="108">
        <f>E16+E17</f>
        <v>139.2218961143</v>
      </c>
      <c r="F19" s="108">
        <f>F16+F17</f>
        <v>77.44440512752</v>
      </c>
      <c r="G19" s="108">
        <f>G16+G17</f>
        <v>77.147683268795</v>
      </c>
      <c r="H19" s="108">
        <f>H16+H17</f>
        <v>14.954781679797</v>
      </c>
      <c r="I19" s="108">
        <f>I16+I17</f>
        <v>26.704967285352</v>
      </c>
      <c r="J19" s="101"/>
      <c r="K19" s="101"/>
    </row>
    <row r="23" spans="1:14">
      <c r="B23" s="102" t="s">
        <v>126</v>
      </c>
      <c r="C23" s="101"/>
      <c r="D23" s="101"/>
      <c r="E23" s="101"/>
    </row>
    <row r="26" spans="1:14">
      <c r="B26" t="s">
        <v>35</v>
      </c>
      <c r="C26" s="103">
        <v>0</v>
      </c>
      <c r="D26" s="103">
        <v>0</v>
      </c>
      <c r="E26" s="103">
        <v>0</v>
      </c>
      <c r="F26" s="103">
        <v>0</v>
      </c>
      <c r="G26" s="103">
        <v>0</v>
      </c>
      <c r="H26" s="103">
        <v>0</v>
      </c>
      <c r="I26" s="103">
        <v>0</v>
      </c>
      <c r="J26" s="103">
        <f>SUM(C26:I26)</f>
        <v>0</v>
      </c>
    </row>
    <row r="27" spans="1:14">
      <c r="C27" s="104">
        <v>0.0</v>
      </c>
      <c r="D27" s="104">
        <v>0.0</v>
      </c>
      <c r="E27" s="104">
        <v>0.0</v>
      </c>
      <c r="F27" s="104">
        <v>0.0</v>
      </c>
      <c r="G27" s="104">
        <v>0.0</v>
      </c>
      <c r="H27" s="104">
        <v>0.0</v>
      </c>
      <c r="I27" s="104">
        <v>0.0</v>
      </c>
    </row>
    <row r="28" spans="1:14">
      <c r="B28" s="101" t="s">
        <v>127</v>
      </c>
      <c r="C28" s="108">
        <f>MAX(C19,C18)*C27</f>
        <v>0</v>
      </c>
      <c r="D28" s="108">
        <f>MAX(D19,D18)*D27</f>
        <v>0</v>
      </c>
      <c r="E28" s="108">
        <f>MAX(E19,E18)*E27</f>
        <v>0</v>
      </c>
      <c r="F28" s="108">
        <f>MAX(F19,F18)*F27</f>
        <v>0</v>
      </c>
      <c r="G28" s="108">
        <f>MAX(G19,G18)*G27</f>
        <v>0</v>
      </c>
      <c r="H28" s="108">
        <f>MAX(H19,H18)*H27</f>
        <v>0</v>
      </c>
      <c r="I28" s="108">
        <f>MAX(I19,I18)*I27</f>
        <v>0</v>
      </c>
      <c r="J28" s="108">
        <f>SUM(C28:I28)</f>
        <v>0</v>
      </c>
      <c r="K28" s="101"/>
    </row>
    <row r="29" spans="1:14">
      <c r="B29" s="101" t="s">
        <v>33</v>
      </c>
      <c r="C29" s="108">
        <f>0.16*(MAX(C19,C18)+C28)</f>
        <v>260.34447280011</v>
      </c>
      <c r="D29" s="108">
        <f>0.16*(MAX(D19,D18)+D28)</f>
        <v>50.848529843771</v>
      </c>
      <c r="E29" s="108">
        <f>0.16*(MAX(E19,E18)+E28)</f>
        <v>397.63550337829</v>
      </c>
      <c r="F29" s="108">
        <f>0.16*(MAX(F19,F18)+F28)</f>
        <v>221.1911048204</v>
      </c>
      <c r="G29" s="108">
        <f>0.16*(MAX(G19,G18)+G28)</f>
        <v>220.34362932301</v>
      </c>
      <c r="H29" s="108">
        <f>0.16*(MAX(H19,H18)+H28)</f>
        <v>42.712765068768</v>
      </c>
      <c r="I29" s="108">
        <f>0.16*(MAX(I19,I18)+I28)</f>
        <v>76.272794765656</v>
      </c>
      <c r="J29" s="108">
        <f>SUM(C29:I29)</f>
        <v>1269.3488</v>
      </c>
      <c r="K29" s="101"/>
    </row>
    <row r="30" spans="1:14">
      <c r="B30" s="101" t="s">
        <v>34</v>
      </c>
      <c r="C30" s="108">
        <f>0.02*(MAX(C19,C18)+C28)</f>
        <v>32.543059100013</v>
      </c>
      <c r="D30" s="108">
        <f>0.02*(MAX(D19,D18)+D28)</f>
        <v>6.3560662304714</v>
      </c>
      <c r="E30" s="108">
        <f>0.02*(MAX(E19,E18)+E28)</f>
        <v>49.704437922286</v>
      </c>
      <c r="F30" s="108">
        <f>0.02*(MAX(F19,F18)+F28)</f>
        <v>27.64888810255</v>
      </c>
      <c r="G30" s="108">
        <f>0.02*(MAX(G19,G18)+G28)</f>
        <v>27.542953665376</v>
      </c>
      <c r="H30" s="108">
        <f>0.02*(MAX(H19,H18)+H28)</f>
        <v>5.3390956335959</v>
      </c>
      <c r="I30" s="108">
        <f>0.02*(MAX(I19,I18)+I28)</f>
        <v>9.534099345707</v>
      </c>
      <c r="J30" s="108">
        <f>SUM(C30:I30)</f>
        <v>158.6686</v>
      </c>
      <c r="K30" s="101"/>
    </row>
    <row r="31" spans="1:14">
      <c r="B31" s="101" t="s">
        <v>128</v>
      </c>
      <c r="C31" s="108">
        <f>0.035*(MAX(C18,C19) +C28+C29+C30)</f>
        <v>67.201417041528</v>
      </c>
      <c r="D31" s="108">
        <f>0.035*(MAX(D18,D19) +D28+D29+D30)</f>
        <v>13.125276765923</v>
      </c>
      <c r="E31" s="108">
        <f>0.035*(MAX(E18,E19) +E28+E29+E30)</f>
        <v>102.63966430952</v>
      </c>
      <c r="F31" s="108">
        <f>0.035*(MAX(F18,F19) +F28+F29+F30)</f>
        <v>57.094953931767</v>
      </c>
      <c r="G31" s="108">
        <f>0.035*(MAX(G18,G19) +G28+G29+G30)</f>
        <v>56.876199319002</v>
      </c>
      <c r="H31" s="108">
        <f>0.035*(MAX(H18,H19) +H28+H29+H30)</f>
        <v>11.025232483376</v>
      </c>
      <c r="I31" s="108">
        <f>0.035*(MAX(I18,I19) +I28+I29+I30)</f>
        <v>19.687915148885</v>
      </c>
      <c r="J31" s="108">
        <f>SUM(C31:I31)</f>
        <v>327.650659</v>
      </c>
      <c r="K31" s="101"/>
    </row>
    <row r="32" spans="1:14">
      <c r="B32" s="101" t="s">
        <v>39</v>
      </c>
      <c r="C32" s="108">
        <f>SUM(C28:C31)</f>
        <v>360.08894894165</v>
      </c>
      <c r="D32" s="108">
        <f>SUM(D28:D31)</f>
        <v>70.329872840166</v>
      </c>
      <c r="E32" s="108">
        <f>SUM(E28:E31)</f>
        <v>549.97960561009</v>
      </c>
      <c r="F32" s="108">
        <f>SUM(F28:F31)</f>
        <v>305.93494685472</v>
      </c>
      <c r="G32" s="108">
        <f>SUM(G28:G31)</f>
        <v>304.76278230739</v>
      </c>
      <c r="H32" s="108">
        <f>SUM(H28:H31)</f>
        <v>59.077093185739</v>
      </c>
      <c r="I32" s="108">
        <f>SUM(I28:I31)</f>
        <v>105.49480926025</v>
      </c>
      <c r="J32" s="108">
        <f>SUM(J28:J31)</f>
        <v>1755.668059</v>
      </c>
      <c r="K32" s="101"/>
    </row>
    <row r="37" spans="1:14">
      <c r="B37" s="102" t="s">
        <v>129</v>
      </c>
      <c r="C37" s="101"/>
      <c r="D37" s="101"/>
      <c r="E37" s="101"/>
    </row>
    <row r="40" spans="1:14">
      <c r="B40" s="101" t="s">
        <v>130</v>
      </c>
      <c r="C40" s="108">
        <f>C13*J40</f>
        <v>47.095249031913</v>
      </c>
      <c r="D40" s="108">
        <f>D13*J40</f>
        <v>9.1982908265456</v>
      </c>
      <c r="E40" s="108">
        <f>E13*J40</f>
        <v>71.930634263587</v>
      </c>
      <c r="F40" s="108">
        <f>F13*J40</f>
        <v>40.012565095473</v>
      </c>
      <c r="G40" s="108">
        <f>G13*J40</f>
        <v>39.859260248364</v>
      </c>
      <c r="H40" s="108">
        <f>H13*J40</f>
        <v>7.7265642942983</v>
      </c>
      <c r="I40" s="108">
        <f>I13*J40</f>
        <v>13.797436239818</v>
      </c>
      <c r="J40" s="101">
        <f>IF(J7&lt;1, N7*0.4, N7*0.4*J7)</f>
        <v>229.62</v>
      </c>
      <c r="K40" s="101"/>
    </row>
    <row r="41" spans="1:14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1:14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1:14">
      <c r="B43" s="101" t="s">
        <v>130</v>
      </c>
      <c r="C43" s="101" t="s">
        <v>52</v>
      </c>
      <c r="D43" s="101" t="s">
        <v>53</v>
      </c>
      <c r="E43" s="101" t="s">
        <v>54</v>
      </c>
      <c r="F43" s="101" t="s">
        <v>55</v>
      </c>
      <c r="G43" s="101" t="s">
        <v>120</v>
      </c>
      <c r="H43" s="101" t="s">
        <v>121</v>
      </c>
      <c r="I43" s="101" t="s">
        <v>122</v>
      </c>
      <c r="J43" s="101" t="s">
        <v>123</v>
      </c>
      <c r="K43" s="101"/>
    </row>
    <row r="44" spans="1:14">
      <c r="B44" s="101" t="s">
        <v>131</v>
      </c>
      <c r="C44" s="108">
        <f>SUM(C15,C40,C32,(C26))</f>
        <v>2013.8270715214</v>
      </c>
      <c r="D44" s="108">
        <f>SUM(D15,D40,D32,(D26))</f>
        <v>393.32559990653</v>
      </c>
      <c r="E44" s="108">
        <f>SUM(E15,E40,E32,(E26))</f>
        <v>3075.8061912691</v>
      </c>
      <c r="F44" s="108">
        <f>SUM(F15,F40,F32,(F26))</f>
        <v>1710.9663595934</v>
      </c>
      <c r="G44" s="108">
        <f>SUM(G15,G40,G32,(G26))</f>
        <v>1704.4109329283</v>
      </c>
      <c r="H44" s="108">
        <f>SUM(H15,H40,H32,(H26))</f>
        <v>330.39350392148</v>
      </c>
      <c r="I44" s="108">
        <f>SUM(I15,I40,I32,(I26))</f>
        <v>589.98839985979</v>
      </c>
      <c r="J44" s="108">
        <f>SUM(C44:I44)</f>
        <v>9818.718059</v>
      </c>
      <c r="K44" s="101"/>
    </row>
    <row r="45" spans="1:14">
      <c r="B45" s="101" t="s">
        <v>132</v>
      </c>
      <c r="C45" s="101">
        <v>24.0</v>
      </c>
      <c r="D45" s="101">
        <v>10.0</v>
      </c>
      <c r="E45" s="101">
        <v>12.0</v>
      </c>
      <c r="F45" s="101">
        <v>12.0</v>
      </c>
      <c r="G45" s="101">
        <v>24.0</v>
      </c>
      <c r="H45" s="101">
        <v>12.0</v>
      </c>
      <c r="I45" s="101">
        <v>12.0</v>
      </c>
      <c r="J45" s="101"/>
      <c r="K45" s="101"/>
    </row>
    <row r="46" spans="1:14">
      <c r="B46" s="101" t="s">
        <v>133</v>
      </c>
      <c r="C46" s="108">
        <f>SUM(C44/C45)</f>
        <v>83.909461313393</v>
      </c>
      <c r="D46" s="108">
        <f>SUM(D44/D45)</f>
        <v>39.332559990653</v>
      </c>
      <c r="E46" s="108">
        <f>SUM(E44/E45)</f>
        <v>256.31718260576</v>
      </c>
      <c r="F46" s="108">
        <f>SUM(F44/F45)</f>
        <v>142.58052996612</v>
      </c>
      <c r="G46" s="108">
        <f>SUM(G44/G45)</f>
        <v>71.017122205346</v>
      </c>
      <c r="H46" s="108">
        <f>SUM(H44/H45)</f>
        <v>27.532791993457</v>
      </c>
      <c r="I46" s="108">
        <f>SUM(I44/I45)</f>
        <v>49.165699988316</v>
      </c>
      <c r="J46" s="101"/>
      <c r="K46" s="101"/>
    </row>
    <row r="47" spans="1:14">
      <c r="B47" s="101" t="s">
        <v>134</v>
      </c>
      <c r="C47" s="113">
        <f>C46*3.7</f>
        <v>310.46500685955</v>
      </c>
      <c r="D47" s="113">
        <f>D46*3.7</f>
        <v>145.53047196542</v>
      </c>
      <c r="E47" s="113">
        <f>E46*3.7</f>
        <v>948.37357564129</v>
      </c>
      <c r="F47" s="113">
        <f>F46*3.7</f>
        <v>527.54796087463</v>
      </c>
      <c r="G47" s="113">
        <f>G46*3.7</f>
        <v>262.76335215978</v>
      </c>
      <c r="H47" s="113">
        <f>H46*3.7</f>
        <v>101.87133037579</v>
      </c>
      <c r="I47" s="113">
        <f>I46*3.7</f>
        <v>181.91308995677</v>
      </c>
      <c r="J47" s="101"/>
      <c r="K47" s="101"/>
    </row>
  </sheetData>
  <mergeCells>
    <mergeCell ref="B3:G3"/>
    <mergeCell ref="B23:E23"/>
    <mergeCell ref="B37:E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