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<sst xmlns="http://schemas.openxmlformats.org/spreadsheetml/2006/main" uniqueCount="130">
  <si>
    <t>COTIZACION Nº20240000001</t>
  </si>
  <si>
    <t>NOMBRE:</t>
  </si>
  <si>
    <t>Edison Benicio Mayhualla</t>
  </si>
  <si>
    <t>CARLOS PINEDA GARCIA</t>
  </si>
  <si>
    <t>SERVICIO:</t>
  </si>
  <si>
    <t>CARGA CONSOLIDADA</t>
  </si>
  <si>
    <t>N° CAJAS:</t>
  </si>
  <si>
    <t>DNI/RUC:</t>
  </si>
  <si>
    <t>FECHA:</t>
  </si>
  <si>
    <t>PESO:</t>
  </si>
  <si>
    <t>204 Kg</t>
  </si>
  <si>
    <t>CORREO:</t>
  </si>
  <si>
    <t>ORIGEN:</t>
  </si>
  <si>
    <t>CHINA</t>
  </si>
  <si>
    <t>MEDIDA</t>
  </si>
  <si>
    <t>TELEFONO:</t>
  </si>
  <si>
    <t>51 936 222 770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</si>
  <si>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</si>
  <si>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</si>
  <si>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</si>
  <si>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</si>
  <si>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</si>
  <si>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</si>
  <si>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</si>
  <si>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</si>
  <si>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</si>
  <si>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</si>
  <si>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</si>
  <si>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</si>
  <si>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</si>
  <si>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</si>
  <si>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</si>
  <si>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CARLOS PINEDA GARCIA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</si>
  <si>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</si>
  <si>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</si>
  <si>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</si>
  <si>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</si>
  <si>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</si>
  <si>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</si>
  <si>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</si>
  <si>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</si>
  <si>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</si>
  <si>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</si>
  <si>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</si>
  <si>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</si>
  <si>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</si>
  <si>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</si>
  <si>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</si>
  <si>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</si>
  <si>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</si>
  <si>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</si>
  <si>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</si>
  <si>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FUNDA PROTECTORA PARA TABLET</t>
  </si>
  <si>
    <t>ESTUCHE DE AUDIFONOS 8 EN 1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</si>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</sst>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0"/>
    <xf xfId="0" fontId="9" numFmtId="170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  <xf xfId="0" fontId="5" numFmtId="175" fillId="2" borderId="9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8" sqref="J38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5"/>
      <c r="G3" s="65"/>
      <c r="H3" s="65"/>
      <c r="I3" s="6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6"/>
      <c r="G4" s="66"/>
      <c r="H4" s="66"/>
      <c r="I4" s="6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7" t="s">
        <v>0</v>
      </c>
      <c r="E7" s="67"/>
      <c r="F7" s="6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7" t="s">
        <v>3</v>
      </c>
      <c r="D8" s="9" t="s">
        <v>4</v>
      </c>
      <c r="E8" s="10" t="s">
        <v>5</v>
      </c>
      <c r="F8" s="11"/>
      <c r="G8" s="3"/>
      <c r="H8" s="1" t="s">
        <v>6</v>
      </c>
      <c r="I8" s="68" t="str">
        <f>+'2'!D5</f>
        <v>ESTUCHE DE AUDIFONOS 8 EN 1</v>
      </c>
      <c r="J8" s="68"/>
      <c r="K8" s="68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9">
        <f>+TODAY()</f>
        <v>45940</v>
      </c>
      <c r="F9" s="70"/>
      <c r="G9" s="3"/>
      <c r="H9" s="1" t="s">
        <v>9</v>
      </c>
      <c r="I9" s="71">
        <f>+'2'!D6</f>
        <v>0</v>
      </c>
      <c r="J9" s="71" t="s">
        <v>10</v>
      </c>
      <c r="K9" s="71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20607564974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72" t="s">
        <v>21</v>
      </c>
      <c r="J11" s="118">
        <f>'2'!D7</f>
        <v>0</v>
      </c>
      <c r="K11" s="7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3" t="s">
        <v>22</v>
      </c>
      <c r="B13" s="73"/>
      <c r="C13" s="73"/>
      <c r="D13" s="73"/>
      <c r="E13" s="73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4" t="s">
        <v>25</v>
      </c>
      <c r="B14" s="74"/>
      <c r="C14" s="74"/>
      <c r="D14" s="3"/>
      <c r="E14" s="3"/>
      <c r="F14" s="3"/>
      <c r="G14" s="3"/>
      <c r="H14" s="1"/>
      <c r="I14" s="1"/>
      <c r="J14" s="25">
        <f>'2'!D18</f>
        <v>771.6817644742</v>
      </c>
      <c r="K14" s="26">
        <f>'2'!D11</f>
        <v>700</v>
      </c>
      <c r="L14" s="1"/>
      <c r="M14" s="1"/>
      <c r="N14" s="1"/>
      <c r="O14" s="1"/>
      <c r="P14" s="1"/>
      <c r="Q14" s="1"/>
    </row>
    <row r="15" spans="1:17">
      <c r="A15" s="75" t="s">
        <v>26</v>
      </c>
      <c r="B15" s="75"/>
      <c r="C15" s="75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'2'!D14 + '2'!D17</f>
        <v>71.681764474202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3" t="s">
        <v>29</v>
      </c>
      <c r="B19" s="73"/>
      <c r="C19" s="73"/>
      <c r="D19" s="73"/>
      <c r="E19" s="73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'2'!D28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'2'!D29</f>
        <v>123.46908231587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'2'!D30</f>
        <v>15.433635289484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40.546364710516</v>
      </c>
      <c r="J23" s="27">
        <f>'2'!D31</f>
        <v>31.870456872785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31.870456872785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'2'!D31</f>
        <v>31.870456872785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31.870456872785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4" t="s">
        <v>40</v>
      </c>
      <c r="B29" s="64"/>
      <c r="C29" s="64"/>
      <c r="D29" s="64"/>
      <c r="E29" s="64"/>
      <c r="F29" s="37"/>
      <c r="G29" s="37"/>
      <c r="H29" s="38"/>
      <c r="I29" s="38"/>
      <c r="J29" s="38" t="s">
        <v>23</v>
      </c>
      <c r="K29" s="38">
        <f>K14</f>
        <v>700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771.6817644742</v>
      </c>
      <c r="K30" s="26">
        <f>IF(J11&lt;1, 350, 350*J11)</f>
        <v>350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170.77317447814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31.870456872785</v>
      </c>
      <c r="K32" s="28">
        <f>K29+K30+K31</f>
        <v>1220.7731744781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8" t="s">
        <v>45</v>
      </c>
      <c r="N33" s="78"/>
      <c r="O33" s="78"/>
      <c r="P33" s="78"/>
      <c r="Q33" s="7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9"/>
      <c r="N34" s="79"/>
      <c r="O34" s="79"/>
      <c r="P34" s="79"/>
      <c r="Q34" s="79"/>
    </row>
    <row r="35" spans="1:17">
      <c r="A35" s="80" t="s">
        <v>46</v>
      </c>
      <c r="B35" s="81"/>
      <c r="C35" s="81"/>
      <c r="D35" s="81"/>
      <c r="E35" s="81"/>
      <c r="F35" s="81"/>
      <c r="G35" s="81"/>
      <c r="H35" s="81"/>
      <c r="I35" s="81"/>
      <c r="J35" s="81"/>
      <c r="K35" s="82"/>
      <c r="L35" s="1"/>
      <c r="M35" s="83" t="s">
        <v>47</v>
      </c>
      <c r="N35" s="85" t="s">
        <v>48</v>
      </c>
      <c r="O35" s="87" t="s">
        <v>49</v>
      </c>
      <c r="P35" s="89" t="s">
        <v>50</v>
      </c>
      <c r="Q35" s="91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600</v>
      </c>
      <c r="G36" s="121">
        <f>'2'!C8</f>
        <v>3.065</v>
      </c>
      <c r="H36" s="42"/>
      <c r="I36" s="121">
        <f>'2'!C46</f>
        <v>4.235251404293</v>
      </c>
      <c r="J36" s="119">
        <f>'2'!C44</f>
        <v>2541.1508425758</v>
      </c>
      <c r="K36" s="120">
        <f>'2'!C47</f>
        <v>15.670430195884</v>
      </c>
      <c r="L36" s="42"/>
      <c r="M36" s="84"/>
      <c r="N36" s="86"/>
      <c r="O36" s="88"/>
      <c r="P36" s="90"/>
      <c r="Q36" s="92"/>
    </row>
    <row r="37" spans="1:17">
      <c r="A37" s="39"/>
      <c r="B37" s="41">
        <v>2</v>
      </c>
      <c r="C37" s="41" t="s">
        <v>53</v>
      </c>
      <c r="D37" s="41"/>
      <c r="E37" s="41"/>
      <c r="F37" s="62">
        <f>'2'!D10</f>
        <v>400</v>
      </c>
      <c r="G37" s="121">
        <f>'2'!D8</f>
        <v>1.75</v>
      </c>
      <c r="H37" s="61"/>
      <c r="I37" s="122">
        <f>'2'!D46</f>
        <v>2.4181696435605</v>
      </c>
      <c r="J37" s="119">
        <f>'2'!D44</f>
        <v>967.26785742418</v>
      </c>
      <c r="K37" s="120">
        <f>'2'!D47</f>
        <v>8.9472276811737</v>
      </c>
      <c r="L37" s="42"/>
      <c r="M37" s="39">
        <v>1</v>
      </c>
      <c r="N37" s="40">
        <f>+B37</f>
        <v>2</v>
      </c>
      <c r="O37" s="43">
        <f>+F37</f>
        <v>400</v>
      </c>
      <c r="P37" s="44">
        <f>+H37</f>
        <v/>
      </c>
      <c r="Q37" s="45">
        <f>P37*3.8</f>
        <v>0</v>
      </c>
    </row>
    <row r="38" spans="1:17" customHeight="1" ht="15.6">
      <c r="A38" s="46"/>
      <c r="B38" s="63" t="s">
        <v>39</v>
      </c>
      <c r="C38" s="41"/>
      <c r="D38" s="41"/>
      <c r="E38" s="63"/>
      <c r="F38" s="63">
        <f>SUM(F36:F37)</f>
        <v>1000</v>
      </c>
      <c r="G38" s="41"/>
      <c r="H38" s="42"/>
      <c r="I38" s="123"/>
      <c r="J38" s="125">
        <f>SUM(J36:J37)</f>
        <v>3508.4187</v>
      </c>
      <c r="K38" s="124"/>
      <c r="L38" s="41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0"/>
      <c r="J39" s="48"/>
      <c r="K39" s="49"/>
      <c r="L39" s="1"/>
      <c r="M39" s="93" t="s">
        <v>54</v>
      </c>
      <c r="N39" s="93"/>
      <c r="O39" s="93"/>
      <c r="P39" s="94" t="s">
        <v>55</v>
      </c>
      <c r="Q39" s="95"/>
    </row>
    <row r="40" spans="1:17" customHeight="1" ht="18">
      <c r="A40" s="51" t="s">
        <v>56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3"/>
      <c r="N40" s="93"/>
      <c r="O40" s="93"/>
      <c r="P40" s="96"/>
      <c r="Q40" s="97"/>
    </row>
    <row r="41" spans="1:17" customHeight="1" ht="21">
      <c r="A41" s="52" t="s">
        <v>57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6" t="s">
        <v>58</v>
      </c>
      <c r="N41" s="77"/>
      <c r="O41" s="53" t="e">
        <f>+J31</f>
        <v>#VALUE!</v>
      </c>
      <c r="P41" s="54" t="s">
        <v>59</v>
      </c>
      <c r="Q41" s="1"/>
    </row>
    <row r="42" spans="1:17" customHeight="1" ht="21">
      <c r="A42" s="52" t="s">
        <v>60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6" t="s">
        <v>61</v>
      </c>
      <c r="N42" s="77"/>
      <c r="O42" s="53">
        <f>+J32</f>
        <v>31.870456872785</v>
      </c>
      <c r="P42" s="54" t="s">
        <v>62</v>
      </c>
      <c r="Q42" s="1"/>
    </row>
    <row r="43" spans="1:17" customHeight="1" ht="18">
      <c r="A43" s="52" t="s">
        <v>63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64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8" t="s">
        <v>65</v>
      </c>
      <c r="N44" s="98"/>
      <c r="O44" s="99" t="e">
        <f>+O41+O42+J14</f>
        <v>#VALUE!</v>
      </c>
      <c r="P44" s="101" t="s">
        <v>66</v>
      </c>
      <c r="Q44" s="102"/>
    </row>
    <row r="45" spans="1:17" customHeight="1" ht="18">
      <c r="A45" s="52" t="s">
        <v>67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8"/>
      <c r="N45" s="98"/>
      <c r="O45" s="100"/>
      <c r="P45" s="101"/>
      <c r="Q45" s="102"/>
    </row>
    <row r="46" spans="1:17" customHeight="1" ht="18">
      <c r="A46" s="52" t="s">
        <v>68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70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3" t="s">
        <v>71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72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73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74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75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76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77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78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79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80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81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82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83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84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85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86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87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88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89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90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91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92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93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94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95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96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97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98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99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100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101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B40" sqref="B40:F47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32.992" bestFit="true" customWidth="true" style="0"/>
  </cols>
  <sheetData>
    <row r="3" spans="1:9">
      <c r="B3" s="105" t="s">
        <v>102</v>
      </c>
      <c r="C3" s="104"/>
      <c r="D3" s="104"/>
      <c r="E3" s="104"/>
      <c r="F3" s="104"/>
      <c r="G3" s="104"/>
    </row>
    <row r="5" spans="1:9">
      <c r="B5" s="108" t="s">
        <v>103</v>
      </c>
      <c r="C5" s="110" t="s">
        <v>52</v>
      </c>
      <c r="D5" s="110" t="s">
        <v>53</v>
      </c>
      <c r="E5" s="110" t="s">
        <v>118</v>
      </c>
      <c r="F5" s="104"/>
    </row>
    <row r="6" spans="1:9">
      <c r="B6" s="104" t="s">
        <v>104</v>
      </c>
      <c r="C6" s="104">
        <v>0</v>
      </c>
      <c r="D6" s="104">
        <v>0</v>
      </c>
      <c r="E6" s="113">
        <v>204.0</v>
      </c>
      <c r="F6" s="104"/>
      <c r="H6" t="s">
        <v>119</v>
      </c>
      <c r="I6" t="s">
        <v>120</v>
      </c>
    </row>
    <row r="7" spans="1:9">
      <c r="B7" s="104" t="s">
        <v>105</v>
      </c>
      <c r="C7" s="104">
        <v>0</v>
      </c>
      <c r="D7" s="104">
        <v>0</v>
      </c>
      <c r="E7" s="114">
        <v>0.62</v>
      </c>
      <c r="F7" s="104"/>
      <c r="H7" t="s">
        <v>19</v>
      </c>
      <c r="I7">
        <v>350</v>
      </c>
    </row>
    <row r="8" spans="1:9">
      <c r="B8" s="104" t="s">
        <v>106</v>
      </c>
      <c r="C8" s="111">
        <v>3.065</v>
      </c>
      <c r="D8" s="111">
        <v>1.75</v>
      </c>
      <c r="E8" s="104"/>
      <c r="F8" s="104"/>
    </row>
    <row r="9" spans="1:9">
      <c r="B9" s="109" t="s">
        <v>107</v>
      </c>
      <c r="C9" s="111">
        <v>0.0</v>
      </c>
      <c r="D9" s="111">
        <v>0.0</v>
      </c>
      <c r="E9" s="104"/>
      <c r="F9" s="104"/>
    </row>
    <row r="10" spans="1:9">
      <c r="B10" s="104" t="s">
        <v>108</v>
      </c>
      <c r="C10" s="104">
        <v>600.0</v>
      </c>
      <c r="D10" s="104">
        <v>400.0</v>
      </c>
      <c r="E10" s="104">
        <f>SUM(C10:D10)</f>
        <v>1000</v>
      </c>
      <c r="F10" s="104"/>
    </row>
    <row r="11" spans="1:9">
      <c r="B11" s="104" t="s">
        <v>109</v>
      </c>
      <c r="C11" s="111">
        <f>C8*C10</f>
        <v>1839</v>
      </c>
      <c r="D11" s="111">
        <f>D8*D10</f>
        <v>700</v>
      </c>
      <c r="E11" s="104">
        <f>SUM(C11:D11)</f>
        <v>2539</v>
      </c>
      <c r="F11" s="104"/>
    </row>
    <row r="12" spans="1:9">
      <c r="B12" s="109" t="s">
        <v>110</v>
      </c>
      <c r="C12" s="111">
        <f>C10*C9</f>
        <v>0</v>
      </c>
      <c r="D12" s="111">
        <f>D10*D9</f>
        <v>0</v>
      </c>
      <c r="E12" s="104"/>
      <c r="F12" s="104"/>
    </row>
    <row r="13" spans="1:9">
      <c r="B13" s="104" t="s">
        <v>111</v>
      </c>
      <c r="C13" s="112">
        <f>C11/E11</f>
        <v>0.72430090586845</v>
      </c>
      <c r="D13" s="112">
        <f>D11/E11</f>
        <v>0.27569909413155</v>
      </c>
      <c r="E13" s="104"/>
      <c r="F13" s="104"/>
    </row>
    <row r="14" spans="1:9">
      <c r="B14" s="104" t="s">
        <v>112</v>
      </c>
      <c r="C14" s="111">
        <f>E14*C13</f>
        <v>152.10319023237</v>
      </c>
      <c r="D14" s="111">
        <f>E14*D13</f>
        <v>57.896809767625</v>
      </c>
      <c r="E14" s="104">
        <f>IF(E7&lt;1, I7*0.6, I7*0.6*E7)</f>
        <v>210</v>
      </c>
      <c r="F14" s="104"/>
    </row>
    <row r="15" spans="1:9">
      <c r="B15" s="104" t="s">
        <v>113</v>
      </c>
      <c r="C15" s="111">
        <f>C11+C14</f>
        <v>1991.1031902324</v>
      </c>
      <c r="D15" s="111">
        <f>D11+D14</f>
        <v>757.89680976763</v>
      </c>
      <c r="E15" s="115">
        <f>SUM(C15:D15)</f>
        <v>2749</v>
      </c>
      <c r="F15" s="104"/>
    </row>
    <row r="16" spans="1:9">
      <c r="B16" s="109" t="s">
        <v>114</v>
      </c>
      <c r="C16" s="111">
        <f>C12+C14</f>
        <v>152.10319023237</v>
      </c>
      <c r="D16" s="111">
        <f>D12+D14</f>
        <v>57.896809767625</v>
      </c>
      <c r="E16" s="104"/>
      <c r="F16" s="104"/>
    </row>
    <row r="17" spans="1:9">
      <c r="B17" s="104" t="s">
        <v>115</v>
      </c>
      <c r="C17" s="111">
        <f>IF(E11&gt;5000,100*C13,50*C13)</f>
        <v>36.215045293423</v>
      </c>
      <c r="D17" s="111">
        <f>IF(E11&gt;5000,100*D13,50*D13)</f>
        <v>13.784954706577</v>
      </c>
      <c r="E17" s="104"/>
      <c r="F17" s="104"/>
    </row>
    <row r="18" spans="1:9">
      <c r="B18" s="104" t="s">
        <v>116</v>
      </c>
      <c r="C18" s="111">
        <f>C15+C17</f>
        <v>2027.3182355258</v>
      </c>
      <c r="D18" s="111">
        <f>D15+D17</f>
        <v>771.6817644742</v>
      </c>
      <c r="E18" s="104"/>
      <c r="F18" s="104"/>
    </row>
    <row r="19" spans="1:9">
      <c r="B19" s="109" t="s">
        <v>117</v>
      </c>
      <c r="C19" s="111">
        <f>C16+C17</f>
        <v>188.3182355258</v>
      </c>
      <c r="D19" s="111">
        <f>D16+D17</f>
        <v>71.681764474202</v>
      </c>
      <c r="E19" s="104"/>
      <c r="F19" s="104"/>
    </row>
    <row r="23" spans="1:9">
      <c r="B23" s="105" t="s">
        <v>121</v>
      </c>
      <c r="C23" s="104"/>
      <c r="D23" s="104"/>
      <c r="E23" s="104"/>
    </row>
    <row r="26" spans="1:9">
      <c r="B26" t="s">
        <v>35</v>
      </c>
      <c r="C26" s="106">
        <v>0</v>
      </c>
      <c r="D26" s="106">
        <v>0</v>
      </c>
      <c r="E26" s="106">
        <f>SUM(C26:D26)</f>
        <v>0</v>
      </c>
    </row>
    <row r="27" spans="1:9">
      <c r="C27" s="107">
        <v>0.0</v>
      </c>
      <c r="D27" s="107">
        <v>0.0</v>
      </c>
    </row>
    <row r="28" spans="1:9">
      <c r="B28" s="104" t="s">
        <v>122</v>
      </c>
      <c r="C28" s="111">
        <f>MAX(C19,C18)*C27</f>
        <v>0</v>
      </c>
      <c r="D28" s="111">
        <f>MAX(D19,D18)*D27</f>
        <v>0</v>
      </c>
      <c r="E28" s="111">
        <f>SUM(C28:D28)</f>
        <v>0</v>
      </c>
      <c r="F28" s="104"/>
    </row>
    <row r="29" spans="1:9">
      <c r="B29" s="104" t="s">
        <v>33</v>
      </c>
      <c r="C29" s="111">
        <f>0.16*(MAX(C19,C18)+C28)</f>
        <v>324.37091768413</v>
      </c>
      <c r="D29" s="111">
        <f>0.16*(MAX(D19,D18)+D28)</f>
        <v>123.46908231587</v>
      </c>
      <c r="E29" s="111">
        <f>SUM(C29:D29)</f>
        <v>447.84</v>
      </c>
      <c r="F29" s="104"/>
    </row>
    <row r="30" spans="1:9">
      <c r="B30" s="104" t="s">
        <v>34</v>
      </c>
      <c r="C30" s="111">
        <f>0.02*(MAX(C19,C18)+C28)</f>
        <v>40.546364710516</v>
      </c>
      <c r="D30" s="111">
        <f>0.02*(MAX(D19,D18)+D28)</f>
        <v>15.433635289484</v>
      </c>
      <c r="E30" s="111">
        <f>SUM(C30:D30)</f>
        <v>55.98</v>
      </c>
      <c r="F30" s="104"/>
    </row>
    <row r="31" spans="1:9">
      <c r="B31" s="104" t="s">
        <v>123</v>
      </c>
      <c r="C31" s="111">
        <f>0.035*(MAX(C18,C19) +C28+C29+C30)</f>
        <v>83.728243127215</v>
      </c>
      <c r="D31" s="111">
        <f>0.035*(MAX(D18,D19) +D28+D29+D30)</f>
        <v>31.870456872785</v>
      </c>
      <c r="E31" s="111">
        <f>SUM(C31:D31)</f>
        <v>115.5987</v>
      </c>
      <c r="F31" s="104"/>
    </row>
    <row r="32" spans="1:9">
      <c r="B32" s="104" t="s">
        <v>39</v>
      </c>
      <c r="C32" s="111">
        <f>SUM(C28:C31)</f>
        <v>448.64552552186</v>
      </c>
      <c r="D32" s="111">
        <f>SUM(D28:D31)</f>
        <v>170.77317447814</v>
      </c>
      <c r="E32" s="111">
        <f>SUM(E28:E31)</f>
        <v>619.4187</v>
      </c>
      <c r="F32" s="104"/>
    </row>
    <row r="37" spans="1:9">
      <c r="B37" s="105" t="s">
        <v>124</v>
      </c>
      <c r="C37" s="104"/>
      <c r="D37" s="104"/>
      <c r="E37" s="104"/>
    </row>
    <row r="40" spans="1:9">
      <c r="B40" s="104" t="s">
        <v>125</v>
      </c>
      <c r="C40" s="111">
        <f>C13*E40</f>
        <v>101.40212682158</v>
      </c>
      <c r="D40" s="111">
        <f>D13*E40</f>
        <v>38.597873178417</v>
      </c>
      <c r="E40" s="104">
        <f>IF(E7&lt;1, I7*0.4, I7*0.4*E7)</f>
        <v>140</v>
      </c>
      <c r="F40" s="104"/>
    </row>
    <row r="41" spans="1:9">
      <c r="B41" s="104"/>
      <c r="C41" s="104"/>
      <c r="D41" s="104"/>
      <c r="E41" s="104"/>
      <c r="F41" s="104"/>
    </row>
    <row r="42" spans="1:9">
      <c r="B42" s="104"/>
      <c r="C42" s="104"/>
      <c r="D42" s="104"/>
      <c r="E42" s="104"/>
      <c r="F42" s="104"/>
    </row>
    <row r="43" spans="1:9">
      <c r="B43" s="104" t="s">
        <v>125</v>
      </c>
      <c r="C43" s="104" t="s">
        <v>52</v>
      </c>
      <c r="D43" s="104" t="s">
        <v>53</v>
      </c>
      <c r="E43" s="104" t="s">
        <v>118</v>
      </c>
      <c r="F43" s="104"/>
    </row>
    <row r="44" spans="1:9">
      <c r="B44" s="104" t="s">
        <v>126</v>
      </c>
      <c r="C44" s="111">
        <f>SUM(C15,C40,C32,(C26))</f>
        <v>2541.1508425758</v>
      </c>
      <c r="D44" s="111">
        <f>SUM(D15,D40,D32,(D26))</f>
        <v>967.26785742418</v>
      </c>
      <c r="E44" s="111">
        <f>SUM(C44:D44)</f>
        <v>3508.4187</v>
      </c>
      <c r="F44" s="104"/>
    </row>
    <row r="45" spans="1:9">
      <c r="B45" s="104" t="s">
        <v>127</v>
      </c>
      <c r="C45" s="104">
        <v>600.0</v>
      </c>
      <c r="D45" s="104">
        <v>400.0</v>
      </c>
      <c r="E45" s="104"/>
      <c r="F45" s="104"/>
    </row>
    <row r="46" spans="1:9">
      <c r="B46" s="104" t="s">
        <v>128</v>
      </c>
      <c r="C46" s="111">
        <f>SUM(C44/C45)</f>
        <v>4.235251404293</v>
      </c>
      <c r="D46" s="111">
        <f>SUM(D44/D45)</f>
        <v>2.4181696435605</v>
      </c>
      <c r="E46" s="104"/>
      <c r="F46" s="104"/>
    </row>
    <row r="47" spans="1:9">
      <c r="B47" s="104" t="s">
        <v>129</v>
      </c>
      <c r="C47" s="116">
        <f>C46*3.7</f>
        <v>15.670430195884</v>
      </c>
      <c r="D47" s="116">
        <f>D46*3.7</f>
        <v>8.9472276811737</v>
      </c>
      <c r="E47" s="104"/>
      <c r="F47" s="104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