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<sst xmlns="http://schemas.openxmlformats.org/spreadsheetml/2006/main" uniqueCount="135">
  <si>
    <t>COTIZACION Nº20240000001</t>
  </si>
  <si>
    <t>NOMBRE:</t>
  </si>
  <si>
    <t>Edison Benicio Mayhualla</t>
  </si>
  <si>
    <t>DIEGO ARIAS</t>
  </si>
  <si>
    <t>SERVICIO:</t>
  </si>
  <si>
    <t>CARGA CONSOLIDADA</t>
  </si>
  <si>
    <t>N° CAJAS:</t>
  </si>
  <si>
    <t>DNI/RUC:</t>
  </si>
  <si>
    <t>FECHA:</t>
  </si>
  <si>
    <t>PESO:</t>
  </si>
  <si>
    <t>140 Kg</t>
  </si>
  <si>
    <t>CORREO:</t>
  </si>
  <si>
    <t>ORIGEN:</t>
  </si>
  <si>
    <t>CHINA</t>
  </si>
  <si>
    <t>MEDIDA</t>
  </si>
  <si>
    <t>TELEFONO:</t>
  </si>
  <si>
    <t>CLIENTE:</t>
  </si>
  <si>
    <t>NUEVO</t>
  </si>
  <si>
    <t>ANTIGUO</t>
  </si>
  <si>
    <t>VOLUMEN:</t>
  </si>
  <si>
    <t>CBM</t>
  </si>
  <si>
    <t>CALCULO DE BASE IMPONIBLE</t>
  </si>
  <si>
    <t>MONTO</t>
  </si>
  <si>
    <t>MONEDA</t>
  </si>
  <si>
    <t>VALOR DE CARGA</t>
  </si>
  <si>
    <t>FLETE INTERNACIONAL + SEGURO</t>
  </si>
  <si>
    <t>VALOR CIF</t>
  </si>
  <si>
    <t>USD</t>
  </si>
  <si>
    <t>CALCULO DE TRIBUTOS</t>
  </si>
  <si>
    <t>%</t>
  </si>
  <si>
    <t>ADVALOREM</t>
  </si>
  <si>
    <t>Hola DIEGO ARIAS 😁 un gusto saludarte!
A continuación te envío la cotización final de tu importación📋📦.
🙋‍♂️ PAGO PENDIENTE :
Pronto le aviso nuevos avances, que tengan buen día🚢
Último día de pago: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</si>
  <si>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</si>
  <si>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</si>
  <si>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</si>
  <si>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</si>
  <si>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</si>
  <si>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</si>
  <si>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</si>
  <si>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</si>
  <si>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</si>
  <si>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</si>
  <si>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</si>
  <si>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</si>
  <si>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</si>
  <si>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</si>
  <si>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</si>
  <si>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</si>
  <si>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</si>
  <si>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</si>
  <si>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</si>
  <si>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MOCHILA VINTAGE ANTIRROBO</t>
  </si>
  <si>
    <t>MOCHILA BOLSO DE VIAJE</t>
  </si>
  <si>
    <t>MOCHILA VINTAGE</t>
  </si>
  <si>
    <t>MOCHILA VINTAGE PARA VIAJE</t>
  </si>
  <si>
    <t>RESUMEN DE PAGOS DE SERVICIO DE IMPORTACIÓN</t>
  </si>
  <si>
    <t>FECHAS:</t>
  </si>
  <si>
    <t>NOTAS: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</si>
  <si>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</si>
  <si>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</si>
  <si>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</si>
  <si>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</si>
  <si>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</si>
  <si>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</si>
  <si>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</si>
  <si>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</si>
  <si>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</si>
  <si>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</si>
  <si>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</si>
  <si>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</si>
  <si>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</si>
  <si>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</si>
  <si>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</si>
  <si>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</si>
  <si>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</si>
  <si>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</si>
  <si>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</si>
  <si>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</si>
  <si>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</si>
  <si>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</si>
  <si>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</si>
  <si>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</si>
  <si>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</si>
  <si>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</si>
  <si>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</si>
  <si>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</si>
  <si>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</si>
  <si>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</si>
  <si>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</si>
  <si>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</si>
  <si>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</si>
  <si>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</si>
  <si>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</si>
  <si>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</si>
  <si>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</si>
  <si>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</si>
  <si>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</si>
  <si>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</si>
  <si>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</si>
  <si>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</si>
  <si>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</si>
  <si>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</si>
  <si>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</si>
  <si>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</si>
  <si>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</si>
  <si>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</si>
  <si>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</si>
  <si>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</si>
  <si>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</si>
  <si>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</si>
  <si>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</si>
  <si>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</si>
  <si>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</si>
  <si>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</si>
  <si>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</si>
  <si>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</si>
  <si>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</si>
  <si>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</si>
  <si>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</si>
  <si>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BOLSO VINTAGE PARA HOMBRE</t>
  </si>
  <si>
    <t>MALETIN VINTAGE PARA HOMBRE</t>
  </si>
  <si>
    <t>MOCHILA VINTAGE PARA ACAMPAR</t>
  </si>
  <si>
    <t>MOCHILA VINTAGE PARA SENDERISMO</t>
  </si>
  <si>
    <t>Total</t>
  </si>
  <si>
    <t>Tipo Cliente</t>
  </si>
  <si>
    <t>Tarifa</t>
  </si>
  <si>
    <t>Tributos Aplicables</t>
  </si>
  <si>
    <t>AD VALOREM</t>
  </si>
  <si>
    <t>PERCEPCION</t>
  </si>
  <si>
    <t>Costos Destinos</t>
  </si>
  <si>
    <t>ITEM</t>
  </si>
  <si>
    <t>COSTO TOTAL</t>
  </si>
  <si>
    <t>CANTIDAD</t>
  </si>
  <si>
    <t>COSTO UNITARIO</t>
  </si>
  <si>
    <t>COSTO SOLES</t>
  </si>
</sst>
</file>

<file path=xl/styles.xml><?xml version="1.0" encoding="utf-8"?>
<styleSheet xmlns="http://schemas.openxmlformats.org/spreadsheetml/2006/main" xml:space="preserve">
  <numFmts count="13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&quot;$&quot;#,##0_-"/>
    <numFmt numFmtId="175" formatCode="0.00&quot; Kg&quot;"/>
    <numFmt numFmtId="176" formatCode="&quot;S/.&quot; #,##0.00_-"/>
  </numFmts>
  <fonts count="26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single"/>
      <sz val="14"/>
      <color rgb="FF000000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2"/>
      <color rgb="FFFFFFFF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10" numFmtId="0" fillId="2" borderId="0" applyFont="1" applyNumberFormat="0" applyFill="1" applyBorder="0" applyAlignment="0"/>
    <xf xfId="0" fontId="11" numFmtId="0" fillId="2" borderId="0" applyFont="1" applyNumberFormat="0" applyFill="1" applyBorder="0" applyAlignment="0"/>
    <xf xfId="0" fontId="12" numFmtId="166" fillId="2" borderId="9" applyFont="1" applyNumberFormat="1" applyFill="1" applyBorder="1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4" numFmtId="0" fillId="2" borderId="0" applyFont="1" applyNumberFormat="0" applyFill="1" applyBorder="0" applyAlignment="0"/>
    <xf xfId="0" fontId="15" numFmtId="0" fillId="2" borderId="0" applyFont="1" applyNumberFormat="0" applyFill="1" applyBorder="0" applyAlignment="1">
      <alignment vertical="center" textRotation="0" wrapText="false" shrinkToFit="false"/>
    </xf>
    <xf xfId="0" fontId="0" numFmtId="170" fillId="2" borderId="9" applyFont="0" applyNumberFormat="1" applyFill="1" applyBorder="1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2" numFmtId="0" fillId="2" borderId="10" applyFont="1" applyNumberFormat="0" applyFill="1" applyBorder="1" applyAlignment="1">
      <alignment horizontal="center" vertical="bottom" textRotation="0" wrapText="false" shrinkToFit="false"/>
    </xf>
    <xf xfId="0" fontId="12" numFmtId="0" fillId="2" borderId="11" applyFont="1" applyNumberFormat="0" applyFill="1" applyBorder="1" applyAlignment="1">
      <alignment horizontal="center" vertical="bottom" textRotation="0" wrapText="false" shrinkToFit="false"/>
    </xf>
    <xf xfId="0" fontId="18" numFmtId="0" fillId="8" borderId="9" applyFont="1" applyNumberFormat="0" applyFill="1" applyBorder="1" applyAlignment="1">
      <alignment horizontal="center" vertical="center" textRotation="0" wrapText="false" shrinkToFit="false"/>
    </xf>
    <xf xfId="0" fontId="18" numFmtId="0" fillId="8" borderId="12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3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19" numFmtId="171" fillId="8" borderId="4" applyFont="1" applyNumberFormat="1" applyFill="1" applyBorder="1" applyAlignment="1">
      <alignment horizontal="center" vertical="center" textRotation="0" wrapText="false" shrinkToFit="false"/>
    </xf>
    <xf xfId="0" fontId="19" numFmtId="171" fillId="8" borderId="6" applyFont="1" applyNumberFormat="1" applyFill="1" applyBorder="1" applyAlignment="1">
      <alignment horizontal="center" vertical="center" textRotation="0" wrapText="false" shrinkToFit="false"/>
    </xf>
    <xf xfId="0" fontId="19" numFmtId="171" fillId="8" borderId="14" applyFont="1" applyNumberFormat="1" applyFill="1" applyBorder="1" applyAlignment="1">
      <alignment horizontal="center" vertical="center" textRotation="0" wrapText="true" shrinkToFit="false"/>
    </xf>
    <xf xfId="0" fontId="19" numFmtId="171" fillId="8" borderId="15" applyFont="1" applyNumberFormat="1" applyFill="1" applyBorder="1" applyAlignment="1">
      <alignment horizontal="center" vertical="center" textRotation="0" wrapText="true" shrinkToFit="false"/>
    </xf>
    <xf xfId="0" fontId="19" numFmtId="171" fillId="8" borderId="0" applyFont="1" applyNumberFormat="1" applyFill="1" applyBorder="0" applyAlignment="1">
      <alignment horizontal="center" vertical="center" textRotation="0" wrapText="true" shrinkToFit="false"/>
    </xf>
    <xf xfId="0" fontId="19" numFmtId="171" fillId="8" borderId="7" applyFont="1" applyNumberFormat="1" applyFill="1" applyBorder="1" applyAlignment="1">
      <alignment horizontal="center" vertical="center" textRotation="0" wrapText="true" shrinkToFit="false"/>
    </xf>
    <xf xfId="0" fontId="19" numFmtId="171" fillId="8" borderId="16" applyFont="1" applyNumberFormat="1" applyFill="1" applyBorder="1" applyAlignment="1">
      <alignment horizontal="center" vertical="center" textRotation="0" wrapText="true" shrinkToFit="false"/>
    </xf>
    <xf xfId="0" fontId="19" numFmtId="171" fillId="8" borderId="17" applyFont="1" applyNumberFormat="1" applyFill="1" applyBorder="1" applyAlignment="1">
      <alignment horizontal="center" vertical="center" textRotation="0" wrapText="true" shrinkToFit="false"/>
    </xf>
    <xf xfId="0" fontId="19" numFmtId="171" fillId="8" borderId="18" applyFont="1" applyNumberFormat="1" applyFill="1" applyBorder="1" applyAlignment="1">
      <alignment horizontal="center" vertical="center" textRotation="0" wrapText="true" shrinkToFit="false"/>
    </xf>
    <xf xfId="0" fontId="19" numFmtId="171" fillId="8" borderId="19" applyFont="1" applyNumberFormat="1" applyFill="1" applyBorder="1" applyAlignment="1">
      <alignment horizontal="center" vertical="center" textRotation="0" wrapText="true" shrinkToFit="false"/>
    </xf>
    <xf xfId="0" fontId="20" numFmtId="0" fillId="9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9" borderId="9" applyFont="1" applyNumberFormat="0" applyFill="1" applyBorder="1" applyAlignment="1">
      <alignment horizontal="center" vertical="center" textRotation="0" wrapText="false" shrinkToFit="false"/>
    </xf>
    <xf xfId="0" fontId="12" numFmtId="166" fillId="2" borderId="9" applyFont="1" applyNumberFormat="1" applyFill="1" applyBorder="1" applyAlignment="1">
      <alignment horizontal="center" vertical="center" textRotation="0" wrapText="false" shrinkToFit="false"/>
    </xf>
    <xf xfId="0" fontId="12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0" borderId="9" applyFont="0" applyNumberFormat="0" applyFill="0" applyBorder="1" applyAlignment="0"/>
    <xf xfId="0" fontId="0" numFmtId="0" fillId="10" borderId="9" applyFont="0" applyNumberFormat="0" applyFill="1" applyBorder="1" applyAlignment="1">
      <alignment horizontal="center" vertical="bottom" textRotation="0" wrapText="false" shrinkToFit="false"/>
    </xf>
    <xf xfId="0" fontId="0" numFmtId="174" fillId="0" borderId="0" applyFont="0" applyNumberFormat="1" applyFill="0" applyBorder="0" applyAlignment="0"/>
    <xf xfId="0" fontId="24" numFmtId="10" fillId="0" borderId="0" applyFont="1" applyNumberFormat="1" applyFill="0" applyBorder="0" applyAlignment="0"/>
    <xf xfId="0" fontId="8" numFmtId="0" fillId="11" borderId="9" applyFont="1" applyNumberFormat="0" applyFill="1" applyBorder="1" applyAlignment="1">
      <alignment horizontal="center" vertical="bottom" textRotation="0" wrapText="false" shrinkToFit="false"/>
    </xf>
    <xf xfId="0" fontId="0" numFmtId="0" fillId="12" borderId="9" applyFont="0" applyNumberFormat="0" applyFill="1" applyBorder="1" applyAlignment="0"/>
    <xf xfId="0" fontId="8" numFmtId="0" fillId="11" borderId="9" applyFont="1" applyNumberFormat="0" applyFill="1" applyBorder="1" applyAlignment="0"/>
    <xf xfId="0" fontId="0" numFmtId="174" fillId="0" borderId="9" applyFont="0" applyNumberFormat="1" applyFill="0" applyBorder="1" applyAlignment="0"/>
    <xf xfId="0" fontId="0" numFmtId="10" fillId="0" borderId="9" applyFont="0" applyNumberFormat="1" applyFill="0" applyBorder="1" applyAlignment="0"/>
    <xf xfId="0" fontId="0" numFmtId="175" fillId="0" borderId="9" applyFont="0" applyNumberFormat="1" applyFill="0" applyBorder="1" applyAlignment="0"/>
    <xf xfId="0" fontId="5" numFmtId="0" fillId="0" borderId="9" applyFont="1" applyNumberFormat="0" applyFill="0" applyBorder="1" applyAlignment="0"/>
    <xf xfId="0" fontId="5" numFmtId="174" fillId="0" borderId="9" applyFont="1" applyNumberFormat="1" applyFill="0" applyBorder="1" applyAlignment="0"/>
    <xf xfId="0" fontId="0" numFmtId="176" fillId="0" borderId="9" applyFont="0" applyNumberFormat="1" applyFill="0" applyBorder="1" applyAlignment="0"/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4" fillId="4" borderId="0" applyFont="1" applyNumberFormat="1" applyFill="1" applyBorder="0" applyAlignment="1">
      <alignment horizontal="center" vertical="bottom" textRotation="0" wrapText="false" shrinkToFit="false"/>
    </xf>
    <xf xfId="0" fontId="8" numFmtId="174" fillId="5" borderId="9" applyFont="1" applyNumberFormat="1" applyFill="1" applyBorder="1" applyAlignment="1">
      <alignment horizontal="center" vertical="bottom" textRotation="0" wrapText="false" shrinkToFit="false"/>
    </xf>
    <xf xfId="0" fontId="8" numFmtId="176" fillId="5" borderId="9" applyFont="1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1">
      <alignment horizontal="center" vertical="bottom" textRotation="0" wrapText="false" shrinkToFit="false"/>
    </xf>
    <xf xfId="0" fontId="0" numFmtId="174" fillId="2" borderId="9" applyFont="0" applyNumberFormat="1" applyFill="1" applyBorder="1" applyAlignment="0"/>
    <xf xfId="0" fontId="9" numFmtId="174" fillId="2" borderId="9" applyFont="1" applyNumberFormat="1" applyFill="1" applyBorder="1" applyAlignment="0"/>
    <xf xfId="0" fontId="5" numFmtId="174" fillId="2" borderId="9" applyFont="1" applyNumberFormat="1" applyFill="1" applyBorder="1" applyAlignment="1">
      <alignment horizontal="right" vertical="bottom" textRotation="0" wrapText="false" shrinkToFit="false"/>
    </xf>
    <xf xfId="0" fontId="25" numFmtId="176" fillId="5" borderId="9" applyFont="1" applyNumberFormat="1" applyFill="1" applyBorder="1" applyAlignment="1">
      <alignment horizontal="left" vertical="bottom" textRotation="0" wrapText="false" shrinkToFit="false"/>
    </xf>
    <xf xfId="0" fontId="2" numFmtId="0" fillId="2" borderId="9" applyFont="1" applyNumberFormat="0" applyFill="1" applyBorder="1" applyAlignment="0"/>
    <xf xfId="0" fontId="4" numFmtId="0" fillId="2" borderId="9" applyFont="1" applyNumberFormat="0" applyFill="1" applyBorder="1" applyAlignment="0"/>
    <xf xfId="0" fontId="4" numFmtId="174" fillId="2" borderId="9" applyFont="1" applyNumberFormat="1" applyFill="1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91c28fba22400e34d31650dbeae342d.png"/><Relationship Id="rId2" Type="http://schemas.openxmlformats.org/officeDocument/2006/relationships/image" Target="../media/8c389b243dff461f1445e4e199a3f3a4.png"/><Relationship Id="rId3" Type="http://schemas.openxmlformats.org/officeDocument/2006/relationships/image" Target="../media/8c389b243dff461f1445e4e199a3f3a4.png"/><Relationship Id="rId4" Type="http://schemas.openxmlformats.org/officeDocument/2006/relationships/image" Target="../media/091c28fba22400e34d31650dbeae342d.png"/><Relationship Id="rId5" Type="http://schemas.openxmlformats.org/officeDocument/2006/relationships/image" Target="../media/7028a1d82577d8f0088e95736740258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0" workbookViewId="0" zoomScale="70" zoomScaleNormal="70" showGridLines="false" showRowColHeaders="1" topLeftCell="A25">
      <selection activeCell="J40" sqref="J40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62"/>
      <c r="G3" s="62"/>
      <c r="H3" s="62"/>
      <c r="I3" s="62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63"/>
      <c r="G4" s="63"/>
      <c r="H4" s="63"/>
      <c r="I4" s="63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64" t="s">
        <v>0</v>
      </c>
      <c r="E7" s="64"/>
      <c r="F7" s="64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14" t="s">
        <v>3</v>
      </c>
      <c r="D8" s="9" t="s">
        <v>4</v>
      </c>
      <c r="E8" s="10" t="s">
        <v>5</v>
      </c>
      <c r="F8" s="11"/>
      <c r="G8" s="3"/>
      <c r="H8" s="1" t="s">
        <v>6</v>
      </c>
      <c r="I8" s="65" t="str">
        <f>+'2'!D5</f>
        <v>MOCHILA BOLSO DE VIAJE</v>
      </c>
      <c r="J8" s="65"/>
      <c r="K8" s="65"/>
      <c r="L8" s="1"/>
      <c r="M8" s="1"/>
      <c r="N8" s="1"/>
      <c r="O8" s="1"/>
      <c r="P8" s="1"/>
      <c r="Q8" s="1"/>
    </row>
    <row r="9" spans="1:17">
      <c r="A9" s="7" t="s">
        <v>7</v>
      </c>
      <c r="B9" s="8"/>
      <c r="C9" s="1"/>
      <c r="D9" s="12" t="s">
        <v>8</v>
      </c>
      <c r="E9" s="66">
        <f>+TODAY()</f>
        <v>45940</v>
      </c>
      <c r="F9" s="67"/>
      <c r="G9" s="3"/>
      <c r="H9" s="1" t="s">
        <v>9</v>
      </c>
      <c r="I9" s="68">
        <f>+'2'!D6</f>
        <v>0</v>
      </c>
      <c r="J9" s="68" t="s">
        <v>10</v>
      </c>
      <c r="K9" s="68"/>
      <c r="L9" s="1"/>
      <c r="M9" s="1"/>
      <c r="N9" s="1"/>
      <c r="O9" s="1"/>
      <c r="P9" s="1"/>
      <c r="Q9" s="1"/>
    </row>
    <row r="10" spans="1:17">
      <c r="A10" s="7" t="s">
        <v>11</v>
      </c>
      <c r="B10" s="8"/>
      <c r="C10" s="1"/>
      <c r="D10" s="13" t="s">
        <v>12</v>
      </c>
      <c r="E10" s="1" t="s">
        <v>13</v>
      </c>
      <c r="F10" s="14"/>
      <c r="G10" s="3"/>
      <c r="H10" s="1" t="s">
        <v>14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15</v>
      </c>
      <c r="B11" s="16">
        <v>51912768538</v>
      </c>
      <c r="C11" s="1">
        <v>51952687062</v>
      </c>
      <c r="D11" s="17" t="s">
        <v>16</v>
      </c>
      <c r="E11" s="18" t="s">
        <v>17</v>
      </c>
      <c r="F11" s="19" t="s">
        <v>18</v>
      </c>
      <c r="G11" s="1"/>
      <c r="H11" s="1" t="s">
        <v>19</v>
      </c>
      <c r="I11" s="69" t="s">
        <v>20</v>
      </c>
      <c r="J11" s="115">
        <f>'2'!J7</f>
        <v>0</v>
      </c>
      <c r="K11" s="69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70" t="s">
        <v>21</v>
      </c>
      <c r="B13" s="70"/>
      <c r="C13" s="70"/>
      <c r="D13" s="70"/>
      <c r="E13" s="70"/>
      <c r="F13" s="21"/>
      <c r="G13" s="21"/>
      <c r="H13" s="22"/>
      <c r="I13" s="22"/>
      <c r="J13" s="23" t="s">
        <v>22</v>
      </c>
      <c r="K13" s="23" t="s">
        <v>23</v>
      </c>
      <c r="L13" s="1"/>
      <c r="M13" s="1"/>
      <c r="N13" s="1"/>
      <c r="O13" s="1"/>
      <c r="P13" s="1"/>
      <c r="Q13" s="1"/>
    </row>
    <row r="14" spans="1:17">
      <c r="A14" s="71" t="s">
        <v>24</v>
      </c>
      <c r="B14" s="71"/>
      <c r="C14" s="71"/>
      <c r="D14" s="3"/>
      <c r="E14" s="3"/>
      <c r="F14" s="3"/>
      <c r="G14" s="3"/>
      <c r="H14" s="1"/>
      <c r="I14" s="1"/>
      <c r="J14" s="25">
        <f>'2'!D18</f>
        <v>94.829036096787</v>
      </c>
      <c r="K14" s="26">
        <f>'2'!J11</f>
        <v>147</v>
      </c>
      <c r="L14" s="1"/>
      <c r="M14" s="1"/>
      <c r="N14" s="1"/>
      <c r="O14" s="1"/>
      <c r="P14" s="1"/>
      <c r="Q14" s="1"/>
    </row>
    <row r="15" spans="1:17">
      <c r="A15" s="72" t="s">
        <v>25</v>
      </c>
      <c r="B15" s="72"/>
      <c r="C15" s="72"/>
      <c r="D15" s="18"/>
      <c r="E15" s="18"/>
      <c r="F15" s="18"/>
      <c r="G15" s="18"/>
      <c r="H15" s="18"/>
      <c r="I15" s="18"/>
      <c r="J15" s="27" t="e">
        <f>IF(I11&lt;1,'2'!D21+'2'!D24,60%*(T16*I11)+'2'!D24)</f>
        <v>#VALUE!</v>
      </c>
      <c r="K15" s="28">
        <f>'2'!J14 + '2'!J17</f>
        <v>18.950813169377</v>
      </c>
      <c r="L15" s="1"/>
      <c r="M15" s="1"/>
      <c r="N15" s="1"/>
      <c r="O15" s="1"/>
      <c r="P15" s="1"/>
      <c r="Q15" s="1"/>
    </row>
    <row r="16" spans="1:17">
      <c r="A16" s="7" t="s">
        <v>26</v>
      </c>
      <c r="B16" s="3"/>
      <c r="C16" s="3"/>
      <c r="D16" s="3"/>
      <c r="E16" s="3"/>
      <c r="F16" s="3"/>
      <c r="G16" s="3"/>
      <c r="H16" s="3"/>
      <c r="I16" s="3"/>
      <c r="J16" s="25" t="e">
        <f>SUM(J14:J15)</f>
        <v>#VALUE!</v>
      </c>
      <c r="K16" s="26" t="s">
        <v>27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70" t="s">
        <v>28</v>
      </c>
      <c r="B19" s="70"/>
      <c r="C19" s="70"/>
      <c r="D19" s="70"/>
      <c r="E19" s="70"/>
      <c r="F19" s="21"/>
      <c r="G19" s="21"/>
      <c r="H19" s="21"/>
      <c r="I19" s="23" t="s">
        <v>29</v>
      </c>
      <c r="J19" s="23" t="s">
        <v>22</v>
      </c>
      <c r="K19" s="23" t="s">
        <v>23</v>
      </c>
      <c r="L19" s="1"/>
      <c r="M19" s="1"/>
      <c r="N19" s="1"/>
      <c r="O19" s="1"/>
      <c r="P19" s="1"/>
      <c r="Q19" s="1"/>
    </row>
    <row r="20" spans="1:17">
      <c r="A20" s="3" t="s">
        <v>30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'2'!D34</f>
        <v>0</v>
      </c>
      <c r="K20" s="26">
        <f>'2'!J28</f>
        <v>0</v>
      </c>
      <c r="L20" s="1"/>
      <c r="M20" s="1"/>
      <c r="N20" s="30" t="s">
        <v>31</v>
      </c>
      <c r="O20" s="1"/>
      <c r="P20" s="1"/>
      <c r="Q20" s="1"/>
    </row>
    <row r="21" spans="1:17">
      <c r="A21" s="3" t="s">
        <v>32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'2'!D35</f>
        <v>0</v>
      </c>
      <c r="K21" s="26">
        <f>'2'!J29</f>
        <v>26.5521301071</v>
      </c>
      <c r="L21" s="1"/>
      <c r="M21" s="1"/>
      <c r="N21" s="31" t="e">
        <f>J31/I11</f>
        <v>#VALUE!</v>
      </c>
      <c r="O21" s="1"/>
      <c r="P21" s="1"/>
      <c r="Q21" s="1"/>
    </row>
    <row r="22" spans="1:17">
      <c r="A22" s="3" t="s">
        <v>33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'2'!D36</f>
        <v>0</v>
      </c>
      <c r="K22" s="26">
        <f>'2'!J30</f>
        <v>3.3190162633875</v>
      </c>
      <c r="L22" s="1"/>
      <c r="M22" s="1"/>
      <c r="N22" s="1"/>
      <c r="O22" s="1"/>
      <c r="P22" s="1"/>
      <c r="Q22" s="1"/>
    </row>
    <row r="23" spans="1:17">
      <c r="A23" s="18" t="s">
        <v>34</v>
      </c>
      <c r="B23" s="18"/>
      <c r="C23" s="18"/>
      <c r="D23" s="18"/>
      <c r="E23" s="18"/>
      <c r="F23" s="18"/>
      <c r="G23" s="18"/>
      <c r="H23" s="18"/>
      <c r="I23" s="32">
        <f>MAX('2'!C30:C30)</f>
        <v>4.7414518048393</v>
      </c>
      <c r="J23" s="27">
        <f>'2'!D31</f>
        <v>3.9164391907973</v>
      </c>
      <c r="K23" s="28" t="s">
        <v>27</v>
      </c>
      <c r="L23" s="1"/>
      <c r="M23" s="1"/>
      <c r="N23" s="1"/>
      <c r="O23" s="1"/>
      <c r="P23" s="1"/>
      <c r="Q23" s="1"/>
    </row>
    <row r="24" spans="1:17">
      <c r="A24" s="7" t="s">
        <v>35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3.9164391907973</v>
      </c>
      <c r="K24" s="26" t="s">
        <v>27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>
        <f>'2'!J31</f>
        <v>6.8537685838953</v>
      </c>
      <c r="L25" s="1"/>
      <c r="M25" s="1"/>
      <c r="N25" s="1"/>
      <c r="O25" s="1"/>
      <c r="P25" s="1"/>
      <c r="Q25" s="1"/>
    </row>
    <row r="26" spans="1:17">
      <c r="A26" s="18" t="s">
        <v>36</v>
      </c>
      <c r="B26" s="18"/>
      <c r="C26" s="18"/>
      <c r="D26" s="18"/>
      <c r="E26" s="18"/>
      <c r="F26" s="18"/>
      <c r="G26" s="18"/>
      <c r="H26" s="18"/>
      <c r="I26" s="36" t="s">
        <v>37</v>
      </c>
      <c r="J26" s="27">
        <f>'2'!D37</f>
        <v/>
      </c>
      <c r="K26" s="28" t="s">
        <v>27</v>
      </c>
      <c r="L26" s="1"/>
      <c r="M26" s="1"/>
      <c r="N26" s="1"/>
      <c r="O26" s="1"/>
      <c r="P26" s="1"/>
      <c r="Q26" s="1"/>
    </row>
    <row r="27" spans="1:17">
      <c r="A27" s="7" t="s">
        <v>38</v>
      </c>
      <c r="B27" s="3"/>
      <c r="C27" s="3"/>
      <c r="D27" s="3"/>
      <c r="E27" s="3"/>
      <c r="F27" s="3"/>
      <c r="G27" s="3"/>
      <c r="H27" s="3"/>
      <c r="I27" s="1"/>
      <c r="J27" s="25">
        <f>J24+J26</f>
        <v>3.9164391907973</v>
      </c>
      <c r="K27" s="26" t="s">
        <v>27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61" t="s">
        <v>39</v>
      </c>
      <c r="B29" s="61"/>
      <c r="C29" s="61"/>
      <c r="D29" s="61"/>
      <c r="E29" s="61"/>
      <c r="F29" s="37"/>
      <c r="G29" s="37"/>
      <c r="H29" s="38"/>
      <c r="I29" s="38"/>
      <c r="J29" s="38" t="s">
        <v>22</v>
      </c>
      <c r="K29" s="38">
        <f>K14</f>
        <v>147</v>
      </c>
      <c r="L29" s="1"/>
      <c r="M29" s="1"/>
      <c r="N29" s="1"/>
      <c r="O29" s="1"/>
      <c r="P29" s="1"/>
      <c r="Q29" s="1"/>
    </row>
    <row r="30" spans="1:17">
      <c r="A30" s="3" t="s">
        <v>40</v>
      </c>
      <c r="B30" s="3"/>
      <c r="C30" s="3"/>
      <c r="D30" s="3"/>
      <c r="E30" s="3"/>
      <c r="F30" s="3"/>
      <c r="G30" s="3"/>
      <c r="H30" s="25"/>
      <c r="I30" s="25"/>
      <c r="J30" s="25">
        <f>J14</f>
        <v>94.829036096787</v>
      </c>
      <c r="K30" s="26">
        <f>IF(J11&lt;1, 350, 350*J11)</f>
        <v>350</v>
      </c>
      <c r="L30" s="1"/>
      <c r="M30" s="1"/>
      <c r="N30" s="1"/>
      <c r="O30" s="1"/>
      <c r="P30" s="1"/>
      <c r="Q30" s="1"/>
    </row>
    <row r="31" spans="1:17">
      <c r="A31" s="3" t="s">
        <v>41</v>
      </c>
      <c r="B31" s="3"/>
      <c r="C31" s="3"/>
      <c r="D31" s="3"/>
      <c r="E31" s="3"/>
      <c r="F31" s="3"/>
      <c r="G31" s="3"/>
      <c r="H31" s="25"/>
      <c r="I31" s="25"/>
      <c r="J31" s="25" t="e">
        <f>IF(I11&lt;1,T16,T16*I11)</f>
        <v>#VALUE!</v>
      </c>
      <c r="K31" s="26">
        <f>K20+K21+K22+K25</f>
        <v>36.724914954383</v>
      </c>
      <c r="L31" s="30" t="s">
        <v>22</v>
      </c>
      <c r="M31" s="1"/>
      <c r="N31" s="1"/>
      <c r="O31" s="1"/>
      <c r="P31" s="1"/>
      <c r="Q31" s="1"/>
    </row>
    <row r="32" spans="1:17">
      <c r="A32" s="18" t="s">
        <v>42</v>
      </c>
      <c r="B32" s="18"/>
      <c r="C32" s="18"/>
      <c r="D32" s="18"/>
      <c r="E32" s="18"/>
      <c r="F32" s="18"/>
      <c r="G32" s="18"/>
      <c r="H32" s="27"/>
      <c r="I32" s="27"/>
      <c r="J32" s="27">
        <f>J27</f>
        <v>3.9164391907973</v>
      </c>
      <c r="K32" s="28">
        <f>K29+K30+K31</f>
        <v>533.72491495438</v>
      </c>
      <c r="L32" s="1"/>
      <c r="M32" s="1"/>
      <c r="N32" s="34"/>
      <c r="O32" s="1"/>
      <c r="P32" s="1"/>
      <c r="Q32" s="1"/>
    </row>
    <row r="33" spans="1:17">
      <c r="A33" s="7" t="s">
        <v>43</v>
      </c>
      <c r="B33" s="3"/>
      <c r="C33" s="3"/>
      <c r="D33" s="3"/>
      <c r="E33" s="3"/>
      <c r="F33" s="3"/>
      <c r="G33" s="3"/>
      <c r="H33" s="25"/>
      <c r="I33" s="25"/>
      <c r="J33" s="25" t="e">
        <f>SUM(J30:J32)</f>
        <v>#VALUE!</v>
      </c>
      <c r="K33" s="26" t="s">
        <v>27</v>
      </c>
      <c r="L33" s="1"/>
      <c r="M33" s="75" t="s">
        <v>44</v>
      </c>
      <c r="N33" s="75"/>
      <c r="O33" s="75"/>
      <c r="P33" s="75"/>
      <c r="Q33" s="75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76"/>
      <c r="N34" s="76"/>
      <c r="O34" s="76"/>
      <c r="P34" s="76"/>
      <c r="Q34" s="76"/>
    </row>
    <row r="35" spans="1:17">
      <c r="A35" s="77" t="s">
        <v>45</v>
      </c>
      <c r="B35" s="78"/>
      <c r="C35" s="78"/>
      <c r="D35" s="78"/>
      <c r="E35" s="78"/>
      <c r="F35" s="78"/>
      <c r="G35" s="78"/>
      <c r="H35" s="78"/>
      <c r="I35" s="78"/>
      <c r="J35" s="78"/>
      <c r="K35" s="79"/>
      <c r="L35" s="1"/>
      <c r="M35" s="80" t="s">
        <v>46</v>
      </c>
      <c r="N35" s="82" t="s">
        <v>47</v>
      </c>
      <c r="O35" s="84" t="s">
        <v>48</v>
      </c>
      <c r="P35" s="86" t="s">
        <v>49</v>
      </c>
      <c r="Q35" s="88" t="s">
        <v>50</v>
      </c>
    </row>
    <row r="36" spans="1:17">
      <c r="A36" s="39"/>
      <c r="B36" s="41">
        <v>1</v>
      </c>
      <c r="C36" s="41" t="s">
        <v>51</v>
      </c>
      <c r="D36" s="41"/>
      <c r="E36" s="41"/>
      <c r="F36" s="41">
        <f>'2'!C10</f>
        <v>12</v>
      </c>
      <c r="G36" s="118">
        <f>'2'!C8</f>
        <v>17.5</v>
      </c>
      <c r="H36" s="42"/>
      <c r="I36" s="118">
        <f>'2'!C46</f>
        <v>24.90900297501</v>
      </c>
      <c r="J36" s="116">
        <f>'2'!C44</f>
        <v>298.90803570012</v>
      </c>
      <c r="K36" s="117">
        <f>'2'!C47</f>
        <v>92.163311007537</v>
      </c>
      <c r="L36" s="42"/>
      <c r="M36" s="81"/>
      <c r="N36" s="83"/>
      <c r="O36" s="85"/>
      <c r="P36" s="87"/>
      <c r="Q36" s="89"/>
    </row>
    <row r="37" spans="1:17">
      <c r="A37" s="39"/>
      <c r="B37" s="41">
        <v>2</v>
      </c>
      <c r="C37" s="41" t="s">
        <v>52</v>
      </c>
      <c r="D37" s="41"/>
      <c r="E37" s="41"/>
      <c r="F37" s="59">
        <f>'2'!D10</f>
        <v>4</v>
      </c>
      <c r="G37" s="118">
        <f>'2'!D8</f>
        <v>21</v>
      </c>
      <c r="H37" s="58"/>
      <c r="I37" s="119">
        <f>'2'!D46</f>
        <v>29.890803570012</v>
      </c>
      <c r="J37" s="116">
        <f>'2'!D44</f>
        <v>119.56321428005</v>
      </c>
      <c r="K37" s="117">
        <f>'2'!D47</f>
        <v>110.59597320904</v>
      </c>
      <c r="L37" s="42"/>
      <c r="M37" s="39">
        <v>1</v>
      </c>
      <c r="N37" s="40">
        <f>+B37</f>
        <v>2</v>
      </c>
      <c r="O37" s="43">
        <f>+F37</f>
        <v>4</v>
      </c>
      <c r="P37" s="44">
        <f>+H37</f>
        <v/>
      </c>
      <c r="Q37" s="45">
        <f>P37*3.8</f>
        <v>0</v>
      </c>
    </row>
    <row r="38" spans="1:17" customHeight="1" ht="15.6">
      <c r="A38" s="46"/>
      <c r="B38" s="41">
        <v>3</v>
      </c>
      <c r="C38" s="41" t="s">
        <v>53</v>
      </c>
      <c r="D38" s="41"/>
      <c r="E38" s="60"/>
      <c r="F38" s="41">
        <f>'2'!E10</f>
        <v>31</v>
      </c>
      <c r="G38" s="118">
        <f>'2'!E8</f>
        <v>19.267741935484</v>
      </c>
      <c r="H38" s="42"/>
      <c r="I38" s="120">
        <f>'2'!E46</f>
        <v>27.425156639583</v>
      </c>
      <c r="J38" s="121">
        <f>'2'!E44</f>
        <v>850.17985582706</v>
      </c>
      <c r="K38" s="122">
        <f>'2'!E47</f>
        <v>101.47307956646</v>
      </c>
      <c r="L38" s="41"/>
      <c r="M38" s="1"/>
      <c r="N38" s="1"/>
      <c r="O38" s="1"/>
      <c r="P38" s="1"/>
      <c r="Q38" s="1"/>
    </row>
    <row r="39" spans="1:17" customHeight="1" ht="15.6">
      <c r="A39" s="46"/>
      <c r="B39" s="41">
        <v>4</v>
      </c>
      <c r="C39" s="41" t="s">
        <v>54</v>
      </c>
      <c r="D39" s="41"/>
      <c r="E39" s="60"/>
      <c r="F39" s="41">
        <f>'2'!F10</f>
        <v>8</v>
      </c>
      <c r="G39" s="118">
        <f>'2'!F8</f>
        <v>14</v>
      </c>
      <c r="H39" s="42"/>
      <c r="I39" s="120">
        <f>'2'!F46</f>
        <v>19.927202380008</v>
      </c>
      <c r="J39" s="121">
        <f>'2'!F44</f>
        <v>159.41761904006</v>
      </c>
      <c r="K39" s="122">
        <f>'2'!F47</f>
        <v>73.730648806029</v>
      </c>
      <c r="L39" s="42"/>
      <c r="M39" s="90" t="s">
        <v>55</v>
      </c>
      <c r="N39" s="90"/>
      <c r="O39" s="90"/>
      <c r="P39" s="91" t="s">
        <v>56</v>
      </c>
      <c r="Q39" s="92"/>
    </row>
    <row r="40" spans="1:17" customHeight="1" ht="18">
      <c r="A40" s="48" t="s">
        <v>57</v>
      </c>
      <c r="B40" s="124" t="s">
        <v>38</v>
      </c>
      <c r="C40" s="123"/>
      <c r="D40" s="123"/>
      <c r="E40" s="123"/>
      <c r="F40" s="124">
        <f>SUM(F36:F39)</f>
        <v>55</v>
      </c>
      <c r="G40" s="123"/>
      <c r="H40" s="123"/>
      <c r="I40" s="123"/>
      <c r="J40" s="125">
        <f>SUM(J36:J39)</f>
        <v>1428.0687248473</v>
      </c>
      <c r="K40" s="42"/>
      <c r="L40" s="42"/>
      <c r="M40" s="90"/>
      <c r="N40" s="90"/>
      <c r="O40" s="90"/>
      <c r="P40" s="93"/>
      <c r="Q40" s="94"/>
    </row>
    <row r="41" spans="1:17" customHeight="1" ht="21">
      <c r="A41" s="49" t="s">
        <v>58</v>
      </c>
      <c r="B41" s="3"/>
      <c r="C41" s="3"/>
      <c r="D41" s="3"/>
      <c r="E41" s="3"/>
      <c r="F41" s="3"/>
      <c r="G41" s="3"/>
      <c r="H41" s="3"/>
      <c r="I41" s="3"/>
      <c r="J41" s="3"/>
      <c r="K41" s="1"/>
      <c r="L41" s="1"/>
      <c r="M41" s="73" t="s">
        <v>59</v>
      </c>
      <c r="N41" s="74"/>
      <c r="O41" s="50" t="e">
        <f>+J31</f>
        <v>#VALUE!</v>
      </c>
      <c r="P41" s="51" t="s">
        <v>60</v>
      </c>
      <c r="Q41" s="1"/>
    </row>
    <row r="42" spans="1:17" customHeight="1" ht="21">
      <c r="A42" s="49" t="s">
        <v>61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73" t="s">
        <v>62</v>
      </c>
      <c r="N42" s="74"/>
      <c r="O42" s="50">
        <f>+J32</f>
        <v>3.9164391907973</v>
      </c>
      <c r="P42" s="51" t="s">
        <v>63</v>
      </c>
      <c r="Q42" s="1"/>
    </row>
    <row r="43" spans="1:17" customHeight="1" ht="18">
      <c r="A43" s="49" t="s">
        <v>64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9" t="s">
        <v>65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95" t="s">
        <v>66</v>
      </c>
      <c r="N44" s="95"/>
      <c r="O44" s="96" t="e">
        <f>+O41+O42+J14</f>
        <v>#VALUE!</v>
      </c>
      <c r="P44" s="98" t="s">
        <v>67</v>
      </c>
      <c r="Q44" s="99"/>
    </row>
    <row r="45" spans="1:17" customHeight="1" ht="18">
      <c r="A45" s="49" t="s">
        <v>68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95"/>
      <c r="N45" s="95"/>
      <c r="O45" s="97"/>
      <c r="P45" s="98"/>
      <c r="Q45" s="99"/>
    </row>
    <row r="46" spans="1:17" customHeight="1" ht="18">
      <c r="A46" s="49" t="s">
        <v>69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9" t="s">
        <v>70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9" t="s">
        <v>71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00" t="s">
        <v>72</v>
      </c>
      <c r="B56" s="100"/>
      <c r="C56" s="100"/>
      <c r="D56" s="100"/>
      <c r="E56" s="100"/>
      <c r="F56" s="100"/>
      <c r="G56" s="100"/>
      <c r="H56" s="100"/>
      <c r="I56" s="100"/>
      <c r="J56" s="100"/>
      <c r="K56" s="100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2" t="s">
        <v>73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2" t="s">
        <v>74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75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2" t="s">
        <v>76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2" t="s">
        <v>77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78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2" t="s">
        <v>79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2" t="s">
        <v>80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2" t="s">
        <v>81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2" t="s">
        <v>82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2" t="s">
        <v>83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2" t="s">
        <v>84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2" t="s">
        <v>85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2" t="s">
        <v>86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2" t="s">
        <v>87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3" t="s">
        <v>88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2" t="s">
        <v>89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4" t="s">
        <v>90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2" t="s">
        <v>91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92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2" t="s">
        <v>93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2" t="s">
        <v>94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2" t="s">
        <v>95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2" t="s">
        <v>96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2" t="s">
        <v>97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2" t="s">
        <v>98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2" t="s">
        <v>99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5" t="s">
        <v>100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5" t="s">
        <v>101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5" t="s">
        <v>102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5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C8:C9"/>
    <mergeCell ref="C36:E36"/>
    <mergeCell ref="G36:H36"/>
    <mergeCell ref="K36:L36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47"/>
  <sheetViews>
    <sheetView tabSelected="1" workbookViewId="0" showGridLines="true" showRowColHeaders="1">
      <selection activeCell="B40" sqref="B40:L47"/>
    </sheetView>
  </sheetViews>
  <sheetFormatPr defaultRowHeight="14.4" outlineLevelRow="0" outlineLevelCol="0"/>
  <cols>
    <col min="2" max="2" width="24.708" bestFit="true" customWidth="true" style="0"/>
    <col min="3" max="3" width="30.564" bestFit="true" customWidth="true" style="0"/>
    <col min="4" max="4" width="26.993" bestFit="true" customWidth="true" style="0"/>
    <col min="5" max="5" width="18.71" bestFit="true" customWidth="true" style="0"/>
    <col min="6" max="6" width="31.707" bestFit="true" customWidth="true" style="0"/>
    <col min="7" max="7" width="30.564" bestFit="true" customWidth="true" style="0"/>
    <col min="8" max="8" width="32.992" bestFit="true" customWidth="true" style="0"/>
    <col min="9" max="9" width="34.135" bestFit="true" customWidth="true" style="0"/>
    <col min="10" max="10" width="37.705" bestFit="true" customWidth="true" style="0"/>
  </cols>
  <sheetData>
    <row r="3" spans="1:15">
      <c r="B3" s="102" t="s">
        <v>103</v>
      </c>
      <c r="C3" s="101"/>
      <c r="D3" s="101"/>
      <c r="E3" s="101"/>
      <c r="F3" s="101"/>
      <c r="G3" s="101"/>
    </row>
    <row r="5" spans="1:15">
      <c r="B5" s="105" t="s">
        <v>104</v>
      </c>
      <c r="C5" s="107" t="s">
        <v>51</v>
      </c>
      <c r="D5" s="107" t="s">
        <v>52</v>
      </c>
      <c r="E5" s="107" t="s">
        <v>53</v>
      </c>
      <c r="F5" s="107" t="s">
        <v>54</v>
      </c>
      <c r="G5" s="107" t="s">
        <v>119</v>
      </c>
      <c r="H5" s="107" t="s">
        <v>120</v>
      </c>
      <c r="I5" s="107" t="s">
        <v>121</v>
      </c>
      <c r="J5" s="107" t="s">
        <v>122</v>
      </c>
      <c r="K5" s="107" t="s">
        <v>123</v>
      </c>
      <c r="L5" s="101"/>
    </row>
    <row r="6" spans="1:15">
      <c r="B6" s="101" t="s">
        <v>105</v>
      </c>
      <c r="C6" s="101">
        <v>0</v>
      </c>
      <c r="D6" s="101">
        <v>0</v>
      </c>
      <c r="E6" s="101">
        <v>0</v>
      </c>
      <c r="F6" s="101">
        <v>0</v>
      </c>
      <c r="G6" s="101">
        <v>0</v>
      </c>
      <c r="H6" s="101">
        <v>0</v>
      </c>
      <c r="I6" s="101">
        <v>0</v>
      </c>
      <c r="J6" s="101">
        <v>0</v>
      </c>
      <c r="K6" s="110">
        <v>140.0</v>
      </c>
      <c r="L6" s="101"/>
      <c r="N6" t="s">
        <v>124</v>
      </c>
      <c r="O6" t="s">
        <v>125</v>
      </c>
    </row>
    <row r="7" spans="1:15">
      <c r="B7" s="101" t="s">
        <v>106</v>
      </c>
      <c r="C7" s="101">
        <v>0</v>
      </c>
      <c r="D7" s="101">
        <v>0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11">
        <v>0.69</v>
      </c>
      <c r="L7" s="101"/>
      <c r="N7" t="s">
        <v>18</v>
      </c>
      <c r="O7">
        <v>350</v>
      </c>
    </row>
    <row r="8" spans="1:15">
      <c r="B8" s="101" t="s">
        <v>107</v>
      </c>
      <c r="C8" s="108">
        <v>17.5</v>
      </c>
      <c r="D8" s="108">
        <v>21.0</v>
      </c>
      <c r="E8" s="108">
        <v>19.267741935484</v>
      </c>
      <c r="F8" s="108">
        <v>14.0</v>
      </c>
      <c r="G8" s="108">
        <v>20.5</v>
      </c>
      <c r="H8" s="108">
        <v>18.0</v>
      </c>
      <c r="I8" s="108">
        <v>9.5</v>
      </c>
      <c r="J8" s="108">
        <v>24.5</v>
      </c>
      <c r="K8" s="101"/>
      <c r="L8" s="101"/>
    </row>
    <row r="9" spans="1:15">
      <c r="B9" s="106" t="s">
        <v>108</v>
      </c>
      <c r="C9" s="108">
        <v>0.0</v>
      </c>
      <c r="D9" s="108">
        <v>0.0</v>
      </c>
      <c r="E9" s="108">
        <v>0.0</v>
      </c>
      <c r="F9" s="108">
        <v>0.0</v>
      </c>
      <c r="G9" s="108">
        <v>0.0</v>
      </c>
      <c r="H9" s="108">
        <v>0.0</v>
      </c>
      <c r="I9" s="108">
        <v>0.0</v>
      </c>
      <c r="J9" s="108">
        <v>0.0</v>
      </c>
      <c r="K9" s="101"/>
      <c r="L9" s="101"/>
    </row>
    <row r="10" spans="1:15">
      <c r="B10" s="101" t="s">
        <v>109</v>
      </c>
      <c r="C10" s="101">
        <v>12.0</v>
      </c>
      <c r="D10" s="101">
        <v>4.0</v>
      </c>
      <c r="E10" s="101">
        <v>31.0</v>
      </c>
      <c r="F10" s="101">
        <v>8.0</v>
      </c>
      <c r="G10" s="101">
        <v>30.0</v>
      </c>
      <c r="H10" s="101">
        <v>5.0</v>
      </c>
      <c r="I10" s="101">
        <v>17.0</v>
      </c>
      <c r="J10" s="101">
        <v>6.0</v>
      </c>
      <c r="K10" s="101">
        <f>SUM(C10:J10)</f>
        <v>113</v>
      </c>
      <c r="L10" s="101"/>
    </row>
    <row r="11" spans="1:15">
      <c r="B11" s="101" t="s">
        <v>110</v>
      </c>
      <c r="C11" s="108">
        <f>C8*C10</f>
        <v>210</v>
      </c>
      <c r="D11" s="108">
        <f>D8*D10</f>
        <v>84</v>
      </c>
      <c r="E11" s="108">
        <f>E8*E10</f>
        <v>597.3</v>
      </c>
      <c r="F11" s="108">
        <f>F8*F10</f>
        <v>112</v>
      </c>
      <c r="G11" s="108">
        <f>G8*G10</f>
        <v>615</v>
      </c>
      <c r="H11" s="108">
        <f>H8*H10</f>
        <v>90</v>
      </c>
      <c r="I11" s="108">
        <f>I8*I10</f>
        <v>161.5</v>
      </c>
      <c r="J11" s="108">
        <f>J8*J10</f>
        <v>147</v>
      </c>
      <c r="K11" s="101">
        <f>SUM(C11:J11)</f>
        <v>2016.8</v>
      </c>
      <c r="L11" s="101"/>
    </row>
    <row r="12" spans="1:15">
      <c r="B12" s="106" t="s">
        <v>111</v>
      </c>
      <c r="C12" s="108">
        <f>C10*C9</f>
        <v>0</v>
      </c>
      <c r="D12" s="108">
        <f>D10*D9</f>
        <v>0</v>
      </c>
      <c r="E12" s="108">
        <f>E10*E9</f>
        <v>0</v>
      </c>
      <c r="F12" s="108">
        <f>F10*F9</f>
        <v>0</v>
      </c>
      <c r="G12" s="108">
        <f>G10*G9</f>
        <v>0</v>
      </c>
      <c r="H12" s="108">
        <f>H10*H9</f>
        <v>0</v>
      </c>
      <c r="I12" s="108">
        <f>I10*I9</f>
        <v>0</v>
      </c>
      <c r="J12" s="108">
        <f>J10*J9</f>
        <v>0</v>
      </c>
      <c r="K12" s="101"/>
      <c r="L12" s="101"/>
    </row>
    <row r="13" spans="1:15">
      <c r="B13" s="101" t="s">
        <v>112</v>
      </c>
      <c r="C13" s="109">
        <f>C11/K11</f>
        <v>0.10412534708449</v>
      </c>
      <c r="D13" s="109">
        <f>D11/K11</f>
        <v>0.041650138833796</v>
      </c>
      <c r="E13" s="109">
        <f>E11/K11</f>
        <v>0.29616223720746</v>
      </c>
      <c r="F13" s="109">
        <f>F11/K11</f>
        <v>0.055533518445061</v>
      </c>
      <c r="G13" s="109">
        <f>G11/K11</f>
        <v>0.30493851646172</v>
      </c>
      <c r="H13" s="109">
        <f>H11/K11</f>
        <v>0.044625148750496</v>
      </c>
      <c r="I13" s="109">
        <f>I11/K11</f>
        <v>0.080077350257834</v>
      </c>
      <c r="J13" s="109">
        <f>J11/K11</f>
        <v>0.072887742959143</v>
      </c>
      <c r="K13" s="101"/>
      <c r="L13" s="101"/>
    </row>
    <row r="14" spans="1:15">
      <c r="B14" s="101" t="s">
        <v>113</v>
      </c>
      <c r="C14" s="108">
        <f>K14*C13</f>
        <v>21.866322887743</v>
      </c>
      <c r="D14" s="108">
        <f>K14*D13</f>
        <v>8.7465291550972</v>
      </c>
      <c r="E14" s="108">
        <f>K14*E13</f>
        <v>62.194069813566</v>
      </c>
      <c r="F14" s="108">
        <f>K14*F13</f>
        <v>11.662038873463</v>
      </c>
      <c r="G14" s="108">
        <f>K14*G13</f>
        <v>64.037088456961</v>
      </c>
      <c r="H14" s="108">
        <f>K14*H13</f>
        <v>9.3712812376041</v>
      </c>
      <c r="I14" s="108">
        <f>K14*I13</f>
        <v>16.816243554145</v>
      </c>
      <c r="J14" s="108">
        <f>K14*J13</f>
        <v>15.30642602142</v>
      </c>
      <c r="K14" s="101">
        <f>IF(K7&lt;1, O7*0.6, O7*0.6*K7)</f>
        <v>210</v>
      </c>
      <c r="L14" s="101"/>
    </row>
    <row r="15" spans="1:15">
      <c r="B15" s="101" t="s">
        <v>114</v>
      </c>
      <c r="C15" s="108">
        <f>C11+C14</f>
        <v>231.86632288774</v>
      </c>
      <c r="D15" s="108">
        <f>D11+D14</f>
        <v>92.746529155097</v>
      </c>
      <c r="E15" s="108">
        <f>E11+E14</f>
        <v>659.49406981357</v>
      </c>
      <c r="F15" s="108">
        <f>F11+F14</f>
        <v>123.66203887346</v>
      </c>
      <c r="G15" s="108">
        <f>G11+G14</f>
        <v>679.03708845696</v>
      </c>
      <c r="H15" s="108">
        <f>H11+H14</f>
        <v>99.371281237604</v>
      </c>
      <c r="I15" s="108">
        <f>I11+I14</f>
        <v>178.31624355415</v>
      </c>
      <c r="J15" s="108">
        <f>J11+J14</f>
        <v>162.30642602142</v>
      </c>
      <c r="K15" s="112">
        <f>SUM(C15:J15)</f>
        <v>2226.8</v>
      </c>
      <c r="L15" s="101"/>
    </row>
    <row r="16" spans="1:15">
      <c r="B16" s="106" t="s">
        <v>115</v>
      </c>
      <c r="C16" s="108">
        <f>C12+C14</f>
        <v>21.866322887743</v>
      </c>
      <c r="D16" s="108">
        <f>D12+D14</f>
        <v>8.7465291550972</v>
      </c>
      <c r="E16" s="108">
        <f>E12+E14</f>
        <v>62.194069813566</v>
      </c>
      <c r="F16" s="108">
        <f>F12+F14</f>
        <v>11.662038873463</v>
      </c>
      <c r="G16" s="108">
        <f>G12+G14</f>
        <v>64.037088456961</v>
      </c>
      <c r="H16" s="108">
        <f>H12+H14</f>
        <v>9.3712812376041</v>
      </c>
      <c r="I16" s="108">
        <f>I12+I14</f>
        <v>16.816243554145</v>
      </c>
      <c r="J16" s="108">
        <f>J12+J14</f>
        <v>15.30642602142</v>
      </c>
      <c r="K16" s="101"/>
      <c r="L16" s="101"/>
    </row>
    <row r="17" spans="1:15">
      <c r="B17" s="101" t="s">
        <v>116</v>
      </c>
      <c r="C17" s="108">
        <f>IF(K11&gt;5000,100*C13,50*C13)</f>
        <v>5.2062673542245</v>
      </c>
      <c r="D17" s="108">
        <f>IF(K11&gt;5000,100*D13,50*D13)</f>
        <v>2.0825069416898</v>
      </c>
      <c r="E17" s="108">
        <f>IF(K11&gt;5000,100*E13,50*E13)</f>
        <v>14.808111860373</v>
      </c>
      <c r="F17" s="108">
        <f>IF(K11&gt;5000,100*F13,50*F13)</f>
        <v>2.7766759222531</v>
      </c>
      <c r="G17" s="108">
        <f>IF(K11&gt;5000,100*G13,50*G13)</f>
        <v>15.246925823086</v>
      </c>
      <c r="H17" s="108">
        <f>IF(K11&gt;5000,100*H13,50*H13)</f>
        <v>2.2312574375248</v>
      </c>
      <c r="I17" s="108">
        <f>IF(K11&gt;5000,100*I13,50*I13)</f>
        <v>4.0038675128917</v>
      </c>
      <c r="J17" s="108">
        <f>IF(K11&gt;5000,100*J13,50*J13)</f>
        <v>3.6443871479572</v>
      </c>
      <c r="K17" s="101"/>
      <c r="L17" s="101"/>
    </row>
    <row r="18" spans="1:15">
      <c r="B18" s="101" t="s">
        <v>117</v>
      </c>
      <c r="C18" s="108">
        <f>C15+C17</f>
        <v>237.07259024197</v>
      </c>
      <c r="D18" s="108">
        <f>D15+D17</f>
        <v>94.829036096787</v>
      </c>
      <c r="E18" s="108">
        <f>E15+E17</f>
        <v>674.30218167394</v>
      </c>
      <c r="F18" s="108">
        <f>F15+F17</f>
        <v>126.43871479572</v>
      </c>
      <c r="G18" s="108">
        <f>G15+G17</f>
        <v>694.28401428005</v>
      </c>
      <c r="H18" s="108">
        <f>H15+H17</f>
        <v>101.60253867513</v>
      </c>
      <c r="I18" s="108">
        <f>I15+I17</f>
        <v>182.32011106704</v>
      </c>
      <c r="J18" s="108">
        <f>J15+J17</f>
        <v>165.95081316938</v>
      </c>
      <c r="K18" s="101"/>
      <c r="L18" s="101"/>
    </row>
    <row r="19" spans="1:15">
      <c r="B19" s="106" t="s">
        <v>118</v>
      </c>
      <c r="C19" s="108">
        <f>C16+C17</f>
        <v>27.072590241967</v>
      </c>
      <c r="D19" s="108">
        <f>D16+D17</f>
        <v>10.829036096787</v>
      </c>
      <c r="E19" s="108">
        <f>E16+E17</f>
        <v>77.002181673939</v>
      </c>
      <c r="F19" s="108">
        <f>F16+F17</f>
        <v>14.438714795716</v>
      </c>
      <c r="G19" s="108">
        <f>G16+G17</f>
        <v>79.284014280047</v>
      </c>
      <c r="H19" s="108">
        <f>H16+H17</f>
        <v>11.602538675129</v>
      </c>
      <c r="I19" s="108">
        <f>I16+I17</f>
        <v>20.820111067037</v>
      </c>
      <c r="J19" s="108">
        <f>J16+J17</f>
        <v>18.950813169377</v>
      </c>
      <c r="K19" s="101"/>
      <c r="L19" s="101"/>
    </row>
    <row r="23" spans="1:15">
      <c r="B23" s="102" t="s">
        <v>126</v>
      </c>
      <c r="C23" s="101"/>
      <c r="D23" s="101"/>
      <c r="E23" s="101"/>
    </row>
    <row r="26" spans="1:15">
      <c r="B26" t="s">
        <v>34</v>
      </c>
      <c r="C26" s="103">
        <v>0</v>
      </c>
      <c r="D26" s="103">
        <v>0</v>
      </c>
      <c r="E26" s="103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f>SUM(C26:J26)</f>
        <v>0</v>
      </c>
    </row>
    <row r="27" spans="1:15">
      <c r="C27" s="104">
        <v>0.0</v>
      </c>
      <c r="D27" s="104">
        <v>0.0</v>
      </c>
      <c r="E27" s="104">
        <v>0.0</v>
      </c>
      <c r="F27" s="104">
        <v>0.0</v>
      </c>
      <c r="G27" s="104">
        <v>0.06</v>
      </c>
      <c r="H27" s="104">
        <v>0.06</v>
      </c>
      <c r="I27" s="104">
        <v>0.0</v>
      </c>
      <c r="J27" s="104">
        <v>0.0</v>
      </c>
    </row>
    <row r="28" spans="1:15">
      <c r="B28" s="101" t="s">
        <v>127</v>
      </c>
      <c r="C28" s="108">
        <f>MAX(C19,C18)*C27</f>
        <v>0</v>
      </c>
      <c r="D28" s="108">
        <f>MAX(D19,D18)*D27</f>
        <v>0</v>
      </c>
      <c r="E28" s="108">
        <f>MAX(E19,E18)*E27</f>
        <v>0</v>
      </c>
      <c r="F28" s="108">
        <f>MAX(F19,F18)*F27</f>
        <v>0</v>
      </c>
      <c r="G28" s="108">
        <f>MAX(G19,G18)*G27</f>
        <v>41.657040856803</v>
      </c>
      <c r="H28" s="108">
        <f>MAX(H19,H18)*H27</f>
        <v>6.0961523205077</v>
      </c>
      <c r="I28" s="108">
        <f>MAX(I19,I18)*I27</f>
        <v>0</v>
      </c>
      <c r="J28" s="108">
        <f>MAX(J19,J18)*J27</f>
        <v>0</v>
      </c>
      <c r="K28" s="108">
        <f>SUM(C28:J28)</f>
        <v>47.753193177311</v>
      </c>
      <c r="L28" s="101"/>
    </row>
    <row r="29" spans="1:15">
      <c r="B29" s="101" t="s">
        <v>32</v>
      </c>
      <c r="C29" s="108">
        <f>0.16*(MAX(C19,C18)+C28)</f>
        <v>37.931614438715</v>
      </c>
      <c r="D29" s="108">
        <f>0.16*(MAX(D19,D18)+D28)</f>
        <v>15.172645775486</v>
      </c>
      <c r="E29" s="108">
        <f>0.16*(MAX(E19,E18)+E28)</f>
        <v>107.88834906783</v>
      </c>
      <c r="F29" s="108">
        <f>0.16*(MAX(F19,F18)+F28)</f>
        <v>20.230194367315</v>
      </c>
      <c r="G29" s="108">
        <f>0.16*(MAX(G19,G18)+G28)</f>
        <v>117.7505688219</v>
      </c>
      <c r="H29" s="108">
        <f>0.16*(MAX(H19,H18)+H28)</f>
        <v>17.231790559302</v>
      </c>
      <c r="I29" s="108">
        <f>0.16*(MAX(I19,I18)+I28)</f>
        <v>29.171217770726</v>
      </c>
      <c r="J29" s="108">
        <f>0.16*(MAX(J19,J18)+J28)</f>
        <v>26.5521301071</v>
      </c>
      <c r="K29" s="108">
        <f>SUM(C29:J29)</f>
        <v>371.92851090837</v>
      </c>
      <c r="L29" s="101"/>
    </row>
    <row r="30" spans="1:15">
      <c r="B30" s="101" t="s">
        <v>33</v>
      </c>
      <c r="C30" s="108">
        <f>0.02*(MAX(C19,C18)+C28)</f>
        <v>4.7414518048393</v>
      </c>
      <c r="D30" s="108">
        <f>0.02*(MAX(D19,D18)+D28)</f>
        <v>1.8965807219357</v>
      </c>
      <c r="E30" s="108">
        <f>0.02*(MAX(E19,E18)+E28)</f>
        <v>13.486043633479</v>
      </c>
      <c r="F30" s="108">
        <f>0.02*(MAX(F19,F18)+F28)</f>
        <v>2.5287742959143</v>
      </c>
      <c r="G30" s="108">
        <f>0.02*(MAX(G19,G18)+G28)</f>
        <v>14.718821102737</v>
      </c>
      <c r="H30" s="108">
        <f>0.02*(MAX(H19,H18)+H28)</f>
        <v>2.1539738199127</v>
      </c>
      <c r="I30" s="108">
        <f>0.02*(MAX(I19,I18)+I28)</f>
        <v>3.6464022213407</v>
      </c>
      <c r="J30" s="108">
        <f>0.02*(MAX(J19,J18)+J28)</f>
        <v>3.3190162633875</v>
      </c>
      <c r="K30" s="108">
        <f>SUM(C30:J30)</f>
        <v>46.491063863546</v>
      </c>
      <c r="L30" s="101"/>
    </row>
    <row r="31" spans="1:15">
      <c r="B31" s="101" t="s">
        <v>128</v>
      </c>
      <c r="C31" s="108">
        <f>0.035*(MAX(C18,C19) +C28+C29+C30)</f>
        <v>9.7910979769933</v>
      </c>
      <c r="D31" s="108">
        <f>0.035*(MAX(D18,D19) +D28+D29+D30)</f>
        <v>3.9164391907973</v>
      </c>
      <c r="E31" s="108">
        <f>0.035*(MAX(E18,E19) +E28+E29+E30)</f>
        <v>27.848680103134</v>
      </c>
      <c r="F31" s="108">
        <f>0.035*(MAX(F18,F19) +F28+F29+F30)</f>
        <v>5.2219189210631</v>
      </c>
      <c r="G31" s="108">
        <f>0.035*(MAX(G18,G19) +G28+G29+G30)</f>
        <v>30.394365577152</v>
      </c>
      <c r="H31" s="108">
        <f>0.035*(MAX(H18,H19) +H28+H29+H30)</f>
        <v>4.4479559381198</v>
      </c>
      <c r="I31" s="108">
        <f>0.035*(MAX(I18,I19) +I28+I29+I30)</f>
        <v>7.5298205870686</v>
      </c>
      <c r="J31" s="108">
        <f>0.035*(MAX(J18,J19) +J28+J29+J30)</f>
        <v>6.8537685838953</v>
      </c>
      <c r="K31" s="108">
        <f>SUM(C31:J31)</f>
        <v>96.004046878223</v>
      </c>
      <c r="L31" s="101"/>
    </row>
    <row r="32" spans="1:15">
      <c r="B32" s="101" t="s">
        <v>38</v>
      </c>
      <c r="C32" s="108">
        <f>SUM(C28:C31)</f>
        <v>52.464164220547</v>
      </c>
      <c r="D32" s="108">
        <f>SUM(D28:D31)</f>
        <v>20.985665688219</v>
      </c>
      <c r="E32" s="108">
        <f>SUM(E28:E31)</f>
        <v>149.22307280444</v>
      </c>
      <c r="F32" s="108">
        <f>SUM(F28:F31)</f>
        <v>27.980887584292</v>
      </c>
      <c r="G32" s="108">
        <f>SUM(G28:G31)</f>
        <v>204.52079635859</v>
      </c>
      <c r="H32" s="108">
        <f>SUM(H28:H31)</f>
        <v>29.929872637842</v>
      </c>
      <c r="I32" s="108">
        <f>SUM(I28:I31)</f>
        <v>40.347440579135</v>
      </c>
      <c r="J32" s="108">
        <f>SUM(J28:J31)</f>
        <v>36.724914954383</v>
      </c>
      <c r="K32" s="108">
        <f>SUM(K28:K31)</f>
        <v>562.17681482745</v>
      </c>
      <c r="L32" s="101"/>
    </row>
    <row r="37" spans="1:15">
      <c r="B37" s="102" t="s">
        <v>129</v>
      </c>
      <c r="C37" s="101"/>
      <c r="D37" s="101"/>
      <c r="E37" s="101"/>
    </row>
    <row r="40" spans="1:15">
      <c r="B40" s="101" t="s">
        <v>130</v>
      </c>
      <c r="C40" s="108">
        <f>C13*K40</f>
        <v>14.577548591829</v>
      </c>
      <c r="D40" s="108">
        <f>D13*K40</f>
        <v>5.8310194367314</v>
      </c>
      <c r="E40" s="108">
        <f>E13*K40</f>
        <v>41.462713209044</v>
      </c>
      <c r="F40" s="108">
        <f>F13*K40</f>
        <v>7.7746925823086</v>
      </c>
      <c r="G40" s="108">
        <f>G13*K40</f>
        <v>42.691392304641</v>
      </c>
      <c r="H40" s="108">
        <f>H13*K40</f>
        <v>6.2475208250694</v>
      </c>
      <c r="I40" s="108">
        <f>I13*K40</f>
        <v>11.210829036097</v>
      </c>
      <c r="J40" s="108">
        <f>J13*K40</f>
        <v>10.20428401428</v>
      </c>
      <c r="K40" s="101">
        <f>IF(K7&lt;1, O7*0.4, O7*0.4*K7)</f>
        <v>140</v>
      </c>
      <c r="L40" s="101"/>
    </row>
    <row r="41" spans="1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1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1:15">
      <c r="B43" s="101" t="s">
        <v>130</v>
      </c>
      <c r="C43" s="101" t="s">
        <v>51</v>
      </c>
      <c r="D43" s="101" t="s">
        <v>52</v>
      </c>
      <c r="E43" s="101" t="s">
        <v>53</v>
      </c>
      <c r="F43" s="101" t="s">
        <v>54</v>
      </c>
      <c r="G43" s="101" t="s">
        <v>119</v>
      </c>
      <c r="H43" s="101" t="s">
        <v>120</v>
      </c>
      <c r="I43" s="101" t="s">
        <v>121</v>
      </c>
      <c r="J43" s="101" t="s">
        <v>122</v>
      </c>
      <c r="K43" s="101" t="s">
        <v>123</v>
      </c>
      <c r="L43" s="101"/>
    </row>
    <row r="44" spans="1:15">
      <c r="B44" s="101" t="s">
        <v>131</v>
      </c>
      <c r="C44" s="108">
        <f>SUM(C15,C40,C32,(C26))</f>
        <v>298.90803570012</v>
      </c>
      <c r="D44" s="108">
        <f>SUM(D15,D40,D32,(D26))</f>
        <v>119.56321428005</v>
      </c>
      <c r="E44" s="108">
        <f>SUM(E15,E40,E32,(E26))</f>
        <v>850.17985582706</v>
      </c>
      <c r="F44" s="108">
        <f>SUM(F15,F40,F32,(F26))</f>
        <v>159.41761904006</v>
      </c>
      <c r="G44" s="108">
        <f>SUM(G15,G40,G32,(G26))</f>
        <v>926.24927712019</v>
      </c>
      <c r="H44" s="108">
        <f>SUM(H15,H40,H32,(H26))</f>
        <v>135.54867470052</v>
      </c>
      <c r="I44" s="108">
        <f>SUM(I15,I40,I32,(I26))</f>
        <v>229.87451316938</v>
      </c>
      <c r="J44" s="108">
        <f>SUM(J15,J40,J32,(J26))</f>
        <v>209.23562499008</v>
      </c>
      <c r="K44" s="108">
        <f>SUM(C44:J44)</f>
        <v>2928.9768148275</v>
      </c>
      <c r="L44" s="101"/>
    </row>
    <row r="45" spans="1:15">
      <c r="B45" s="101" t="s">
        <v>132</v>
      </c>
      <c r="C45" s="101">
        <v>12.0</v>
      </c>
      <c r="D45" s="101">
        <v>4.0</v>
      </c>
      <c r="E45" s="101">
        <v>31.0</v>
      </c>
      <c r="F45" s="101">
        <v>8.0</v>
      </c>
      <c r="G45" s="101">
        <v>30.0</v>
      </c>
      <c r="H45" s="101">
        <v>5.0</v>
      </c>
      <c r="I45" s="101">
        <v>17.0</v>
      </c>
      <c r="J45" s="101">
        <v>6.0</v>
      </c>
      <c r="K45" s="101"/>
      <c r="L45" s="101"/>
    </row>
    <row r="46" spans="1:15">
      <c r="B46" s="101" t="s">
        <v>133</v>
      </c>
      <c r="C46" s="108">
        <f>SUM(C44/C45)</f>
        <v>24.90900297501</v>
      </c>
      <c r="D46" s="108">
        <f>SUM(D44/D45)</f>
        <v>29.890803570012</v>
      </c>
      <c r="E46" s="108">
        <f>SUM(E44/E45)</f>
        <v>27.425156639583</v>
      </c>
      <c r="F46" s="108">
        <f>SUM(F44/F45)</f>
        <v>19.927202380008</v>
      </c>
      <c r="G46" s="108">
        <f>SUM(G44/G45)</f>
        <v>30.874975904006</v>
      </c>
      <c r="H46" s="108">
        <f>SUM(H44/H45)</f>
        <v>27.109734940103</v>
      </c>
      <c r="I46" s="108">
        <f>SUM(I44/I45)</f>
        <v>13.522030186434</v>
      </c>
      <c r="J46" s="108">
        <f>SUM(J44/J45)</f>
        <v>34.872604165014</v>
      </c>
      <c r="K46" s="101"/>
      <c r="L46" s="101"/>
    </row>
    <row r="47" spans="1:15">
      <c r="B47" s="101" t="s">
        <v>134</v>
      </c>
      <c r="C47" s="113">
        <f>C46*3.7</f>
        <v>92.163311007537</v>
      </c>
      <c r="D47" s="113">
        <f>D46*3.7</f>
        <v>110.59597320904</v>
      </c>
      <c r="E47" s="113">
        <f>E46*3.7</f>
        <v>101.47307956646</v>
      </c>
      <c r="F47" s="113">
        <f>F46*3.7</f>
        <v>73.730648806029</v>
      </c>
      <c r="G47" s="113">
        <f>G46*3.7</f>
        <v>114.23741084482</v>
      </c>
      <c r="H47" s="113">
        <f>H46*3.7</f>
        <v>100.30601927838</v>
      </c>
      <c r="I47" s="113">
        <f>I46*3.7</f>
        <v>50.031511689806</v>
      </c>
      <c r="J47" s="113">
        <f>J46*3.7</f>
        <v>129.02863541055</v>
      </c>
      <c r="K47" s="101"/>
      <c r="L47" s="101"/>
    </row>
  </sheetData>
  <mergeCells>
    <mergeCell ref="B3:G3"/>
    <mergeCell ref="B23:E23"/>
    <mergeCell ref="B37:E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