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<sst xmlns="http://schemas.openxmlformats.org/spreadsheetml/2006/main" uniqueCount="133">
  <si>
    <t>COTIZACION Nº20240000001</t>
  </si>
  <si>
    <t>NOMBRE:</t>
  </si>
  <si>
    <t>Edison Benicio Mayhualla</t>
  </si>
  <si>
    <t>JULIO CESAR CONDORCALLO NAVARRO</t>
  </si>
  <si>
    <t>SERVICIO:</t>
  </si>
  <si>
    <t>CARGA CONSOLIDADA</t>
  </si>
  <si>
    <t>N° CAJAS:</t>
  </si>
  <si>
    <t>DNI/RUC:</t>
  </si>
  <si>
    <t>FECHA:</t>
  </si>
  <si>
    <t>PESO:</t>
  </si>
  <si>
    <t>806.5 Kg</t>
  </si>
  <si>
    <t>CORREO:</t>
  </si>
  <si>
    <t>ORIGEN:</t>
  </si>
  <si>
    <t>CHINA</t>
  </si>
  <si>
    <t>MEDIDA</t>
  </si>
  <si>
    <t>TELEFONO:</t>
  </si>
  <si>
    <t>51 983 704 868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</si>
  <si>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</si>
  <si>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</si>
  <si>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</si>
  <si>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</si>
  <si>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</si>
  <si>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</si>
  <si>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</si>
  <si>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</si>
  <si>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</si>
  <si>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</si>
  <si>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</si>
  <si>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</si>
  <si>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</si>
  <si>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</si>
  <si>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</si>
  <si>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JULIO CESAR CONDORCALLO NAVARRO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</si>
  <si>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</si>
  <si>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</si>
  <si>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</si>
  <si>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</si>
  <si>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</si>
  <si>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</si>
  <si>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</si>
  <si>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</si>
  <si>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</si>
  <si>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</si>
  <si>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</si>
  <si>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</si>
  <si>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</si>
  <si>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</si>
  <si>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</si>
  <si>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</si>
  <si>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</si>
  <si>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</si>
  <si>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</si>
  <si>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MANIJAS PEQUEÑAS PARA PUERTAS</t>
  </si>
  <si>
    <t>MANIJAS MEDIANAS PARA PUERTAS</t>
  </si>
  <si>
    <t>MANIJAS GRANDES PARA PUERTAS</t>
  </si>
  <si>
    <t>MANIJAS LARGAS PARA PUERTAS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</si>
  <si>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</si>
  <si>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</si>
  <si>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</si>
  <si>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</si>
  <si>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</si>
  <si>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</si>
  <si>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</si>
  <si>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</si>
  <si>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</si>
  <si>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</si>
  <si>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</si>
  <si>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</si>
  <si>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</si>
  <si>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</si>
  <si>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</si>
  <si>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</si>
  <si>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</si>
  <si>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</si>
  <si>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</si>
  <si>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</si>
  <si>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</si>
  <si>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</si>
  <si>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</si>
  <si>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</si>
  <si>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</si>
  <si>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</si>
  <si>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</si>
  <si>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</si>
  <si>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</si>
  <si>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</si>
  <si>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</si>
  <si>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</si>
  <si>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</si>
  <si>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</si>
  <si>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</si>
  <si>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</si>
  <si>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</si>
  <si>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</si>
  <si>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</si>
  <si>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</si>
  <si>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</si>
  <si>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</si>
  <si>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</si>
  <si>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</si>
  <si>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</si>
  <si>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</si>
  <si>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</si>
  <si>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</si>
  <si>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</si>
  <si>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</si>
  <si>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</si>
  <si>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</si>
  <si>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</si>
  <si>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</si>
  <si>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</si>
  <si>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</si>
  <si>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</si>
  <si>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</si>
  <si>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</si>
  <si>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</si>
  <si>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</si>
  <si>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</si>
  <si>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</si>
  <si>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</si>
  <si>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MAQUINA DE MARCADO LASER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</si>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</sst>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MANIJAS MEDIANAS PARA PUERTAS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42764501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'2'!G7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807.98614379086</v>
      </c>
      <c r="K14" s="26">
        <f>'2'!G11</f>
        <v>650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'2'!G14 + '2'!G17</f>
        <v>143.33986928104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'2'!G28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'2'!G29</f>
        <v>126.93437908497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'2'!G30</f>
        <v>15.866797385621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8.616891503268</v>
      </c>
      <c r="J23" s="27">
        <f>'2'!D31</f>
        <v>33.369827738563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33.369827738563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'2'!G31</f>
        <v>32.764936601307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33.369827738563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650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807.98614379086</v>
      </c>
      <c r="K30" s="26">
        <f>IF(J11&lt;1, 320, 320*J11)</f>
        <v>320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175.5661130719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33.369827738563</v>
      </c>
      <c r="K32" s="28">
        <f>K29+K30+K31</f>
        <v>1145.5661130719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200</v>
      </c>
      <c r="G36" s="118">
        <f>'2'!C8</f>
        <v>1.765</v>
      </c>
      <c r="H36" s="42"/>
      <c r="I36" s="118">
        <f>'2'!C46</f>
        <v>2.8561011377311</v>
      </c>
      <c r="J36" s="116">
        <f>'2'!C44</f>
        <v>571.22022754622</v>
      </c>
      <c r="K36" s="117">
        <f>'2'!C47</f>
        <v>10.567574209605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300</v>
      </c>
      <c r="G37" s="118">
        <f>'2'!D8</f>
        <v>2.2066666666667</v>
      </c>
      <c r="H37" s="58"/>
      <c r="I37" s="119">
        <f>'2'!D46</f>
        <v>3.5708006670028</v>
      </c>
      <c r="J37" s="116">
        <f>'2'!D44</f>
        <v>1071.2402001009</v>
      </c>
      <c r="K37" s="117">
        <f>'2'!D47</f>
        <v>13.211962467911</v>
      </c>
      <c r="L37" s="42"/>
      <c r="M37" s="39">
        <v>1</v>
      </c>
      <c r="N37" s="40">
        <f>+B37</f>
        <v>2</v>
      </c>
      <c r="O37" s="43">
        <f>+F37</f>
        <v>300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600</v>
      </c>
      <c r="G38" s="118">
        <f>'2'!E8</f>
        <v>2.9316666666667</v>
      </c>
      <c r="H38" s="42"/>
      <c r="I38" s="120">
        <f>'2'!E46</f>
        <v>4.7439866867507</v>
      </c>
      <c r="J38" s="121">
        <f>'2'!E44</f>
        <v>2846.3920120504</v>
      </c>
      <c r="K38" s="122">
        <f>'2'!E47</f>
        <v>17.552750740978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55</v>
      </c>
      <c r="D39" s="41"/>
      <c r="E39" s="60"/>
      <c r="F39" s="41">
        <f>'2'!F10</f>
        <v>200</v>
      </c>
      <c r="G39" s="118">
        <f>'2'!F8</f>
        <v>4.3</v>
      </c>
      <c r="H39" s="42"/>
      <c r="I39" s="120">
        <f>'2'!F46</f>
        <v>6.9582067378151</v>
      </c>
      <c r="J39" s="121">
        <f>'2'!F44</f>
        <v>1391.641347563</v>
      </c>
      <c r="K39" s="122">
        <f>'2'!F47</f>
        <v>25.745364929916</v>
      </c>
      <c r="L39" s="42"/>
      <c r="M39" s="90" t="s">
        <v>56</v>
      </c>
      <c r="N39" s="90"/>
      <c r="O39" s="90"/>
      <c r="P39" s="91" t="s">
        <v>57</v>
      </c>
      <c r="Q39" s="92"/>
    </row>
    <row r="40" spans="1:17" customHeight="1" ht="18">
      <c r="A40" s="48" t="s">
        <v>58</v>
      </c>
      <c r="B40" s="124" t="s">
        <v>39</v>
      </c>
      <c r="C40" s="123"/>
      <c r="D40" s="123"/>
      <c r="E40" s="123"/>
      <c r="F40" s="124">
        <f>SUM(F36:F39)</f>
        <v>1300</v>
      </c>
      <c r="G40" s="123"/>
      <c r="H40" s="123"/>
      <c r="I40" s="123"/>
      <c r="J40" s="125">
        <f>SUM(J36:J39)</f>
        <v>5880.4937872605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60</v>
      </c>
      <c r="N41" s="74"/>
      <c r="O41" s="50" t="e">
        <f>+J31</f>
        <v>#VALUE!</v>
      </c>
      <c r="P41" s="51" t="s">
        <v>61</v>
      </c>
      <c r="Q41" s="1"/>
    </row>
    <row r="42" spans="1:17" customHeight="1" ht="21">
      <c r="A42" s="49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63</v>
      </c>
      <c r="N42" s="74"/>
      <c r="O42" s="50">
        <f>+J32</f>
        <v>33.369827738563</v>
      </c>
      <c r="P42" s="51" t="s">
        <v>64</v>
      </c>
      <c r="Q42" s="1"/>
    </row>
    <row r="43" spans="1:17" customHeight="1" ht="18">
      <c r="A43" s="49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67</v>
      </c>
      <c r="N44" s="95"/>
      <c r="O44" s="96" t="e">
        <f>+O41+O42+J14</f>
        <v>#VALUE!</v>
      </c>
      <c r="P44" s="98" t="s">
        <v>68</v>
      </c>
      <c r="Q44" s="99"/>
    </row>
    <row r="45" spans="1:17" customHeight="1" ht="18">
      <c r="A45" s="49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72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73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74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75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76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77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78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79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80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81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82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83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84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85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86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87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88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89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90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91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93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94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95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96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98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99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100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101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1" workbookViewId="0" showGridLines="true" showRowColHeaders="1">
      <selection activeCell="B40" sqref="B40:I47"/>
    </sheetView>
  </sheetViews>
  <sheetFormatPr defaultRowHeight="14.4" outlineLevelRow="0" outlineLevelCol="0"/>
  <cols>
    <col min="2" max="2" width="24.708" bestFit="true" customWidth="true" style="0"/>
    <col min="3" max="3" width="35.277" bestFit="true" customWidth="true" style="0"/>
    <col min="4" max="4" width="35.277" bestFit="true" customWidth="true" style="0"/>
    <col min="5" max="5" width="34.135" bestFit="true" customWidth="true" style="0"/>
    <col min="6" max="6" width="32.992" bestFit="true" customWidth="true" style="0"/>
    <col min="7" max="7" width="29.421" bestFit="true" customWidth="true" style="0"/>
  </cols>
  <sheetData>
    <row r="3" spans="1:12">
      <c r="B3" s="102" t="s">
        <v>104</v>
      </c>
      <c r="C3" s="101"/>
      <c r="D3" s="101"/>
      <c r="E3" s="101"/>
      <c r="F3" s="101"/>
      <c r="G3" s="101"/>
    </row>
    <row r="5" spans="1:12">
      <c r="B5" s="105" t="s">
        <v>105</v>
      </c>
      <c r="C5" s="107" t="s">
        <v>52</v>
      </c>
      <c r="D5" s="107" t="s">
        <v>53</v>
      </c>
      <c r="E5" s="107" t="s">
        <v>54</v>
      </c>
      <c r="F5" s="107" t="s">
        <v>55</v>
      </c>
      <c r="G5" s="107" t="s">
        <v>120</v>
      </c>
      <c r="H5" s="107" t="s">
        <v>121</v>
      </c>
      <c r="I5" s="101"/>
    </row>
    <row r="6" spans="1:12">
      <c r="B6" s="101" t="s">
        <v>106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10">
        <v>806.5</v>
      </c>
      <c r="I6" s="101"/>
      <c r="K6" t="s">
        <v>122</v>
      </c>
      <c r="L6" t="s">
        <v>123</v>
      </c>
    </row>
    <row r="7" spans="1:12">
      <c r="B7" s="101" t="s">
        <v>107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11">
        <v>4.66</v>
      </c>
      <c r="I7" s="101"/>
      <c r="K7" t="s">
        <v>19</v>
      </c>
      <c r="L7">
        <v>320.0</v>
      </c>
    </row>
    <row r="8" spans="1:12">
      <c r="B8" s="101" t="s">
        <v>108</v>
      </c>
      <c r="C8" s="108">
        <v>1.765</v>
      </c>
      <c r="D8" s="108">
        <v>2.2066666666667</v>
      </c>
      <c r="E8" s="108">
        <v>2.9316666666667</v>
      </c>
      <c r="F8" s="108">
        <v>4.3</v>
      </c>
      <c r="G8" s="108">
        <v>650.0</v>
      </c>
      <c r="H8" s="101"/>
      <c r="I8" s="101"/>
    </row>
    <row r="9" spans="1:12">
      <c r="B9" s="106" t="s">
        <v>109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1"/>
      <c r="I9" s="101"/>
    </row>
    <row r="10" spans="1:12">
      <c r="B10" s="101" t="s">
        <v>110</v>
      </c>
      <c r="C10" s="101">
        <v>200.0</v>
      </c>
      <c r="D10" s="101">
        <v>300.0</v>
      </c>
      <c r="E10" s="101">
        <v>600.0</v>
      </c>
      <c r="F10" s="101">
        <v>200.0</v>
      </c>
      <c r="G10" s="101">
        <v>1.0</v>
      </c>
      <c r="H10" s="101">
        <f>SUM(C10:G10)</f>
        <v>1301</v>
      </c>
      <c r="I10" s="101"/>
    </row>
    <row r="11" spans="1:12">
      <c r="B11" s="101" t="s">
        <v>111</v>
      </c>
      <c r="C11" s="108">
        <f>C8*C10</f>
        <v>353</v>
      </c>
      <c r="D11" s="108">
        <f>D8*D10</f>
        <v>662.00000000001</v>
      </c>
      <c r="E11" s="108">
        <f>E8*E10</f>
        <v>1759</v>
      </c>
      <c r="F11" s="108">
        <f>F8*F10</f>
        <v>860</v>
      </c>
      <c r="G11" s="108">
        <f>G8*G10</f>
        <v>650</v>
      </c>
      <c r="H11" s="101">
        <f>SUM(C11:G11)</f>
        <v>4284</v>
      </c>
      <c r="I11" s="101"/>
    </row>
    <row r="12" spans="1:12">
      <c r="B12" s="106" t="s">
        <v>112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1"/>
      <c r="I12" s="101"/>
    </row>
    <row r="13" spans="1:12">
      <c r="B13" s="101" t="s">
        <v>113</v>
      </c>
      <c r="C13" s="109">
        <f>C11/H11</f>
        <v>0.082399626517273</v>
      </c>
      <c r="D13" s="109">
        <f>D11/H11</f>
        <v>0.15452847805789</v>
      </c>
      <c r="E13" s="109">
        <f>E11/H11</f>
        <v>0.41059757236228</v>
      </c>
      <c r="F13" s="109">
        <f>F11/H11</f>
        <v>0.20074696545285</v>
      </c>
      <c r="G13" s="109">
        <f>G11/H11</f>
        <v>0.15172735760971</v>
      </c>
      <c r="H13" s="101"/>
      <c r="I13" s="101"/>
    </row>
    <row r="14" spans="1:12">
      <c r="B14" s="101" t="s">
        <v>114</v>
      </c>
      <c r="C14" s="108">
        <f>H14*C13</f>
        <v>73.724593837534</v>
      </c>
      <c r="D14" s="108">
        <f>H14*D13</f>
        <v>138.25971988796</v>
      </c>
      <c r="E14" s="108">
        <f>H14*E13</f>
        <v>367.36985994398</v>
      </c>
      <c r="F14" s="108">
        <f>H14*F13</f>
        <v>179.61232492997</v>
      </c>
      <c r="G14" s="108">
        <f>H14*G13</f>
        <v>135.75350140056</v>
      </c>
      <c r="H14" s="101">
        <f>IF(H7&lt;1, L7*0.6, L7*0.6*H7)</f>
        <v>894.72</v>
      </c>
      <c r="I14" s="101"/>
    </row>
    <row r="15" spans="1:12">
      <c r="B15" s="101" t="s">
        <v>115</v>
      </c>
      <c r="C15" s="108">
        <f>C11+C14</f>
        <v>426.72459383753</v>
      </c>
      <c r="D15" s="108">
        <f>D11+D14</f>
        <v>800.25971988797</v>
      </c>
      <c r="E15" s="108">
        <f>E11+E14</f>
        <v>2126.369859944</v>
      </c>
      <c r="F15" s="108">
        <f>F11+F14</f>
        <v>1039.61232493</v>
      </c>
      <c r="G15" s="108">
        <f>G11+G14</f>
        <v>785.75350140056</v>
      </c>
      <c r="H15" s="112">
        <f>SUM(C15:G15)</f>
        <v>5178.72</v>
      </c>
      <c r="I15" s="101"/>
    </row>
    <row r="16" spans="1:12">
      <c r="B16" s="106" t="s">
        <v>116</v>
      </c>
      <c r="C16" s="108">
        <f>C12+C14</f>
        <v>73.724593837534</v>
      </c>
      <c r="D16" s="108">
        <f>D12+D14</f>
        <v>138.25971988796</v>
      </c>
      <c r="E16" s="108">
        <f>E12+E14</f>
        <v>367.36985994398</v>
      </c>
      <c r="F16" s="108">
        <f>F12+F14</f>
        <v>179.61232492997</v>
      </c>
      <c r="G16" s="108">
        <f>G12+G14</f>
        <v>135.75350140056</v>
      </c>
      <c r="H16" s="101"/>
      <c r="I16" s="101"/>
    </row>
    <row r="17" spans="1:12">
      <c r="B17" s="101" t="s">
        <v>117</v>
      </c>
      <c r="C17" s="108">
        <f>IF(H11&gt;5000,100*C13,50*C13)</f>
        <v>4.1199813258636</v>
      </c>
      <c r="D17" s="108">
        <f>IF(H11&gt;5000,100*D13,50*D13)</f>
        <v>7.7264239028946</v>
      </c>
      <c r="E17" s="108">
        <f>IF(H11&gt;5000,100*E13,50*E13)</f>
        <v>20.529878618114</v>
      </c>
      <c r="F17" s="108">
        <f>IF(H11&gt;5000,100*F13,50*F13)</f>
        <v>10.037348272642</v>
      </c>
      <c r="G17" s="108">
        <f>IF(H11&gt;5000,100*G13,50*G13)</f>
        <v>7.5863678804855</v>
      </c>
      <c r="H17" s="101"/>
      <c r="I17" s="101"/>
    </row>
    <row r="18" spans="1:12">
      <c r="B18" s="101" t="s">
        <v>118</v>
      </c>
      <c r="C18" s="108">
        <f>C15+C17</f>
        <v>430.8445751634</v>
      </c>
      <c r="D18" s="108">
        <f>D15+D17</f>
        <v>807.98614379086</v>
      </c>
      <c r="E18" s="108">
        <f>E15+E17</f>
        <v>2146.8997385621</v>
      </c>
      <c r="F18" s="108">
        <f>F15+F17</f>
        <v>1049.6496732026</v>
      </c>
      <c r="G18" s="108">
        <f>G15+G17</f>
        <v>793.33986928104</v>
      </c>
      <c r="H18" s="101"/>
      <c r="I18" s="101"/>
    </row>
    <row r="19" spans="1:12">
      <c r="B19" s="106" t="s">
        <v>119</v>
      </c>
      <c r="C19" s="108">
        <f>C16+C17</f>
        <v>77.844575163398</v>
      </c>
      <c r="D19" s="108">
        <f>D16+D17</f>
        <v>145.98614379085</v>
      </c>
      <c r="E19" s="108">
        <f>E16+E17</f>
        <v>387.89973856209</v>
      </c>
      <c r="F19" s="108">
        <f>F16+F17</f>
        <v>189.64967320261</v>
      </c>
      <c r="G19" s="108">
        <f>G16+G17</f>
        <v>143.33986928104</v>
      </c>
      <c r="H19" s="101"/>
      <c r="I19" s="101"/>
    </row>
    <row r="23" spans="1:12">
      <c r="B23" s="102" t="s">
        <v>124</v>
      </c>
      <c r="C23" s="101"/>
      <c r="D23" s="101"/>
      <c r="E23" s="101"/>
    </row>
    <row r="26" spans="1:12">
      <c r="B26" t="s">
        <v>35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f>SUM(C26:G26)</f>
        <v>0</v>
      </c>
    </row>
    <row r="27" spans="1:12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</row>
    <row r="28" spans="1:12">
      <c r="B28" s="101" t="s">
        <v>125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SUM(C28:G28)</f>
        <v>0</v>
      </c>
      <c r="I28" s="101"/>
    </row>
    <row r="29" spans="1:12">
      <c r="B29" s="101" t="s">
        <v>33</v>
      </c>
      <c r="C29" s="108">
        <f>0.16*(MAX(C19,C18)+C28)</f>
        <v>68.935132026144</v>
      </c>
      <c r="D29" s="108">
        <f>0.16*(MAX(D19,D18)+D28)</f>
        <v>129.27778300654</v>
      </c>
      <c r="E29" s="108">
        <f>0.16*(MAX(E19,E18)+E28)</f>
        <v>343.50395816994</v>
      </c>
      <c r="F29" s="108">
        <f>0.16*(MAX(F19,F18)+F28)</f>
        <v>167.94394771242</v>
      </c>
      <c r="G29" s="108">
        <f>0.16*(MAX(G19,G18)+G28)</f>
        <v>126.93437908497</v>
      </c>
      <c r="H29" s="108">
        <f>SUM(C29:G29)</f>
        <v>836.5952</v>
      </c>
      <c r="I29" s="101"/>
    </row>
    <row r="30" spans="1:12">
      <c r="B30" s="101" t="s">
        <v>34</v>
      </c>
      <c r="C30" s="108">
        <f>0.02*(MAX(C19,C18)+C28)</f>
        <v>8.616891503268</v>
      </c>
      <c r="D30" s="108">
        <f>0.02*(MAX(D19,D18)+D28)</f>
        <v>16.159722875817</v>
      </c>
      <c r="E30" s="108">
        <f>0.02*(MAX(E19,E18)+E28)</f>
        <v>42.937994771242</v>
      </c>
      <c r="F30" s="108">
        <f>0.02*(MAX(F19,F18)+F28)</f>
        <v>20.992993464052</v>
      </c>
      <c r="G30" s="108">
        <f>0.02*(MAX(G19,G18)+G28)</f>
        <v>15.866797385621</v>
      </c>
      <c r="H30" s="108">
        <f>SUM(C30:G30)</f>
        <v>104.5744</v>
      </c>
      <c r="I30" s="101"/>
    </row>
    <row r="31" spans="1:12">
      <c r="B31" s="101" t="s">
        <v>126</v>
      </c>
      <c r="C31" s="108">
        <f>0.035*(MAX(C18,C19) +C28+C29+C30)</f>
        <v>17.793880954248</v>
      </c>
      <c r="D31" s="108">
        <f>0.035*(MAX(D18,D19) +D28+D29+D30)</f>
        <v>33.369827738563</v>
      </c>
      <c r="E31" s="108">
        <f>0.035*(MAX(E18,E19) +E28+E29+E30)</f>
        <v>88.666959202615</v>
      </c>
      <c r="F31" s="108">
        <f>0.035*(MAX(F18,F19) +F28+F29+F30)</f>
        <v>43.350531503268</v>
      </c>
      <c r="G31" s="108">
        <f>0.035*(MAX(G18,G19) +G28+G29+G30)</f>
        <v>32.764936601307</v>
      </c>
      <c r="H31" s="108">
        <f>SUM(C31:G31)</f>
        <v>215.946136</v>
      </c>
      <c r="I31" s="101"/>
    </row>
    <row r="32" spans="1:12">
      <c r="B32" s="101" t="s">
        <v>39</v>
      </c>
      <c r="C32" s="108">
        <f>SUM(C28:C31)</f>
        <v>95.34590448366</v>
      </c>
      <c r="D32" s="108">
        <f>SUM(D28:D31)</f>
        <v>178.80733362092</v>
      </c>
      <c r="E32" s="108">
        <f>SUM(E28:E31)</f>
        <v>475.1089121438</v>
      </c>
      <c r="F32" s="108">
        <f>SUM(F28:F31)</f>
        <v>232.28747267974</v>
      </c>
      <c r="G32" s="108">
        <f>SUM(G28:G31)</f>
        <v>175.5661130719</v>
      </c>
      <c r="H32" s="108">
        <f>SUM(H28:H31)</f>
        <v>1157.115736</v>
      </c>
      <c r="I32" s="101"/>
    </row>
    <row r="37" spans="1:12">
      <c r="B37" s="102" t="s">
        <v>127</v>
      </c>
      <c r="C37" s="101"/>
      <c r="D37" s="101"/>
      <c r="E37" s="101"/>
    </row>
    <row r="40" spans="1:12">
      <c r="B40" s="101" t="s">
        <v>128</v>
      </c>
      <c r="C40" s="108">
        <f>C13*H40</f>
        <v>49.149729225023</v>
      </c>
      <c r="D40" s="108">
        <f>D13*H40</f>
        <v>92.173146591971</v>
      </c>
      <c r="E40" s="108">
        <f>E13*H40</f>
        <v>244.91323996265</v>
      </c>
      <c r="F40" s="108">
        <f>F13*H40</f>
        <v>119.74154995331</v>
      </c>
      <c r="G40" s="108">
        <f>G13*H40</f>
        <v>90.50233426704</v>
      </c>
      <c r="H40" s="101">
        <f>IF(H7&lt;1, L7*0.4, L7*0.4*H7)</f>
        <v>596.48</v>
      </c>
      <c r="I40" s="101"/>
    </row>
    <row r="41" spans="1:12">
      <c r="B41" s="101"/>
      <c r="C41" s="101"/>
      <c r="D41" s="101"/>
      <c r="E41" s="101"/>
      <c r="F41" s="101"/>
      <c r="G41" s="101"/>
      <c r="H41" s="101"/>
      <c r="I41" s="101"/>
    </row>
    <row r="42" spans="1:12">
      <c r="B42" s="101"/>
      <c r="C42" s="101"/>
      <c r="D42" s="101"/>
      <c r="E42" s="101"/>
      <c r="F42" s="101"/>
      <c r="G42" s="101"/>
      <c r="H42" s="101"/>
      <c r="I42" s="101"/>
    </row>
    <row r="43" spans="1:12">
      <c r="B43" s="101" t="s">
        <v>128</v>
      </c>
      <c r="C43" s="101" t="s">
        <v>52</v>
      </c>
      <c r="D43" s="101" t="s">
        <v>53</v>
      </c>
      <c r="E43" s="101" t="s">
        <v>54</v>
      </c>
      <c r="F43" s="101" t="s">
        <v>55</v>
      </c>
      <c r="G43" s="101" t="s">
        <v>120</v>
      </c>
      <c r="H43" s="101" t="s">
        <v>121</v>
      </c>
      <c r="I43" s="101"/>
    </row>
    <row r="44" spans="1:12">
      <c r="B44" s="101" t="s">
        <v>129</v>
      </c>
      <c r="C44" s="108">
        <f>SUM(C15,C40,C32,(C26))</f>
        <v>571.22022754622</v>
      </c>
      <c r="D44" s="108">
        <f>SUM(D15,D40,D32,(D26))</f>
        <v>1071.2402001009</v>
      </c>
      <c r="E44" s="108">
        <f>SUM(E15,E40,E32,(E26))</f>
        <v>2846.3920120504</v>
      </c>
      <c r="F44" s="108">
        <f>SUM(F15,F40,F32,(F26))</f>
        <v>1391.641347563</v>
      </c>
      <c r="G44" s="108">
        <f>SUM(G15,G40,G32,(G26))</f>
        <v>1051.8219487395</v>
      </c>
      <c r="H44" s="108">
        <f>SUM(C44:G44)</f>
        <v>6932.315736</v>
      </c>
      <c r="I44" s="101"/>
    </row>
    <row r="45" spans="1:12">
      <c r="B45" s="101" t="s">
        <v>130</v>
      </c>
      <c r="C45" s="101">
        <v>200.0</v>
      </c>
      <c r="D45" s="101">
        <v>300.0</v>
      </c>
      <c r="E45" s="101">
        <v>600.0</v>
      </c>
      <c r="F45" s="101">
        <v>200.0</v>
      </c>
      <c r="G45" s="101">
        <v>1.0</v>
      </c>
      <c r="H45" s="101"/>
      <c r="I45" s="101"/>
    </row>
    <row r="46" spans="1:12">
      <c r="B46" s="101" t="s">
        <v>131</v>
      </c>
      <c r="C46" s="108">
        <f>SUM(C44/C45)</f>
        <v>2.8561011377311</v>
      </c>
      <c r="D46" s="108">
        <f>SUM(D44/D45)</f>
        <v>3.5708006670028</v>
      </c>
      <c r="E46" s="108">
        <f>SUM(E44/E45)</f>
        <v>4.7439866867507</v>
      </c>
      <c r="F46" s="108">
        <f>SUM(F44/F45)</f>
        <v>6.9582067378151</v>
      </c>
      <c r="G46" s="108">
        <f>SUM(G44/G45)</f>
        <v>1051.8219487395</v>
      </c>
      <c r="H46" s="101"/>
      <c r="I46" s="101"/>
    </row>
    <row r="47" spans="1:12">
      <c r="B47" s="101" t="s">
        <v>132</v>
      </c>
      <c r="C47" s="113">
        <f>C46*3.7</f>
        <v>10.567574209605</v>
      </c>
      <c r="D47" s="113">
        <f>D46*3.7</f>
        <v>13.211962467911</v>
      </c>
      <c r="E47" s="113">
        <f>E46*3.7</f>
        <v>17.552750740978</v>
      </c>
      <c r="F47" s="113">
        <f>F46*3.7</f>
        <v>25.745364929916</v>
      </c>
      <c r="G47" s="113">
        <f>G46*3.7</f>
        <v>3891.7412103361</v>
      </c>
      <c r="H47" s="101"/>
      <c r="I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