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<sst xmlns="http://schemas.openxmlformats.org/spreadsheetml/2006/main" uniqueCount="129">
  <si>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</si>
  <si>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</si>
  <si>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</si>
  <si>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ROY REQUEJO OLIVERA</t>
  </si>
  <si>
    <t>SERVICIO:</t>
  </si>
  <si>
    <t>CARGA CONSOLIDADA</t>
  </si>
  <si>
    <t>N° CAJAS:</t>
  </si>
  <si>
    <t>DNI/RUC:</t>
  </si>
  <si>
    <t>FECHA:</t>
  </si>
  <si>
    <t>PESO:</t>
  </si>
  <si>
    <t>150 Kg</t>
  </si>
  <si>
    <t>CORREO:</t>
  </si>
  <si>
    <t>ORIGEN:</t>
  </si>
  <si>
    <t>CHINA</t>
  </si>
  <si>
    <t>MEDIDA</t>
  </si>
  <si>
    <t>TELEFONO:</t>
  </si>
  <si>
    <t>51 929539406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</si>
  <si>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</si>
  <si>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</si>
  <si>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</si>
  <si>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</si>
  <si>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</si>
  <si>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</si>
  <si>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</si>
  <si>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</si>
  <si>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</si>
  <si>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</si>
  <si>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</si>
  <si>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</si>
  <si>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</si>
  <si>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</si>
  <si>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ROY REQUEJO OLIVERA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</si>
  <si>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</si>
  <si>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</si>
  <si>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</si>
  <si>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</si>
  <si>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</si>
  <si>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</si>
  <si>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</si>
  <si>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</si>
  <si>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</si>
  <si>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</si>
  <si>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</si>
  <si>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</si>
  <si>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</si>
  <si>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</si>
  <si>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</si>
  <si>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</si>
  <si>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</si>
  <si>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</si>
  <si>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</si>
  <si>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MAQUINA CARGADOR DE COCHE 5000A</t>
  </si>
  <si>
    <t>MAQUINA CARGADOR DE COCHE 9000A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</si>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</sst>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MAQUINA CARGADOR DE COCHE 9000A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45940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74307153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2" t="s">
        <v>20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21</v>
      </c>
      <c r="B13" s="73"/>
      <c r="C13" s="73"/>
      <c r="D13" s="73"/>
      <c r="E13" s="73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4" t="s">
        <v>24</v>
      </c>
      <c r="B14" s="74"/>
      <c r="C14" s="74"/>
      <c r="D14" s="3"/>
      <c r="E14" s="3"/>
      <c r="F14" s="3"/>
      <c r="G14" s="3"/>
      <c r="H14" s="1"/>
      <c r="I14" s="1"/>
      <c r="J14" s="25">
        <f>'2'!D18</f>
        <v>337.90322580645</v>
      </c>
      <c r="K14" s="26">
        <f>'2'!D11</f>
        <v>250</v>
      </c>
      <c r="L14" s="1"/>
      <c r="M14" s="1"/>
      <c r="N14" s="1"/>
      <c r="O14" s="1"/>
      <c r="P14" s="1"/>
      <c r="Q14" s="1"/>
    </row>
    <row r="15" spans="1:17">
      <c r="A15" s="75" t="s">
        <v>25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87.903225806452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28</v>
      </c>
      <c r="B19" s="73"/>
      <c r="C19" s="73"/>
      <c r="D19" s="73"/>
      <c r="E19" s="73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54.064516129032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6.758064516129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10.001935483871</v>
      </c>
      <c r="J23" s="27">
        <f>'2'!D31</f>
        <v>13.955403225806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13.955403225806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13.955403225806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13.955403225806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39</v>
      </c>
      <c r="B29" s="64"/>
      <c r="C29" s="64"/>
      <c r="D29" s="64"/>
      <c r="E29" s="64"/>
      <c r="F29" s="37"/>
      <c r="G29" s="37"/>
      <c r="H29" s="38"/>
      <c r="I29" s="38"/>
      <c r="J29" s="38" t="s">
        <v>22</v>
      </c>
      <c r="K29" s="38">
        <f>K14</f>
        <v>250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337.90322580645</v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74.777983870968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13.955403225806</v>
      </c>
      <c r="K32" s="28">
        <f>K29+K30+K31</f>
        <v>604.77798387097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8" t="s">
        <v>44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45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46</v>
      </c>
      <c r="N35" s="85" t="s">
        <v>47</v>
      </c>
      <c r="O35" s="87" t="s">
        <v>48</v>
      </c>
      <c r="P35" s="89" t="s">
        <v>49</v>
      </c>
      <c r="Q35" s="91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</v>
      </c>
      <c r="G36" s="121">
        <f>'2'!C8</f>
        <v>370</v>
      </c>
      <c r="H36" s="42"/>
      <c r="I36" s="121">
        <f>'2'!C46</f>
        <v>647.76819032258</v>
      </c>
      <c r="J36" s="119">
        <f>'2'!C44</f>
        <v>647.76819032258</v>
      </c>
      <c r="K36" s="120">
        <f>'2'!C47</f>
        <v>2396.7423041935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52</v>
      </c>
      <c r="D37" s="41"/>
      <c r="E37" s="41"/>
      <c r="F37" s="62">
        <f>'2'!D10</f>
        <v>1</v>
      </c>
      <c r="G37" s="121">
        <f>'2'!D8</f>
        <v>250</v>
      </c>
      <c r="H37" s="61"/>
      <c r="I37" s="122">
        <f>'2'!D46</f>
        <v>437.68120967742</v>
      </c>
      <c r="J37" s="119">
        <f>'2'!D44</f>
        <v>437.68120967742</v>
      </c>
      <c r="K37" s="120">
        <f>'2'!D47</f>
        <v>1619.4204758065</v>
      </c>
      <c r="L37" s="42"/>
      <c r="M37" s="39">
        <v>1</v>
      </c>
      <c r="N37" s="40">
        <f>+B37</f>
        <v>2</v>
      </c>
      <c r="O37" s="43">
        <f>+F37</f>
        <v>1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38</v>
      </c>
      <c r="C38" s="41"/>
      <c r="D38" s="41"/>
      <c r="E38" s="63"/>
      <c r="F38" s="63">
        <f>SUM(F36:F37)</f>
        <v>2</v>
      </c>
      <c r="G38" s="41"/>
      <c r="H38" s="42"/>
      <c r="I38" s="123"/>
      <c r="J38" s="125">
        <f>SUM(J36:J37)</f>
        <v>1085.4494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53</v>
      </c>
      <c r="N39" s="93"/>
      <c r="O39" s="93"/>
      <c r="P39" s="94" t="s">
        <v>54</v>
      </c>
      <c r="Q39" s="95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57</v>
      </c>
      <c r="N41" s="77"/>
      <c r="O41" s="53" t="e">
        <f>+J31</f>
        <v>#VALUE!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60</v>
      </c>
      <c r="N42" s="77"/>
      <c r="O42" s="53">
        <f>+J32</f>
        <v>13.955403225806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64</v>
      </c>
      <c r="N44" s="98"/>
      <c r="O44" s="99" t="e">
        <f>+O41+O42+J14</f>
        <v>#VALUE!</v>
      </c>
      <c r="P44" s="101" t="s">
        <v>65</v>
      </c>
      <c r="Q44" s="102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70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37.705" bestFit="true" customWidth="true" style="0"/>
    <col min="4" max="4" width="37.705" bestFit="true" customWidth="true" style="0"/>
  </cols>
  <sheetData>
    <row r="3" spans="1:9">
      <c r="B3" s="105" t="s">
        <v>101</v>
      </c>
      <c r="C3" s="104"/>
      <c r="D3" s="104"/>
      <c r="E3" s="104"/>
      <c r="F3" s="104"/>
      <c r="G3" s="104"/>
    </row>
    <row r="5" spans="1:9">
      <c r="B5" s="108" t="s">
        <v>102</v>
      </c>
      <c r="C5" s="110" t="s">
        <v>51</v>
      </c>
      <c r="D5" s="110" t="s">
        <v>52</v>
      </c>
      <c r="E5" s="110" t="s">
        <v>117</v>
      </c>
      <c r="F5" s="104"/>
    </row>
    <row r="6" spans="1:9">
      <c r="B6" s="104" t="s">
        <v>103</v>
      </c>
      <c r="C6" s="104">
        <v>0</v>
      </c>
      <c r="D6" s="104">
        <v>0</v>
      </c>
      <c r="E6" s="113">
        <v>150.0</v>
      </c>
      <c r="F6" s="104"/>
      <c r="H6" t="s">
        <v>118</v>
      </c>
      <c r="I6" t="s">
        <v>119</v>
      </c>
    </row>
    <row r="7" spans="1:9">
      <c r="B7" s="104" t="s">
        <v>104</v>
      </c>
      <c r="C7" s="104">
        <v>0</v>
      </c>
      <c r="D7" s="104">
        <v>0</v>
      </c>
      <c r="E7" s="114">
        <v>0.36</v>
      </c>
      <c r="F7" s="104"/>
      <c r="H7" t="s">
        <v>18</v>
      </c>
      <c r="I7">
        <v>280</v>
      </c>
    </row>
    <row r="8" spans="1:9">
      <c r="B8" s="104" t="s">
        <v>105</v>
      </c>
      <c r="C8" s="111">
        <v>370.0</v>
      </c>
      <c r="D8" s="111">
        <v>250.0</v>
      </c>
      <c r="E8" s="104"/>
      <c r="F8" s="104"/>
    </row>
    <row r="9" spans="1:9">
      <c r="B9" s="109" t="s">
        <v>106</v>
      </c>
      <c r="C9" s="111">
        <v>0.0</v>
      </c>
      <c r="D9" s="111">
        <v>0.0</v>
      </c>
      <c r="E9" s="104"/>
      <c r="F9" s="104"/>
    </row>
    <row r="10" spans="1:9">
      <c r="B10" s="104" t="s">
        <v>107</v>
      </c>
      <c r="C10" s="104">
        <v>1.0</v>
      </c>
      <c r="D10" s="104">
        <v>1.0</v>
      </c>
      <c r="E10" s="104">
        <f>SUM(C10:D10)</f>
        <v>2</v>
      </c>
      <c r="F10" s="104"/>
    </row>
    <row r="11" spans="1:9">
      <c r="B11" s="104" t="s">
        <v>108</v>
      </c>
      <c r="C11" s="111">
        <f>C8*C10</f>
        <v>370</v>
      </c>
      <c r="D11" s="111">
        <f>D8*D10</f>
        <v>250</v>
      </c>
      <c r="E11" s="104">
        <f>SUM(C11:D11)</f>
        <v>620</v>
      </c>
      <c r="F11" s="104"/>
    </row>
    <row r="12" spans="1:9">
      <c r="B12" s="109" t="s">
        <v>109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110</v>
      </c>
      <c r="C13" s="112">
        <f>C11/E11</f>
        <v>0.59677419354839</v>
      </c>
      <c r="D13" s="112">
        <f>D11/E11</f>
        <v>0.40322580645161</v>
      </c>
      <c r="E13" s="104"/>
      <c r="F13" s="104"/>
    </row>
    <row r="14" spans="1:9">
      <c r="B14" s="104" t="s">
        <v>111</v>
      </c>
      <c r="C14" s="111">
        <f>E14*C13</f>
        <v>100.25806451613</v>
      </c>
      <c r="D14" s="111">
        <f>E14*D13</f>
        <v>67.741935483871</v>
      </c>
      <c r="E14" s="104">
        <f>IF(E7&lt;1, I7*0.6, I7*0.6*E7)</f>
        <v>168</v>
      </c>
      <c r="F14" s="104"/>
    </row>
    <row r="15" spans="1:9">
      <c r="B15" s="104" t="s">
        <v>112</v>
      </c>
      <c r="C15" s="111">
        <f>C11+C14</f>
        <v>470.25806451613</v>
      </c>
      <c r="D15" s="111">
        <f>D11+D14</f>
        <v>317.74193548387</v>
      </c>
      <c r="E15" s="115">
        <f>SUM(C15:D15)</f>
        <v>788</v>
      </c>
      <c r="F15" s="104"/>
    </row>
    <row r="16" spans="1:9">
      <c r="B16" s="109" t="s">
        <v>113</v>
      </c>
      <c r="C16" s="111">
        <f>C12+C14</f>
        <v>100.25806451613</v>
      </c>
      <c r="D16" s="111">
        <f>D12+D14</f>
        <v>67.741935483871</v>
      </c>
      <c r="E16" s="104"/>
      <c r="F16" s="104"/>
    </row>
    <row r="17" spans="1:9">
      <c r="B17" s="104" t="s">
        <v>114</v>
      </c>
      <c r="C17" s="111">
        <f>IF(E11&gt;5000,100*C13,50*C13)</f>
        <v>29.838709677419</v>
      </c>
      <c r="D17" s="111">
        <f>IF(E11&gt;5000,100*D13,50*D13)</f>
        <v>20.161290322581</v>
      </c>
      <c r="E17" s="104"/>
      <c r="F17" s="104"/>
    </row>
    <row r="18" spans="1:9">
      <c r="B18" s="104" t="s">
        <v>115</v>
      </c>
      <c r="C18" s="111">
        <f>C15+C17</f>
        <v>500.09677419355</v>
      </c>
      <c r="D18" s="111">
        <f>D15+D17</f>
        <v>337.90322580645</v>
      </c>
      <c r="E18" s="104"/>
      <c r="F18" s="104"/>
    </row>
    <row r="19" spans="1:9">
      <c r="B19" s="109" t="s">
        <v>116</v>
      </c>
      <c r="C19" s="111">
        <f>C16+C17</f>
        <v>130.09677419355</v>
      </c>
      <c r="D19" s="111">
        <f>D16+D17</f>
        <v>87.903225806452</v>
      </c>
      <c r="E19" s="104"/>
      <c r="F19" s="104"/>
    </row>
    <row r="23" spans="1:9">
      <c r="B23" s="105" t="s">
        <v>120</v>
      </c>
      <c r="C23" s="104"/>
      <c r="D23" s="104"/>
      <c r="E23" s="104"/>
    </row>
    <row r="26" spans="1:9">
      <c r="B26" t="s">
        <v>34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</v>
      </c>
    </row>
    <row r="28" spans="1:9">
      <c r="B28" s="104" t="s">
        <v>121</v>
      </c>
      <c r="C28" s="111">
        <f>MAX(C19,C18)*C27</f>
        <v>0</v>
      </c>
      <c r="D28" s="111">
        <f>MAX(D19,D18)*D27</f>
        <v>0</v>
      </c>
      <c r="E28" s="111">
        <f>SUM(C28:D28)</f>
        <v>0</v>
      </c>
      <c r="F28" s="104"/>
    </row>
    <row r="29" spans="1:9">
      <c r="B29" s="104" t="s">
        <v>32</v>
      </c>
      <c r="C29" s="111">
        <f>0.16*(MAX(C19,C18)+C28)</f>
        <v>80.015483870968</v>
      </c>
      <c r="D29" s="111">
        <f>0.16*(MAX(D19,D18)+D28)</f>
        <v>54.064516129032</v>
      </c>
      <c r="E29" s="111">
        <f>SUM(C29:D29)</f>
        <v>134.08</v>
      </c>
      <c r="F29" s="104"/>
    </row>
    <row r="30" spans="1:9">
      <c r="B30" s="104" t="s">
        <v>33</v>
      </c>
      <c r="C30" s="111">
        <f>0.02*(MAX(C19,C18)+C28)</f>
        <v>10.001935483871</v>
      </c>
      <c r="D30" s="111">
        <f>0.02*(MAX(D19,D18)+D28)</f>
        <v>6.758064516129</v>
      </c>
      <c r="E30" s="111">
        <f>SUM(C30:D30)</f>
        <v>16.76</v>
      </c>
      <c r="F30" s="104"/>
    </row>
    <row r="31" spans="1:9">
      <c r="B31" s="104" t="s">
        <v>122</v>
      </c>
      <c r="C31" s="111">
        <f>0.035*(MAX(C18,C19) +C28+C29+C30)</f>
        <v>20.653996774194</v>
      </c>
      <c r="D31" s="111">
        <f>0.035*(MAX(D18,D19) +D28+D29+D30)</f>
        <v>13.955403225806</v>
      </c>
      <c r="E31" s="111">
        <f>SUM(C31:D31)</f>
        <v>34.6094</v>
      </c>
      <c r="F31" s="104"/>
    </row>
    <row r="32" spans="1:9">
      <c r="B32" s="104" t="s">
        <v>38</v>
      </c>
      <c r="C32" s="111">
        <f>SUM(C28:C31)</f>
        <v>110.67141612903</v>
      </c>
      <c r="D32" s="111">
        <f>SUM(D28:D31)</f>
        <v>74.777983870968</v>
      </c>
      <c r="E32" s="111">
        <f>SUM(E28:E31)</f>
        <v>185.4494</v>
      </c>
      <c r="F32" s="104"/>
    </row>
    <row r="37" spans="1:9">
      <c r="B37" s="105" t="s">
        <v>123</v>
      </c>
      <c r="C37" s="104"/>
      <c r="D37" s="104"/>
      <c r="E37" s="104"/>
    </row>
    <row r="40" spans="1:9">
      <c r="B40" s="104" t="s">
        <v>124</v>
      </c>
      <c r="C40" s="111">
        <f>C13*E40</f>
        <v>66.838709677419</v>
      </c>
      <c r="D40" s="111">
        <f>D13*E40</f>
        <v>45.161290322581</v>
      </c>
      <c r="E40" s="104">
        <f>IF(E7&lt;1, I7*0.4, I7*0.4*E7)</f>
        <v>112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124</v>
      </c>
      <c r="C43" s="104" t="s">
        <v>51</v>
      </c>
      <c r="D43" s="104" t="s">
        <v>52</v>
      </c>
      <c r="E43" s="104" t="s">
        <v>117</v>
      </c>
      <c r="F43" s="104"/>
    </row>
    <row r="44" spans="1:9">
      <c r="B44" s="104" t="s">
        <v>125</v>
      </c>
      <c r="C44" s="111">
        <f>SUM(C15,C40,C32,(C26))</f>
        <v>647.76819032258</v>
      </c>
      <c r="D44" s="111">
        <f>SUM(D15,D40,D32,(D26))</f>
        <v>437.68120967742</v>
      </c>
      <c r="E44" s="111">
        <f>SUM(C44:D44)</f>
        <v>1085.4494</v>
      </c>
      <c r="F44" s="104"/>
    </row>
    <row r="45" spans="1:9">
      <c r="B45" s="104" t="s">
        <v>126</v>
      </c>
      <c r="C45" s="104">
        <v>1.0</v>
      </c>
      <c r="D45" s="104">
        <v>1.0</v>
      </c>
      <c r="E45" s="104"/>
      <c r="F45" s="104"/>
    </row>
    <row r="46" spans="1:9">
      <c r="B46" s="104" t="s">
        <v>127</v>
      </c>
      <c r="C46" s="111">
        <f>SUM(C44/C45)</f>
        <v>647.76819032258</v>
      </c>
      <c r="D46" s="111">
        <f>SUM(D44/D45)</f>
        <v>437.68120967742</v>
      </c>
      <c r="E46" s="104"/>
      <c r="F46" s="104"/>
    </row>
    <row r="47" spans="1:9">
      <c r="B47" s="104" t="s">
        <v>128</v>
      </c>
      <c r="C47" s="116">
        <f>C46*3.7</f>
        <v>2396.7423041935</v>
      </c>
      <c r="D47" s="116">
        <f>D46*3.7</f>
        <v>1619.4204758065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