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E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<sst xmlns="http://schemas.openxmlformats.org/spreadsheetml/2006/main" uniqueCount="132">
  <si>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</si>
  <si>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</si>
  <si>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Maria Cuya</t>
  </si>
  <si>
    <t>SERVICIO:</t>
  </si>
  <si>
    <t>CARGA CONSOLIDADA</t>
  </si>
  <si>
    <t>N° CAJAS:</t>
  </si>
  <si>
    <t>DNI/RUC:</t>
  </si>
  <si>
    <t>FECHA:</t>
  </si>
  <si>
    <t>PESO:</t>
  </si>
  <si>
    <t>CORREO:</t>
  </si>
  <si>
    <t>test@gmail.com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</si>
  <si>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</si>
  <si>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</si>
  <si>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</si>
  <si>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</si>
  <si>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</si>
  <si>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</si>
  <si>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</si>
  <si>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</si>
  <si>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</si>
  <si>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</si>
  <si>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</si>
  <si>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</si>
  <si>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</si>
  <si>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</si>
  <si>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</si>
  <si>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</si>
  <si>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</si>
  <si>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</si>
  <si>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</si>
  <si>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</si>
  <si>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</si>
  <si>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</si>
  <si>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</si>
  <si>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</si>
  <si>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</si>
  <si>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</si>
  <si>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</si>
  <si>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</si>
  <si>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</si>
  <si>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</si>
  <si>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</si>
  <si>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</si>
  <si>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</si>
  <si>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</si>
  <si>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</si>
  <si>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</si>
  <si>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</si>
  <si>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</si>
  <si>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</si>
  <si>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</si>
  <si>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</si>
  <si>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</si>
  <si>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</si>
  <si>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</si>
  <si>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</si>
  <si>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</si>
  <si>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</si>
  <si>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</si>
  <si>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</si>
  <si>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</si>
  <si>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</si>
  <si>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</si>
  <si>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</si>
  <si>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</si>
  <si>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</si>
  <si>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</si>
  <si>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</si>
  <si>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</si>
  <si>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</si>
  <si>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</si>
  <si>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</si>
  <si>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</si>
  <si>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</si>
  <si>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</si>
  <si>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</si>
  <si>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</si>
  <si>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</si>
  <si>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</si>
  <si>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</si>
  <si>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</si>
  <si>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</si>
  <si>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</si>
  <si>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</si>
  <si>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</si>
  <si>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</si>
  <si>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</si>
  <si>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</si>
  <si>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</si>
  <si>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</si>
  <si>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</si>
  <si>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</si>
  <si>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</si>
  <si>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</si>
  <si>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</si>
  <si>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</si>
  <si>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</si>
  <si>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</si>
  <si>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</si>
  <si>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</si>
  <si>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</si>
  <si>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</si>
  <si>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</si>
  <si>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</si>
  <si>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</si>
  <si>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Casaca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</si>
  <si>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</si>
  <si>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</si>
  <si>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</si>
  <si>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</si>
  <si>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</si>
  <si>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</si>
  <si>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</si>
  <si>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</si>
  <si>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</si>
  <si>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</si>
  <si>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</si>
  <si>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</si>
  <si>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</si>
  <si>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</si>
  <si>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</si>
  <si>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</si>
  <si>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</si>
  <si>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</si>
  <si>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</si>
  <si>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</si>
  <si>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</si>
  <si>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</si>
  <si>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</si>
  <si>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</si>
  <si>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</si>
  <si>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Motores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</si>
</sst>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9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39" sqref="I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5"/>
      <c r="G3" s="115"/>
      <c r="H3" s="115"/>
      <c r="I3" s="11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6"/>
      <c r="G4" s="116"/>
      <c r="H4" s="116"/>
      <c r="I4" s="11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7" t="s">
        <v>0</v>
      </c>
      <c r="E7" s="117"/>
      <c r="F7" s="1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8">
        <f>+'2'!D5</f>
        <v>0</v>
      </c>
      <c r="J8" s="118"/>
      <c r="K8" s="118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74645561</v>
      </c>
      <c r="C9" s="1"/>
      <c r="D9" s="12" t="s">
        <v>7</v>
      </c>
      <c r="E9" s="119">
        <f>+TODAY()</f>
        <v>45897</v>
      </c>
      <c r="F9" s="120"/>
      <c r="G9" s="3"/>
      <c r="H9" s="1" t="s">
        <v>8</v>
      </c>
      <c r="I9" s="121">
        <f>+'2'!D6</f>
        <v>0</v>
      </c>
      <c r="J9" s="121"/>
      <c r="K9" s="121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912705923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22">
        <f>'2'!E8</f>
        <v>3</v>
      </c>
      <c r="J11" s="122">
        <f>'2'!E8</f>
        <v>3</v>
      </c>
      <c r="K11" s="12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3" t="s">
        <v>18</v>
      </c>
      <c r="B13" s="123"/>
      <c r="C13" s="123"/>
      <c r="D13" s="123"/>
      <c r="E13" s="123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4" t="s">
        <v>21</v>
      </c>
      <c r="B14" s="124"/>
      <c r="C14" s="124"/>
      <c r="D14" s="3"/>
      <c r="E14" s="3"/>
      <c r="F14" s="3"/>
      <c r="G14" s="3"/>
      <c r="H14" s="1"/>
      <c r="I14" s="1"/>
      <c r="J14" s="25">
        <f>'2'!E18</f>
        <v>101000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5" t="s">
        <v>23</v>
      </c>
      <c r="B15" s="125"/>
      <c r="C15" s="125"/>
      <c r="D15" s="18"/>
      <c r="E15" s="18"/>
      <c r="F15" s="18"/>
      <c r="G15" s="18"/>
      <c r="H15" s="18"/>
      <c r="I15" s="18"/>
      <c r="J15" s="27">
        <f>'2'!E21+('2'!E24)</f>
        <v>730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101730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3" t="s">
        <v>25</v>
      </c>
      <c r="B19" s="123"/>
      <c r="C19" s="123"/>
      <c r="D19" s="123"/>
      <c r="E19" s="123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'2'!E34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'2'!E35</f>
        <v>16276.8</v>
      </c>
      <c r="K21" s="26" t="s">
        <v>22</v>
      </c>
      <c r="L21" s="1"/>
      <c r="M21" s="1"/>
      <c r="N21" s="31">
        <f>J31/I11</f>
        <v>350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'2'!E36</f>
        <v>2034.6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'2'!E31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18311.4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'2'!E37</f>
        <v>4201.449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22512.849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4" t="s">
        <v>36</v>
      </c>
      <c r="B29" s="114"/>
      <c r="C29" s="114"/>
      <c r="D29" s="114"/>
      <c r="E29" s="114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101000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I11*(350.00)</f>
        <v>1050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22512.849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124562.849</v>
      </c>
      <c r="K33" s="26" t="s">
        <v>22</v>
      </c>
      <c r="L33" s="1"/>
      <c r="M33" s="128" t="s">
        <v>41</v>
      </c>
      <c r="N33" s="128"/>
      <c r="O33" s="128"/>
      <c r="P33" s="128"/>
      <c r="Q33" s="12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9"/>
      <c r="N34" s="129"/>
      <c r="O34" s="129"/>
      <c r="P34" s="129"/>
      <c r="Q34" s="129"/>
    </row>
    <row r="35" spans="1:17">
      <c r="A35" s="130" t="s">
        <v>42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"/>
      <c r="M35" s="133" t="s">
        <v>43</v>
      </c>
      <c r="N35" s="135" t="s">
        <v>44</v>
      </c>
      <c r="O35" s="137" t="s">
        <v>45</v>
      </c>
      <c r="P35" s="139" t="s">
        <v>46</v>
      </c>
      <c r="Q35" s="141" t="s">
        <v>47</v>
      </c>
    </row>
    <row r="36" spans="1:17">
      <c r="A36" s="39" t="s">
        <v>43</v>
      </c>
      <c r="B36" s="143" t="s">
        <v>44</v>
      </c>
      <c r="C36" s="144"/>
      <c r="D36" s="145"/>
      <c r="E36" s="42" t="s">
        <v>48</v>
      </c>
      <c r="F36" s="143" t="s">
        <v>49</v>
      </c>
      <c r="G36" s="145"/>
      <c r="H36" s="43" t="s">
        <v>50</v>
      </c>
      <c r="I36" s="41" t="s">
        <v>35</v>
      </c>
      <c r="J36" s="146" t="s">
        <v>51</v>
      </c>
      <c r="K36" s="146"/>
      <c r="L36" s="1"/>
      <c r="M36" s="134"/>
      <c r="N36" s="136"/>
      <c r="O36" s="138"/>
      <c r="P36" s="140"/>
      <c r="Q36" s="142"/>
    </row>
    <row r="37" spans="1:17">
      <c r="A37" s="39">
        <v>1</v>
      </c>
      <c r="B37" s="39" t="str">
        <f>'2'!C11</f>
        <v>Casaca</v>
      </c>
      <c r="C37" s="39"/>
      <c r="D37" s="39"/>
      <c r="E37" s="39">
        <f>'2'!C17</f>
        <v>100</v>
      </c>
      <c r="F37" s="165">
        <f>'2'!C15</f>
        <v>10</v>
      </c>
      <c r="G37" s="39"/>
      <c r="H37" s="165">
        <f>'2'!C53</f>
        <v>0.041584158415842</v>
      </c>
      <c r="I37" s="165">
        <f>E37*H37</f>
        <v>4.1584158415842</v>
      </c>
      <c r="J37" s="166">
        <f>H37*3.75</f>
        <v>0.15594059405941</v>
      </c>
      <c r="K37" s="39"/>
      <c r="L37" s="1"/>
      <c r="M37" s="39">
        <v>1</v>
      </c>
      <c r="N37" s="40" t="str">
        <f>+B37</f>
        <v>Casaca</v>
      </c>
      <c r="O37" s="44">
        <f>+F37</f>
        <v>10</v>
      </c>
      <c r="P37" s="45">
        <f>+H37</f>
        <v>0.041584158415842</v>
      </c>
      <c r="Q37" s="46">
        <f>P37*3.8</f>
        <v>0.1580198019802</v>
      </c>
    </row>
    <row r="38" spans="1:17" customHeight="1" ht="15.6">
      <c r="A38" s="39">
        <v>2</v>
      </c>
      <c r="B38" s="39" t="str">
        <f>'2'!D11</f>
        <v>Motores</v>
      </c>
      <c r="C38" s="39"/>
      <c r="D38" s="39"/>
      <c r="E38" s="39">
        <f>'2'!D17</f>
        <v>1000</v>
      </c>
      <c r="F38" s="165">
        <f>'2'!D15</f>
        <v>100</v>
      </c>
      <c r="G38" s="39"/>
      <c r="H38" s="165">
        <f>'2'!D53</f>
        <v>0.41584158415842</v>
      </c>
      <c r="I38" s="165">
        <f>E38*H38</f>
        <v>415.84158415842</v>
      </c>
      <c r="J38" s="166">
        <f>H38*3.75</f>
        <v>1.5594059405941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47" t="s">
        <v>35</v>
      </c>
      <c r="B39" s="34"/>
      <c r="C39" s="34"/>
      <c r="D39" s="34"/>
      <c r="E39" s="48">
        <f>SUM(E36:E38)</f>
        <v>1100</v>
      </c>
      <c r="F39" s="34"/>
      <c r="G39" s="34"/>
      <c r="H39" s="1"/>
      <c r="I39" s="167">
        <f>SUM(I36:I38)</f>
        <v>420</v>
      </c>
      <c r="J39" s="49"/>
      <c r="K39" s="50"/>
      <c r="L39" s="1"/>
      <c r="M39" s="147" t="s">
        <v>52</v>
      </c>
      <c r="N39" s="147"/>
      <c r="O39" s="147"/>
      <c r="P39" s="148" t="s">
        <v>53</v>
      </c>
      <c r="Q39" s="149"/>
    </row>
    <row r="40" spans="1:17" customHeight="1" ht="18">
      <c r="A40" s="51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7"/>
      <c r="N40" s="147"/>
      <c r="O40" s="147"/>
      <c r="P40" s="150"/>
      <c r="Q40" s="151"/>
    </row>
    <row r="41" spans="1:17" customHeight="1" ht="21">
      <c r="A41" s="5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6" t="s">
        <v>56</v>
      </c>
      <c r="N41" s="127"/>
      <c r="O41" s="53">
        <f>+J31</f>
        <v>1050</v>
      </c>
      <c r="P41" s="54" t="s">
        <v>57</v>
      </c>
      <c r="Q41" s="1"/>
    </row>
    <row r="42" spans="1:17" customHeight="1" ht="21">
      <c r="A42" s="52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6" t="s">
        <v>59</v>
      </c>
      <c r="N42" s="127"/>
      <c r="O42" s="53">
        <f>+J32</f>
        <v>22512.849</v>
      </c>
      <c r="P42" s="54" t="s">
        <v>60</v>
      </c>
      <c r="Q42" s="1"/>
    </row>
    <row r="43" spans="1:17" customHeight="1" ht="18">
      <c r="A43" s="52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2" t="s">
        <v>63</v>
      </c>
      <c r="N44" s="152"/>
      <c r="O44" s="153">
        <f>+O41+O42+J14</f>
        <v>124562.849</v>
      </c>
      <c r="P44" s="155" t="s">
        <v>64</v>
      </c>
      <c r="Q44" s="156"/>
    </row>
    <row r="45" spans="1:17" customHeight="1" ht="18">
      <c r="A45" s="52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2"/>
      <c r="N45" s="152"/>
      <c r="O45" s="154"/>
      <c r="P45" s="155"/>
      <c r="Q45" s="156"/>
    </row>
    <row r="46" spans="1:17" customHeight="1" ht="18">
      <c r="A46" s="52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7" t="s">
        <v>69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5" max="5" width="18.6640625" customWidth="true" style="0"/>
  </cols>
  <sheetData>
    <row r="1" spans="1:19" customHeight="1" ht="15">
      <c r="A1" s="1"/>
      <c r="B1" s="158" t="s">
        <v>100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"/>
      <c r="O1" s="1"/>
      <c r="P1" s="1"/>
      <c r="Q1" s="1"/>
      <c r="S1"/>
    </row>
    <row r="2" spans="1:19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S2"/>
    </row>
    <row r="3" spans="1:19">
      <c r="A3" s="1"/>
      <c r="B3" s="48"/>
      <c r="C3" s="48"/>
      <c r="D3" s="48"/>
      <c r="E3" s="61" t="s">
        <v>130</v>
      </c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S3"/>
    </row>
    <row r="4" spans="1:19">
      <c r="A4" s="1"/>
      <c r="B4" s="62" t="s">
        <v>101</v>
      </c>
      <c r="C4" s="63">
        <v>1</v>
      </c>
      <c r="D4" s="63">
        <v>2</v>
      </c>
      <c r="E4" s="61">
        <f>COUNT(C4:C4)</f>
        <v>1</v>
      </c>
      <c r="F4" s="48"/>
      <c r="G4" s="48"/>
      <c r="H4" s="48"/>
      <c r="I4" s="48"/>
      <c r="J4" s="48"/>
      <c r="K4" s="48"/>
      <c r="L4" s="48"/>
      <c r="M4" s="48"/>
      <c r="N4" s="1"/>
      <c r="O4" s="1"/>
      <c r="P4" s="1"/>
      <c r="Q4" s="1"/>
      <c r="S4"/>
    </row>
    <row r="5" spans="1:19">
      <c r="A5" s="1"/>
      <c r="B5" s="62" t="s">
        <v>5</v>
      </c>
      <c r="C5" s="64">
        <v>0</v>
      </c>
      <c r="D5" s="64">
        <v>0</v>
      </c>
      <c r="E5" s="61">
        <f>SUM(C5:C5)</f>
        <v>0</v>
      </c>
      <c r="F5" s="34"/>
      <c r="G5" s="34"/>
      <c r="H5" s="34"/>
      <c r="I5" s="34"/>
      <c r="J5" s="34"/>
      <c r="K5" s="34"/>
      <c r="L5" s="34"/>
      <c r="M5" s="34"/>
      <c r="N5" s="1"/>
      <c r="O5" s="1"/>
      <c r="P5" s="1"/>
      <c r="Q5" s="1"/>
      <c r="S5"/>
    </row>
    <row r="6" spans="1:19">
      <c r="A6" s="1"/>
      <c r="B6" s="62" t="s">
        <v>102</v>
      </c>
      <c r="C6" s="65">
        <v>0</v>
      </c>
      <c r="D6" s="65">
        <v>0</v>
      </c>
      <c r="E6" s="61">
        <f>SUM(C6:C6)</f>
        <v>0</v>
      </c>
      <c r="F6" s="34"/>
      <c r="G6" s="34"/>
      <c r="H6" s="34"/>
      <c r="I6" s="34"/>
      <c r="J6" s="34"/>
      <c r="K6" s="34"/>
      <c r="L6" s="34"/>
      <c r="M6" s="34"/>
      <c r="N6" s="1"/>
      <c r="O6" s="1"/>
      <c r="P6" s="1"/>
      <c r="Q6" s="1"/>
      <c r="S6"/>
    </row>
    <row r="7" spans="1:19">
      <c r="A7" s="1"/>
      <c r="B7" s="66" t="s">
        <v>13</v>
      </c>
      <c r="C7" s="67"/>
      <c r="D7" s="67"/>
      <c r="E7" s="34"/>
      <c r="F7" s="34"/>
      <c r="G7" s="34"/>
      <c r="H7" s="34"/>
      <c r="I7" s="34"/>
      <c r="J7" s="34"/>
      <c r="K7" s="34"/>
      <c r="L7" s="34"/>
      <c r="M7" s="34"/>
      <c r="N7" s="1"/>
      <c r="O7" s="1"/>
      <c r="P7" s="1"/>
      <c r="Q7" s="1"/>
      <c r="S7"/>
    </row>
    <row r="8" spans="1:19">
      <c r="A8" s="1"/>
      <c r="B8" s="62" t="s">
        <v>103</v>
      </c>
      <c r="C8" s="68">
        <v>1</v>
      </c>
      <c r="D8" s="68">
        <v>2</v>
      </c>
      <c r="E8" s="61">
        <f>SUM(C8:D8)</f>
        <v>3</v>
      </c>
      <c r="F8" s="34"/>
      <c r="G8" s="34"/>
      <c r="H8" s="34"/>
      <c r="I8" s="34"/>
      <c r="J8" s="34"/>
      <c r="K8" s="34"/>
      <c r="L8" s="34"/>
      <c r="M8" s="34"/>
      <c r="N8" s="1"/>
      <c r="O8" s="1"/>
      <c r="P8" s="1"/>
      <c r="Q8" s="1"/>
      <c r="S8"/>
    </row>
    <row r="9" spans="1:19">
      <c r="A9" s="1"/>
      <c r="B9" s="69"/>
      <c r="C9" s="34"/>
      <c r="D9" s="34"/>
      <c r="E9" s="70"/>
      <c r="F9" s="34"/>
      <c r="G9" s="34"/>
      <c r="H9" s="34"/>
      <c r="I9" s="34"/>
      <c r="J9" s="34"/>
      <c r="K9" s="34"/>
      <c r="L9" s="34"/>
      <c r="M9" s="34"/>
      <c r="N9" s="1"/>
      <c r="O9" s="1"/>
      <c r="P9" s="1"/>
      <c r="Q9" s="1"/>
      <c r="S9"/>
    </row>
    <row r="10" spans="1:19">
      <c r="A10" s="1"/>
      <c r="B10" s="1"/>
      <c r="C10" s="71">
        <v>1</v>
      </c>
      <c r="D10" s="71">
        <v>2</v>
      </c>
      <c r="E10" s="34"/>
      <c r="F10" s="34"/>
      <c r="G10" s="34"/>
      <c r="H10" s="34"/>
      <c r="I10" s="34"/>
      <c r="J10" s="34"/>
      <c r="K10" s="34"/>
      <c r="L10" s="34"/>
      <c r="M10" s="34"/>
      <c r="N10" s="1"/>
      <c r="O10" s="1"/>
      <c r="P10" s="1"/>
      <c r="Q10" s="1"/>
      <c r="S10"/>
    </row>
    <row r="11" spans="1:19">
      <c r="A11" s="1"/>
      <c r="B11" s="72" t="s">
        <v>104</v>
      </c>
      <c r="C11" s="72" t="s">
        <v>105</v>
      </c>
      <c r="D11" s="72" t="s">
        <v>131</v>
      </c>
      <c r="E11" s="72" t="s">
        <v>35</v>
      </c>
      <c r="F11" s="34"/>
      <c r="G11" s="34"/>
      <c r="H11" s="34"/>
      <c r="I11" s="34"/>
      <c r="J11" s="34"/>
      <c r="K11" s="34"/>
      <c r="L11" s="34"/>
      <c r="M11" s="34"/>
      <c r="N11" s="1"/>
      <c r="O11" s="1"/>
      <c r="P11" s="1"/>
      <c r="Q11" s="1"/>
      <c r="S11"/>
    </row>
    <row r="12" spans="1:19">
      <c r="A12" s="1"/>
      <c r="B12" s="43" t="s">
        <v>106</v>
      </c>
      <c r="C12" s="42"/>
      <c r="D12" s="42"/>
      <c r="E12" s="73">
        <f>SUM(C12:C12)</f>
        <v>0</v>
      </c>
      <c r="F12" s="34"/>
      <c r="G12" s="34"/>
      <c r="H12" s="34"/>
      <c r="I12" s="34"/>
      <c r="J12" s="34"/>
      <c r="K12" s="34"/>
      <c r="L12" s="34"/>
      <c r="M12" s="34"/>
      <c r="N12" s="1"/>
      <c r="O12" s="1"/>
      <c r="P12" s="1"/>
      <c r="Q12" s="1"/>
      <c r="S12"/>
    </row>
    <row r="13" spans="1:19">
      <c r="A13" s="1"/>
      <c r="B13" s="43" t="s">
        <v>102</v>
      </c>
      <c r="C13" s="74"/>
      <c r="D13" s="74"/>
      <c r="E13" s="75">
        <f>SUM(C13:C13)</f>
        <v>0</v>
      </c>
      <c r="F13" s="34"/>
      <c r="G13" s="34"/>
      <c r="H13" s="34"/>
      <c r="I13" s="34"/>
      <c r="J13" s="34"/>
      <c r="K13" s="34"/>
      <c r="L13" s="34"/>
      <c r="M13" s="34"/>
      <c r="N13" s="1"/>
      <c r="O13" s="1"/>
      <c r="P13" s="1"/>
      <c r="Q13" s="1"/>
      <c r="S13"/>
    </row>
    <row r="14" spans="1:19">
      <c r="A14" s="1"/>
      <c r="B14" s="43" t="s">
        <v>107</v>
      </c>
      <c r="C14" s="76"/>
      <c r="D14" s="76"/>
      <c r="E14" s="77">
        <f>SUM(C14:C14)</f>
        <v>0</v>
      </c>
      <c r="F14" s="1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S14"/>
    </row>
    <row r="15" spans="1:19">
      <c r="A15" s="1"/>
      <c r="B15" s="78" t="s">
        <v>108</v>
      </c>
      <c r="C15" s="79">
        <v>10</v>
      </c>
      <c r="D15" s="79">
        <v>100</v>
      </c>
      <c r="E15" s="1"/>
      <c r="F15" s="80"/>
      <c r="G15" s="34"/>
      <c r="H15" s="34"/>
      <c r="I15" s="80"/>
      <c r="J15" s="80"/>
      <c r="K15" s="80"/>
      <c r="L15" s="80"/>
      <c r="M15" s="34"/>
      <c r="N15" s="80"/>
      <c r="O15" s="80"/>
      <c r="P15" s="80"/>
      <c r="Q15" s="80"/>
      <c r="S15"/>
    </row>
    <row r="16" spans="1:19">
      <c r="A16" s="1"/>
      <c r="B16" s="81" t="s">
        <v>109</v>
      </c>
      <c r="C16" s="82">
        <v>0</v>
      </c>
      <c r="D16" s="82">
        <v>0</v>
      </c>
      <c r="E16" s="1"/>
      <c r="F16" s="80"/>
      <c r="G16" s="34"/>
      <c r="H16" s="34" t="str">
        <f>'1'!E11</f>
        <v>NUEVO</v>
      </c>
      <c r="I16" s="80"/>
      <c r="J16" s="80"/>
      <c r="K16" s="80"/>
      <c r="L16" s="80"/>
      <c r="M16" s="83" t="s">
        <v>28</v>
      </c>
      <c r="N16" s="83" t="s">
        <v>28</v>
      </c>
      <c r="O16" s="84">
        <v>0.6</v>
      </c>
      <c r="P16" s="84">
        <v>0.4</v>
      </c>
      <c r="Q16" s="80"/>
      <c r="S16"/>
    </row>
    <row r="17" spans="1:19">
      <c r="A17" s="1"/>
      <c r="B17" s="85" t="s">
        <v>48</v>
      </c>
      <c r="C17" s="42">
        <v>100</v>
      </c>
      <c r="D17" s="42">
        <v>1000</v>
      </c>
      <c r="E17" s="73">
        <f>SUM(C17:D17)</f>
        <v>1100</v>
      </c>
      <c r="F17" s="1"/>
      <c r="G17" s="34"/>
      <c r="H17" s="1"/>
      <c r="I17" s="1"/>
      <c r="J17" s="1"/>
      <c r="K17" s="1"/>
      <c r="L17" s="42">
        <f>'1'!R10</f>
        <v>0</v>
      </c>
      <c r="M17" s="86">
        <f>'1'!S10</f>
        <v>0</v>
      </c>
      <c r="N17" s="87">
        <f>'1'!T10</f>
        <v>0</v>
      </c>
      <c r="O17" s="80">
        <f>$O$16*M17</f>
        <v>0</v>
      </c>
      <c r="P17" s="1"/>
      <c r="Q17" s="1"/>
      <c r="S17"/>
    </row>
    <row r="18" spans="1:19">
      <c r="A18" s="1"/>
      <c r="B18" s="88" t="s">
        <v>110</v>
      </c>
      <c r="C18" s="89">
        <f>C15*C17</f>
        <v>1000</v>
      </c>
      <c r="D18" s="89">
        <f>D15*D17</f>
        <v>100000</v>
      </c>
      <c r="E18" s="89">
        <f>SUM(C18:D18)</f>
        <v>101000</v>
      </c>
      <c r="F18" s="1"/>
      <c r="G18" s="34"/>
      <c r="H18" s="34"/>
      <c r="I18" s="34"/>
      <c r="J18" s="34"/>
      <c r="K18" s="1"/>
      <c r="L18" s="42">
        <f>'1'!R11</f>
        <v>0</v>
      </c>
      <c r="M18" s="86">
        <f>'1'!S11</f>
        <v>0</v>
      </c>
      <c r="N18" s="87">
        <f>'1'!T11</f>
        <v>0</v>
      </c>
      <c r="O18" s="80">
        <f>$O$16*M18</f>
        <v>0</v>
      </c>
      <c r="P18" s="1"/>
      <c r="Q18" s="1"/>
      <c r="S18"/>
    </row>
    <row r="19" spans="1:19">
      <c r="A19" s="1"/>
      <c r="B19" s="90" t="s">
        <v>110</v>
      </c>
      <c r="C19" s="91">
        <f>C16*C17</f>
        <v>0</v>
      </c>
      <c r="D19" s="91">
        <f>D16*D17</f>
        <v>0</v>
      </c>
      <c r="E19" s="91">
        <f>SUM(C19:D19)</f>
        <v>0</v>
      </c>
      <c r="F19" s="1"/>
      <c r="G19" s="34"/>
      <c r="H19" s="34"/>
      <c r="I19" s="34"/>
      <c r="J19" s="34"/>
      <c r="K19" s="1"/>
      <c r="L19" s="42">
        <f>'1'!R12</f>
        <v>0</v>
      </c>
      <c r="M19" s="86">
        <f>'1'!S12</f>
        <v>0</v>
      </c>
      <c r="N19" s="87">
        <f>'1'!T12</f>
        <v>0</v>
      </c>
      <c r="O19" s="80">
        <f>$O$16*M19</f>
        <v>0</v>
      </c>
      <c r="P19" s="1"/>
      <c r="Q19" s="1"/>
      <c r="S19"/>
    </row>
    <row r="20" spans="1:19">
      <c r="A20" s="1"/>
      <c r="B20" s="43" t="s">
        <v>111</v>
      </c>
      <c r="C20" s="92">
        <f>C18/E18</f>
        <v>0.0099009900990099</v>
      </c>
      <c r="D20" s="92">
        <f>D18/E18</f>
        <v>0.99009900990099</v>
      </c>
      <c r="E20" s="42">
        <f>SUM(C20:D20)</f>
        <v>1</v>
      </c>
      <c r="F20" s="93"/>
      <c r="G20" s="34"/>
      <c r="H20" s="34"/>
      <c r="I20" s="34"/>
      <c r="J20" s="34"/>
      <c r="K20" s="1"/>
      <c r="L20" s="42">
        <f>'1'!R13</f>
        <v>0</v>
      </c>
      <c r="M20" s="86">
        <f>'1'!S13</f>
        <v>0</v>
      </c>
      <c r="N20" s="87">
        <f>'1'!T13</f>
        <v>0</v>
      </c>
      <c r="O20" s="80">
        <f>$O$16*M20</f>
        <v>0</v>
      </c>
      <c r="P20" s="1"/>
      <c r="Q20" s="1"/>
      <c r="S20"/>
    </row>
    <row r="21" spans="1:19">
      <c r="A21" s="1"/>
      <c r="B21" s="85" t="s">
        <v>112</v>
      </c>
      <c r="C21" s="94">
        <f>C20*E21</f>
        <v>6.2376237623762</v>
      </c>
      <c r="D21" s="94">
        <f>D20*E21</f>
        <v>623.76237623762</v>
      </c>
      <c r="E21" s="95">
        <f>350.00*0.6*(E8)</f>
        <v>630</v>
      </c>
      <c r="F21" s="84"/>
      <c r="G21" s="161"/>
      <c r="H21" s="4"/>
      <c r="I21" s="1"/>
      <c r="J21" s="1"/>
      <c r="K21" s="1"/>
      <c r="L21" s="42">
        <f>'1'!R14</f>
        <v>0</v>
      </c>
      <c r="M21" s="86">
        <f>'1'!S14</f>
        <v>0</v>
      </c>
      <c r="N21" s="87">
        <f>'1'!T14</f>
        <v>0</v>
      </c>
      <c r="O21" s="80">
        <f>$O$16*M21</f>
        <v>0</v>
      </c>
      <c r="P21" s="1"/>
      <c r="Q21" s="1"/>
      <c r="S21"/>
    </row>
    <row r="22" spans="1:19">
      <c r="A22" s="1"/>
      <c r="B22" s="88" t="s">
        <v>113</v>
      </c>
      <c r="C22" s="89">
        <f>C18+C21</f>
        <v>1006.2376237624</v>
      </c>
      <c r="D22" s="89">
        <f>D18+D21</f>
        <v>100623.76237624</v>
      </c>
      <c r="E22" s="89">
        <f>SUM(C22:D22)</f>
        <v>101630</v>
      </c>
      <c r="F22" s="1"/>
      <c r="G22" s="161"/>
      <c r="H22" s="4"/>
      <c r="I22" s="1"/>
      <c r="J22" s="96" t="s">
        <v>129</v>
      </c>
      <c r="K22" s="96"/>
      <c r="L22" s="83">
        <f>250*60%</f>
        <v>150</v>
      </c>
      <c r="M22" s="83">
        <f>250*40%</f>
        <v>100</v>
      </c>
      <c r="N22" s="87"/>
      <c r="O22" s="80"/>
      <c r="P22" s="1"/>
      <c r="Q22" s="1"/>
      <c r="S22"/>
    </row>
    <row r="23" spans="1:19">
      <c r="A23" s="1"/>
      <c r="B23" s="90" t="s">
        <v>114</v>
      </c>
      <c r="C23" s="91">
        <f>C19+C21</f>
        <v>6.2376237623762</v>
      </c>
      <c r="D23" s="91">
        <f>D19+D21</f>
        <v>623.76237623762</v>
      </c>
      <c r="E23" s="91">
        <f>SUM(C23:D23)</f>
        <v>630</v>
      </c>
      <c r="F23" s="1"/>
      <c r="G23" s="34"/>
      <c r="H23" s="4"/>
      <c r="I23" s="1"/>
      <c r="J23" s="93"/>
      <c r="K23" s="1"/>
      <c r="L23" s="34"/>
      <c r="M23" s="34"/>
      <c r="N23" s="1"/>
      <c r="O23" s="1"/>
      <c r="P23" s="1"/>
      <c r="Q23" s="1"/>
      <c r="S23"/>
    </row>
    <row r="24" spans="1:19">
      <c r="A24" s="1"/>
      <c r="B24" s="85" t="s">
        <v>115</v>
      </c>
      <c r="C24" s="94">
        <f>E24*C20</f>
        <v>0.99009900990099</v>
      </c>
      <c r="D24" s="94">
        <f>E24*D20</f>
        <v>99.009900990099</v>
      </c>
      <c r="E24" s="95">
        <f>IF(E18&gt;=5000,100,50)</f>
        <v>100</v>
      </c>
      <c r="F24" s="1"/>
      <c r="G24" s="34"/>
      <c r="H24" s="4"/>
      <c r="I24" s="1"/>
      <c r="J24" s="1"/>
      <c r="K24" s="1"/>
      <c r="L24" s="1"/>
      <c r="M24" s="1"/>
      <c r="N24" s="1"/>
      <c r="O24" s="1"/>
      <c r="P24" s="1"/>
      <c r="Q24" s="1"/>
      <c r="S24"/>
    </row>
    <row r="25" spans="1:19">
      <c r="A25" s="1"/>
      <c r="B25" s="88" t="s">
        <v>24</v>
      </c>
      <c r="C25" s="89">
        <f>C22+C24</f>
        <v>1007.2277227723</v>
      </c>
      <c r="D25" s="89">
        <f>D22+D24</f>
        <v>100722.77227723</v>
      </c>
      <c r="E25" s="89">
        <f>SUM(C25:D25)</f>
        <v>101730</v>
      </c>
      <c r="F25" s="1"/>
      <c r="G25" s="34"/>
      <c r="H25" s="4"/>
      <c r="I25" s="1"/>
      <c r="J25" s="1"/>
      <c r="K25" s="1"/>
      <c r="L25" s="1"/>
      <c r="M25" s="1"/>
      <c r="N25" s="1"/>
      <c r="O25" s="1"/>
      <c r="P25" s="1"/>
      <c r="Q25" s="1"/>
      <c r="S25"/>
    </row>
    <row r="26" spans="1:19">
      <c r="A26" s="1"/>
      <c r="B26" s="90" t="s">
        <v>116</v>
      </c>
      <c r="C26" s="91">
        <f>C23+C24</f>
        <v>7.2277227722772</v>
      </c>
      <c r="D26" s="91">
        <f>D23+D24</f>
        <v>722.77227722772</v>
      </c>
      <c r="E26" s="91">
        <f>SUM(C26:D26)</f>
        <v>730</v>
      </c>
      <c r="F26" s="34"/>
      <c r="G26" s="34"/>
      <c r="H26" s="4"/>
      <c r="I26" s="34"/>
      <c r="J26" s="34"/>
      <c r="K26" s="34"/>
      <c r="L26" s="34"/>
      <c r="M26" s="34"/>
      <c r="N26" s="1"/>
      <c r="O26" s="1"/>
      <c r="P26" s="1"/>
      <c r="Q26" s="1"/>
      <c r="S26"/>
    </row>
    <row r="27" spans="1:19">
      <c r="A27" s="1"/>
      <c r="B27" s="1"/>
      <c r="C27" s="34"/>
      <c r="D27" s="34"/>
      <c r="E27" s="34"/>
      <c r="F27" s="34"/>
      <c r="G27" s="34"/>
      <c r="H27" s="4"/>
      <c r="I27" s="34"/>
      <c r="J27" s="34"/>
      <c r="K27" s="34"/>
      <c r="L27" s="34"/>
      <c r="M27" s="34"/>
      <c r="N27" s="1"/>
      <c r="O27" s="1"/>
      <c r="P27" s="1"/>
      <c r="Q27" s="1"/>
      <c r="S27"/>
    </row>
    <row r="28" spans="1:19">
      <c r="A28" s="1"/>
      <c r="B28" s="162" t="s">
        <v>117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"/>
      <c r="O28" s="1"/>
      <c r="P28" s="1"/>
      <c r="Q28" s="1"/>
      <c r="S28"/>
    </row>
    <row r="29" spans="1:19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"/>
      <c r="O29" s="1"/>
      <c r="P29" s="1"/>
      <c r="Q29" s="1"/>
      <c r="S29"/>
    </row>
    <row r="30" spans="1:19">
      <c r="A30" s="1"/>
      <c r="B30" s="1"/>
      <c r="C30" s="97">
        <f>0</f>
        <v>0</v>
      </c>
      <c r="D30" s="97">
        <f>0</f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1"/>
      <c r="P30" s="1"/>
      <c r="Q30" s="1"/>
      <c r="S30"/>
    </row>
    <row r="31" spans="1:19">
      <c r="A31" s="1"/>
      <c r="B31" s="98" t="s">
        <v>31</v>
      </c>
      <c r="C31" s="99">
        <f>C17*C30</f>
        <v>0</v>
      </c>
      <c r="D31" s="99">
        <f>D17*D30</f>
        <v>0</v>
      </c>
      <c r="E31" s="99">
        <f>SUM(C31:D31)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1"/>
      <c r="P31" s="1"/>
      <c r="Q31" s="1"/>
      <c r="S31"/>
    </row>
    <row r="32" spans="1:19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1"/>
      <c r="O32" s="1"/>
      <c r="P32" s="1"/>
      <c r="Q32" s="1"/>
      <c r="S32"/>
    </row>
    <row r="33" spans="1:19">
      <c r="A33" s="1"/>
      <c r="B33" s="1"/>
      <c r="C33" s="100">
        <f>0</f>
        <v>0</v>
      </c>
      <c r="D33" s="100">
        <f>0</f>
        <v>0</v>
      </c>
      <c r="E33" s="101" t="s">
        <v>35</v>
      </c>
      <c r="F33" s="1"/>
      <c r="G33" s="1"/>
      <c r="H33" s="1"/>
      <c r="I33" s="163"/>
      <c r="J33" s="163"/>
      <c r="K33" s="1"/>
      <c r="L33" s="1"/>
      <c r="M33" s="1"/>
      <c r="N33" s="1"/>
      <c r="O33" s="1"/>
      <c r="P33" s="1"/>
      <c r="Q33" s="1"/>
      <c r="S33"/>
    </row>
    <row r="34" spans="1:19">
      <c r="A34" s="1"/>
      <c r="B34" s="101" t="s">
        <v>118</v>
      </c>
      <c r="C34" s="94">
        <f>MAX(C25:C26)*C33</f>
        <v>0</v>
      </c>
      <c r="D34" s="94">
        <f>MAX(D25:D26)*D33</f>
        <v>0</v>
      </c>
      <c r="E34" s="102">
        <f>SUM(C34:D34)</f>
        <v>0</v>
      </c>
      <c r="F34" s="1"/>
      <c r="G34" s="1"/>
      <c r="H34" s="1"/>
      <c r="I34" s="163"/>
      <c r="J34" s="163"/>
      <c r="K34" s="1"/>
      <c r="L34" s="1"/>
      <c r="M34" s="1"/>
      <c r="N34" s="1"/>
      <c r="O34" s="1"/>
      <c r="P34" s="1"/>
      <c r="Q34" s="1"/>
      <c r="S34"/>
    </row>
    <row r="35" spans="1:19">
      <c r="A35" s="103"/>
      <c r="B35" s="104" t="s">
        <v>119</v>
      </c>
      <c r="C35" s="105">
        <f>(MAX(C25:C26)+C33+C34)*0.16</f>
        <v>161.15643564356</v>
      </c>
      <c r="D35" s="105">
        <f>(MAX(D25:D26)+D33+D34)*0.16</f>
        <v>16115.643564356</v>
      </c>
      <c r="E35" s="102">
        <f>SUM(C35:D35)</f>
        <v>16276.8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S35"/>
    </row>
    <row r="36" spans="1:19">
      <c r="A36" s="103"/>
      <c r="B36" s="104" t="s">
        <v>120</v>
      </c>
      <c r="C36" s="105">
        <f>(MAX(C25:C26)+C33+C34)*0.02</f>
        <v>20.144554455446</v>
      </c>
      <c r="D36" s="105">
        <f>(MAX(D25:D26)+D33+D34)*0.02</f>
        <v>2014.4554455446</v>
      </c>
      <c r="E36" s="102">
        <f>SUM(C36:D36)</f>
        <v>2034.6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S36"/>
    </row>
    <row r="37" spans="1:19">
      <c r="A37" s="103"/>
      <c r="B37" s="104" t="s">
        <v>121</v>
      </c>
      <c r="C37" s="105">
        <f>(MAX(C25:C26)+C33+C34+C35+C36)*0.035</f>
        <v>41.598504950495</v>
      </c>
      <c r="D37" s="105">
        <f>(MAX(D25:D26)+D33+D34+D35+D36)*0.035</f>
        <v>4159.8504950495</v>
      </c>
      <c r="E37" s="102">
        <f>SUM(C37:D37)</f>
        <v>4201.449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S37"/>
    </row>
    <row r="38" spans="1:19">
      <c r="A38" s="1"/>
      <c r="B38" s="106" t="s">
        <v>35</v>
      </c>
      <c r="C38" s="107">
        <f>C34+C35+C36+C37</f>
        <v>222.8994950495</v>
      </c>
      <c r="D38" s="107">
        <f>D34+D35+D36+D37</f>
        <v>22289.94950495</v>
      </c>
      <c r="E38" s="89">
        <f>SUM(C38:D38)</f>
        <v>22512.849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/>
    </row>
    <row r="39" spans="1:19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1"/>
      <c r="L39" s="80"/>
      <c r="M39" s="1"/>
      <c r="N39" s="1"/>
      <c r="O39" s="1"/>
      <c r="P39" s="1"/>
      <c r="Q39" s="1"/>
      <c r="S39"/>
    </row>
    <row r="40" spans="1:19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1"/>
      <c r="O40" s="1"/>
      <c r="P40" s="108" t="s">
        <v>128</v>
      </c>
      <c r="Q40" s="108">
        <v>3.7</v>
      </c>
      <c r="S40"/>
    </row>
    <row r="41" spans="1:19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1"/>
      <c r="O41" s="1"/>
      <c r="P41" s="1"/>
      <c r="Q41" s="1"/>
      <c r="S41"/>
    </row>
    <row r="42" spans="1:19">
      <c r="B42" s="164" t="s">
        <v>122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</row>
    <row r="43" spans="1:19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>
      <c r="B44" s="1"/>
      <c r="C44" s="92">
        <f>(C20)</f>
        <v>0.0099009900990099</v>
      </c>
      <c r="D44" s="92">
        <f>(D20)</f>
        <v>0.99009900990099</v>
      </c>
      <c r="E44" s="92">
        <f>+E20</f>
        <v>1</v>
      </c>
      <c r="F44" s="1"/>
      <c r="G44" s="1"/>
      <c r="H44" s="1"/>
      <c r="I44" s="1"/>
      <c r="J44" s="1"/>
      <c r="K44" s="1"/>
      <c r="L44" s="1"/>
      <c r="M44" s="1"/>
      <c r="S44"/>
    </row>
    <row r="45" spans="1:19">
      <c r="B45" s="85" t="s">
        <v>123</v>
      </c>
      <c r="C45" s="107">
        <f>(E45)*(C44)</f>
        <v>4.1584158415842</v>
      </c>
      <c r="D45" s="107">
        <f>(E45)*(D44)</f>
        <v>415.84158415842</v>
      </c>
      <c r="E45" s="107">
        <f>350.00*0.4*(E8)</f>
        <v>420</v>
      </c>
      <c r="F45" s="84"/>
      <c r="G45" s="1"/>
      <c r="H45" s="1"/>
      <c r="I45" s="1"/>
      <c r="J45" s="1"/>
      <c r="K45" s="1"/>
      <c r="L45" s="1"/>
      <c r="M45" s="1"/>
      <c r="S45"/>
    </row>
    <row r="46" spans="1:19">
      <c r="B46" s="1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"/>
      <c r="P46" s="1"/>
      <c r="Q46" s="1"/>
      <c r="R46" s="1"/>
      <c r="S46" s="1"/>
    </row>
    <row r="47" spans="1:19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>
      <c r="B48" s="110" t="s">
        <v>124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</row>
    <row r="49" spans="1:19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B50" s="111" t="s">
        <v>123</v>
      </c>
      <c r="C50" s="42" t="str">
        <f>(C11)</f>
        <v>Casaca</v>
      </c>
      <c r="D50" s="42" t="str">
        <f>(D11)</f>
        <v>Motores</v>
      </c>
      <c r="E50" s="42" t="str">
        <f>E11</f>
        <v>TOTAL</v>
      </c>
      <c r="F50" s="34"/>
      <c r="G50" s="1"/>
      <c r="H50" s="1"/>
      <c r="I50" s="1"/>
      <c r="J50" s="1"/>
      <c r="K50" s="1"/>
      <c r="L50" s="1"/>
      <c r="M50" s="1"/>
      <c r="N50" s="1"/>
      <c r="S50"/>
    </row>
    <row r="51" spans="1:19">
      <c r="B51" s="85" t="s">
        <v>125</v>
      </c>
      <c r="C51" s="107">
        <f>(E45)*(C44)</f>
        <v>4.1584158415842</v>
      </c>
      <c r="D51" s="107">
        <f>(E45)*(D44)</f>
        <v>415.84158415842</v>
      </c>
      <c r="E51" s="107">
        <f>E18+E31+E38+E45</f>
        <v>123932.849</v>
      </c>
      <c r="F51" s="1"/>
      <c r="G51" s="1"/>
      <c r="H51" s="1"/>
      <c r="I51" s="1"/>
      <c r="J51" s="1"/>
      <c r="K51" s="1"/>
      <c r="L51" s="1"/>
      <c r="M51" s="1"/>
      <c r="S51"/>
    </row>
    <row r="52" spans="1:19">
      <c r="B52" s="43" t="s">
        <v>48</v>
      </c>
      <c r="C52" s="42">
        <f>(C17)</f>
        <v>100</v>
      </c>
      <c r="D52" s="42">
        <f>(D17)</f>
        <v>1000</v>
      </c>
      <c r="E52" s="42">
        <f>(E17)</f>
        <v>1100</v>
      </c>
      <c r="F52" s="34"/>
      <c r="G52" s="1"/>
      <c r="H52" s="1"/>
      <c r="I52" s="1"/>
      <c r="J52" s="1"/>
      <c r="K52" s="1"/>
      <c r="L52" s="1"/>
      <c r="M52" s="1"/>
      <c r="N52" s="1"/>
      <c r="S52"/>
    </row>
    <row r="53" spans="1:19">
      <c r="B53" s="112" t="s">
        <v>126</v>
      </c>
      <c r="C53" s="107">
        <f>(C51)/(C52)</f>
        <v>0.041584158415842</v>
      </c>
      <c r="D53" s="107">
        <f>(D51)/(D52)</f>
        <v>0.41584158415842</v>
      </c>
      <c r="E53" s="107">
        <f>(E51)/(E52)</f>
        <v>112.66622636364</v>
      </c>
      <c r="F53" s="34"/>
      <c r="G53" s="1"/>
      <c r="H53" s="1"/>
      <c r="I53" s="1"/>
      <c r="J53" s="1"/>
      <c r="K53" s="1"/>
      <c r="L53" s="1"/>
      <c r="M53" s="1"/>
      <c r="N53" s="1"/>
      <c r="S53"/>
    </row>
    <row r="54" spans="1:19">
      <c r="B54" s="43" t="s">
        <v>127</v>
      </c>
      <c r="C54" s="113">
        <f>(C53)*3.75</f>
        <v>0.15594059405941</v>
      </c>
      <c r="D54">
        <f>(D53)*3.75</f>
        <v>1.5594059405941</v>
      </c>
      <c r="E54" s="113">
        <f>(E53)*3.75</f>
        <v>422.49834886364</v>
      </c>
      <c r="F54" s="34"/>
      <c r="G54" s="1"/>
      <c r="H54" s="1"/>
      <c r="I54" s="1"/>
      <c r="J54" s="1"/>
      <c r="K54" s="1"/>
      <c r="L54" s="1"/>
      <c r="M54" s="1"/>
      <c r="N54" s="1"/>
      <c r="S54"/>
    </row>
  </sheetData>
  <mergeCells>
    <mergeCell ref="B1:M1"/>
    <mergeCell ref="G21:G22"/>
    <mergeCell ref="B28:M28"/>
    <mergeCell ref="I33:J34"/>
    <mergeCell ref="B42:S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