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5.xml" ContentType="application/vnd.openxmlformats-officedocument.drawing+xml"/>
  <Override PartName="/xl/ctrlProps/ctrlProp3.xml" ContentType="application/vnd.ms-excel.controlproperties+xml"/>
  <Override PartName="/xl/ctrlProps/ctrlProp4.xml" ContentType="application/vnd.ms-excel.controlproperties+xml"/>
  <Override PartName="/xl/drawings/drawing6.xml" ContentType="application/vnd.openxmlformats-officedocument.drawing+xml"/>
  <Override PartName="/xl/ctrlProps/ctrlProp5.xml" ContentType="application/vnd.ms-excel.controlproperties+xml"/>
  <Override PartName="/xl/ctrlProps/ctrlProp6.xml" ContentType="application/vnd.ms-excel.controlproperties+xml"/>
  <Override PartName="/xl/drawings/drawing7.xml" ContentType="application/vnd.openxmlformats-officedocument.drawing+xml"/>
  <Override PartName="/xl/ctrlProps/ctrlProp7.xml" ContentType="application/vnd.ms-excel.controlproperties+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06/relationships/ui/userCustomization" Target="userCustomization/customUI.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hidePivotFieldList="1" defaultThemeVersion="124226"/>
  <bookViews>
    <workbookView xWindow="6570" yWindow="0" windowWidth="12810" windowHeight="8265" tabRatio="504" firstSheet="1" activeTab="2"/>
  </bookViews>
  <sheets>
    <sheet name="PETUNJUK" sheetId="75" r:id="rId1"/>
    <sheet name="Biodata" sheetId="68" r:id="rId2"/>
    <sheet name="LEGER" sheetId="63" r:id="rId3"/>
    <sheet name="CatatPrestasi" sheetId="76" r:id="rId4"/>
    <sheet name="RAPORT" sheetId="17" r:id="rId5"/>
    <sheet name="RAPORT (2)" sheetId="79" r:id="rId6"/>
    <sheet name="NilKon" sheetId="71" state="hidden" r:id="rId7"/>
    <sheet name="COVER" sheetId="65" r:id="rId8"/>
    <sheet name="Identitas" sheetId="74" r:id="rId9"/>
    <sheet name="PdhKeluar" sheetId="77" r:id="rId10"/>
    <sheet name="PdhMasuk" sheetId="78" r:id="rId11"/>
    <sheet name="PAiBP" sheetId="80" r:id="rId12"/>
    <sheet name="PKN" sheetId="81" r:id="rId13"/>
    <sheet name="BIND" sheetId="82" r:id="rId14"/>
    <sheet name="MATH" sheetId="83" r:id="rId15"/>
    <sheet name="SJRID" sheetId="84" r:id="rId16"/>
    <sheet name="BING" sheetId="85" r:id="rId17"/>
    <sheet name="SENI" sheetId="86" r:id="rId18"/>
    <sheet name="PJOK" sheetId="87" r:id="rId19"/>
    <sheet name="PKWU" sheetId="88" r:id="rId20"/>
    <sheet name="MULOK" sheetId="89" r:id="rId21"/>
    <sheet name="MATIPA" sheetId="90" r:id="rId22"/>
    <sheet name="BIOL" sheetId="91" r:id="rId23"/>
    <sheet name="FISK" sheetId="92" r:id="rId24"/>
    <sheet name="KIMI" sheetId="93" r:id="rId25"/>
    <sheet name="LM-1" sheetId="94" r:id="rId26"/>
    <sheet name="LM-2" sheetId="95" r:id="rId27"/>
    <sheet name="BTQ" sheetId="96" r:id="rId28"/>
  </sheets>
  <externalReferences>
    <externalReference r:id="rId29"/>
  </externalReferences>
  <definedNames>
    <definedName name="_151610003A" localSheetId="2">RAPORT!$P$1</definedName>
    <definedName name="_151610003A" localSheetId="4">RAPORT!$P$1</definedName>
    <definedName name="_151610003A" localSheetId="5">'RAPORT (2)'!$P$1</definedName>
    <definedName name="_xlnm._FilterDatabase" localSheetId="2" hidden="1">LEGER!$A$5:$AG$167</definedName>
    <definedName name="_min1" localSheetId="5">#REF!</definedName>
    <definedName name="_min1">#REF!</definedName>
    <definedName name="_min2" localSheetId="5">#REF!</definedName>
    <definedName name="_min2">#REF!</definedName>
    <definedName name="_min3" localSheetId="5">#REF!</definedName>
    <definedName name="_min3">#REF!</definedName>
    <definedName name="_min4" localSheetId="5">#REF!</definedName>
    <definedName name="_min4">#REF!</definedName>
    <definedName name="_min5" localSheetId="5">#REF!</definedName>
    <definedName name="_min5">#REF!</definedName>
    <definedName name="_min6" localSheetId="5">#REF!</definedName>
    <definedName name="_min6">#REF!</definedName>
    <definedName name="_min7" localSheetId="5">#REF!</definedName>
    <definedName name="_min7">#REF!</definedName>
    <definedName name="agama" localSheetId="5">#REF!</definedName>
    <definedName name="agama">#REF!</definedName>
    <definedName name="agmx1" localSheetId="5">#REF!</definedName>
    <definedName name="agmx1">#REF!</definedName>
    <definedName name="big" localSheetId="5">#REF!</definedName>
    <definedName name="big">#REF!</definedName>
    <definedName name="bin" localSheetId="5">#REF!</definedName>
    <definedName name="bin">#REF!</definedName>
    <definedName name="bindx1" localSheetId="5">#REF!</definedName>
    <definedName name="bindx1">#REF!</definedName>
    <definedName name="bingx1" localSheetId="5">#REF!</definedName>
    <definedName name="bingx1">#REF!</definedName>
    <definedName name="Biodata">Biodata!$A$1:$X$48</definedName>
    <definedName name="bioguru" localSheetId="5">#REF!</definedName>
    <definedName name="bioguru">#REF!</definedName>
    <definedName name="bionisnama">Biodata!$B:$C</definedName>
    <definedName name="biononis">Biodata!$A:$C</definedName>
    <definedName name="catatan">CatatPrestasi!$D$5:$G$164</definedName>
    <definedName name="COMMENT" localSheetId="5">#REF!</definedName>
    <definedName name="COMMENT">#REF!</definedName>
    <definedName name="Cover">COVER!$A$1:$J$41</definedName>
    <definedName name="hurkon" localSheetId="5">#REF!</definedName>
    <definedName name="hurkon">#REF!</definedName>
    <definedName name="kenaikan">[1]CatatPrestasi!$D$5:$I$196</definedName>
    <definedName name="Ledger" localSheetId="5">'RAPORT (2)'!$P$1</definedName>
    <definedName name="Ledger">RAPORT!$P$1</definedName>
    <definedName name="Leger">LEGER!$A$1:$AF$173</definedName>
    <definedName name="leger10">LEGER!$D$8:$AG$173</definedName>
    <definedName name="legger">LEGER!$A:$AE</definedName>
    <definedName name="leggerx">LEGER!$D$8:$AE$167</definedName>
    <definedName name="leggerx1">LEGER!$D$8:$AE$167</definedName>
    <definedName name="min1x1" localSheetId="5">#REF!</definedName>
    <definedName name="min1x1">#REF!</definedName>
    <definedName name="min2x1" localSheetId="5">#REF!</definedName>
    <definedName name="min2x1">#REF!</definedName>
    <definedName name="min3x1" localSheetId="5">#REF!</definedName>
    <definedName name="min3x1">#REF!</definedName>
    <definedName name="min4x1" localSheetId="5">#REF!</definedName>
    <definedName name="min4x1">#REF!</definedName>
    <definedName name="min5x1" localSheetId="5">#REF!</definedName>
    <definedName name="min5x1">#REF!</definedName>
    <definedName name="min6x1" localSheetId="5">#REF!</definedName>
    <definedName name="min6x1">#REF!</definedName>
    <definedName name="min7x1" localSheetId="5">#REF!</definedName>
    <definedName name="min7x1">#REF!</definedName>
    <definedName name="mtk" localSheetId="5">#REF!</definedName>
    <definedName name="mtk">#REF!</definedName>
    <definedName name="mtkx1" localSheetId="5">#REF!</definedName>
    <definedName name="mtkx1">#REF!</definedName>
    <definedName name="Naiktidak">CatatPrestasi!$B$5:$I$164</definedName>
    <definedName name="nilkonv">NilKon!$B:$G</definedName>
    <definedName name="nomor" localSheetId="5">'RAPORT (2)'!$O$1</definedName>
    <definedName name="nomor">RAPORT!$O$1</definedName>
    <definedName name="olga" localSheetId="5">#REF!</definedName>
    <definedName name="olga">#REF!</definedName>
    <definedName name="penjasx1" localSheetId="5">#REF!</definedName>
    <definedName name="penjasx1">#REF!</definedName>
    <definedName name="pkn" localSheetId="5">#REF!</definedName>
    <definedName name="pkn">#REF!</definedName>
    <definedName name="pknx1" localSheetId="5">#REF!</definedName>
    <definedName name="pknx1">#REF!</definedName>
    <definedName name="pnkx1" localSheetId="5">#REF!</definedName>
    <definedName name="pnkx1">#REF!</definedName>
    <definedName name="PRAK" localSheetId="5">#REF!</definedName>
    <definedName name="PRAK">#REF!</definedName>
    <definedName name="prestasi">LEGER!$A$8:$AF$167</definedName>
    <definedName name="_xlnm.Print_Area" localSheetId="7">COVER!$A$1:$J$45</definedName>
    <definedName name="_xlnm.Print_Area" localSheetId="8">Identitas!$A$1:$D$46</definedName>
    <definedName name="_xlnm.Print_Area" localSheetId="2">LEGER!$A$1:$AH$173</definedName>
    <definedName name="_xlnm.Print_Area" localSheetId="9">PdhKeluar!$A$1:$E$29</definedName>
    <definedName name="_xlnm.Print_Area" localSheetId="10">PdhMasuk!$A$1:$F$28</definedName>
    <definedName name="_xlnm.Print_Area" localSheetId="0">PETUNJUK!$A$1:$B$28</definedName>
    <definedName name="_xlnm.Print_Area" localSheetId="5">'RAPORT (2)'!$A$1:$M$86</definedName>
    <definedName name="_xlnm.Print_Titles" localSheetId="2">LEGER!$7:$7</definedName>
    <definedName name="_xlnm.Print_Titles" localSheetId="4">RAPORT!$1:$4</definedName>
    <definedName name="_xlnm.Print_Titles" localSheetId="5">'RAPORT (2)'!$1:$4</definedName>
    <definedName name="RANking" localSheetId="5">#REF!</definedName>
    <definedName name="RANking">#REF!</definedName>
    <definedName name="Rapor" localSheetId="5">'RAPORT (2)'!$A$3:$R$40</definedName>
    <definedName name="Rapor">RAPORT!$A$3:$S$54</definedName>
    <definedName name="SB">LEGER!$W$8</definedName>
    <definedName name="SEJ_U" localSheetId="5">#REF!</definedName>
    <definedName name="SEJ_U">#REF!</definedName>
    <definedName name="sejux1" localSheetId="5">#REF!</definedName>
    <definedName name="sejux1">#REF!</definedName>
    <definedName name="seni" localSheetId="5">#REF!</definedName>
    <definedName name="seni">#REF!</definedName>
    <definedName name="senix1" localSheetId="5">#REF!</definedName>
    <definedName name="senix1">#REF!</definedName>
  </definedNames>
  <calcPr calcId="144525"/>
</workbook>
</file>

<file path=xl/calcChain.xml><?xml version="1.0" encoding="utf-8"?>
<calcChain xmlns="http://schemas.openxmlformats.org/spreadsheetml/2006/main">
  <c r="AD166" i="63" l="1"/>
  <c r="AD165" i="63"/>
  <c r="AD164" i="63"/>
  <c r="AD162" i="63"/>
  <c r="AD161" i="63"/>
  <c r="AD160" i="63"/>
  <c r="AD158" i="63"/>
  <c r="AD157" i="63"/>
  <c r="AD156" i="63"/>
  <c r="AD154" i="63"/>
  <c r="AD153" i="63"/>
  <c r="AD152" i="63"/>
  <c r="AD150" i="63"/>
  <c r="AD149" i="63"/>
  <c r="AD148" i="63"/>
  <c r="AD146" i="63"/>
  <c r="AD145" i="63"/>
  <c r="AD144" i="63"/>
  <c r="AD142" i="63"/>
  <c r="AD141" i="63"/>
  <c r="AD140" i="63"/>
  <c r="AD138" i="63"/>
  <c r="AD137" i="63"/>
  <c r="AD136" i="63"/>
  <c r="AD134" i="63"/>
  <c r="AD133" i="63"/>
  <c r="AD132" i="63"/>
  <c r="AD130" i="63"/>
  <c r="AD129" i="63"/>
  <c r="AD128" i="63"/>
  <c r="AD126" i="63"/>
  <c r="AD125" i="63"/>
  <c r="AD124" i="63"/>
  <c r="AD122" i="63"/>
  <c r="AD121" i="63"/>
  <c r="AD120" i="63"/>
  <c r="AD118" i="63"/>
  <c r="AD117" i="63"/>
  <c r="AD116" i="63"/>
  <c r="AD114" i="63"/>
  <c r="AD113" i="63"/>
  <c r="AD112" i="63"/>
  <c r="AD110" i="63"/>
  <c r="AD109" i="63"/>
  <c r="AD108" i="63"/>
  <c r="AD106" i="63"/>
  <c r="AD105" i="63"/>
  <c r="AD104" i="63"/>
  <c r="AD102" i="63"/>
  <c r="AD101" i="63"/>
  <c r="AD100" i="63"/>
  <c r="AD98" i="63"/>
  <c r="AD97" i="63"/>
  <c r="AD96" i="63"/>
  <c r="AD94" i="63"/>
  <c r="AD93" i="63"/>
  <c r="AD92" i="63"/>
  <c r="AD90" i="63"/>
  <c r="AD89" i="63"/>
  <c r="AD88" i="63"/>
  <c r="AD86" i="63"/>
  <c r="AD85" i="63"/>
  <c r="AD84" i="63"/>
  <c r="AD82" i="63"/>
  <c r="AD81" i="63"/>
  <c r="AD80" i="63"/>
  <c r="AD78" i="63"/>
  <c r="AD77" i="63"/>
  <c r="AD76" i="63"/>
  <c r="AD74" i="63"/>
  <c r="AD73" i="63"/>
  <c r="AD72" i="63"/>
  <c r="AD70" i="63"/>
  <c r="AD69" i="63"/>
  <c r="AD68" i="63"/>
  <c r="AD66" i="63"/>
  <c r="AD65" i="63"/>
  <c r="AD64" i="63"/>
  <c r="AD62" i="63"/>
  <c r="AD61" i="63"/>
  <c r="AD60" i="63"/>
  <c r="AD58" i="63"/>
  <c r="AD57" i="63"/>
  <c r="AD56" i="63"/>
  <c r="AD54" i="63"/>
  <c r="AD53" i="63"/>
  <c r="AD52" i="63"/>
  <c r="AD50" i="63"/>
  <c r="AD49" i="63"/>
  <c r="AD48" i="63"/>
  <c r="AD46" i="63"/>
  <c r="AD45" i="63"/>
  <c r="AD44" i="63"/>
  <c r="AD42" i="63"/>
  <c r="AD41" i="63"/>
  <c r="AD40" i="63"/>
  <c r="AD38" i="63"/>
  <c r="AD37" i="63"/>
  <c r="AD36" i="63"/>
  <c r="AD34" i="63"/>
  <c r="AD33" i="63"/>
  <c r="AD32" i="63"/>
  <c r="AD30" i="63"/>
  <c r="AD29" i="63"/>
  <c r="AD28" i="63"/>
  <c r="AD26" i="63"/>
  <c r="AD25" i="63"/>
  <c r="AD24" i="63"/>
  <c r="AD22" i="63"/>
  <c r="AD21" i="63"/>
  <c r="AD20" i="63"/>
  <c r="AD18" i="63"/>
  <c r="AD17" i="63"/>
  <c r="AD16" i="63"/>
  <c r="AD14" i="63"/>
  <c r="AD13" i="63"/>
  <c r="AD12" i="63"/>
  <c r="AD10" i="63"/>
  <c r="D5" i="96" l="1"/>
  <c r="D5" i="95"/>
  <c r="D5" i="94"/>
  <c r="D5" i="93"/>
  <c r="D5" i="92"/>
  <c r="D5" i="91"/>
  <c r="D5" i="90"/>
  <c r="D5" i="89"/>
  <c r="D5" i="88"/>
  <c r="D5" i="87"/>
  <c r="D5" i="86"/>
  <c r="D5" i="85"/>
  <c r="D5" i="84"/>
  <c r="D5" i="83"/>
  <c r="D5" i="82"/>
  <c r="D5" i="81"/>
  <c r="D5" i="80"/>
  <c r="C46" i="96"/>
  <c r="B46" i="96"/>
  <c r="A46" i="96"/>
  <c r="C45" i="96"/>
  <c r="B45" i="96"/>
  <c r="A45" i="96"/>
  <c r="C44" i="96"/>
  <c r="B44" i="96"/>
  <c r="A44" i="96"/>
  <c r="C43" i="96"/>
  <c r="B43" i="96"/>
  <c r="A43" i="96"/>
  <c r="C42" i="96"/>
  <c r="B42" i="96"/>
  <c r="A42" i="96"/>
  <c r="C41" i="96"/>
  <c r="B41" i="96"/>
  <c r="A41" i="96"/>
  <c r="C40" i="96"/>
  <c r="B40" i="96"/>
  <c r="A40" i="96"/>
  <c r="C39" i="96"/>
  <c r="B39" i="96"/>
  <c r="A39" i="96"/>
  <c r="C38" i="96"/>
  <c r="B38" i="96"/>
  <c r="A38" i="96"/>
  <c r="C37" i="96"/>
  <c r="B37" i="96"/>
  <c r="A37" i="96"/>
  <c r="C36" i="96"/>
  <c r="B36" i="96"/>
  <c r="A36" i="96"/>
  <c r="C35" i="96"/>
  <c r="B35" i="96"/>
  <c r="A35" i="96"/>
  <c r="C34" i="96"/>
  <c r="B34" i="96"/>
  <c r="A34" i="96"/>
  <c r="C33" i="96"/>
  <c r="B33" i="96"/>
  <c r="A33" i="96"/>
  <c r="C32" i="96"/>
  <c r="B32" i="96"/>
  <c r="A32" i="96"/>
  <c r="C31" i="96"/>
  <c r="B31" i="96"/>
  <c r="A31" i="96"/>
  <c r="C30" i="96"/>
  <c r="B30" i="96"/>
  <c r="A30" i="96"/>
  <c r="C29" i="96"/>
  <c r="B29" i="96"/>
  <c r="A29" i="96"/>
  <c r="C28" i="96"/>
  <c r="B28" i="96"/>
  <c r="A28" i="96"/>
  <c r="C27" i="96"/>
  <c r="B27" i="96"/>
  <c r="A27" i="96"/>
  <c r="C26" i="96"/>
  <c r="B26" i="96"/>
  <c r="A26" i="96"/>
  <c r="C25" i="96"/>
  <c r="B25" i="96"/>
  <c r="A25" i="96"/>
  <c r="C24" i="96"/>
  <c r="B24" i="96"/>
  <c r="A24" i="96"/>
  <c r="C23" i="96"/>
  <c r="B23" i="96"/>
  <c r="A23" i="96"/>
  <c r="C22" i="96"/>
  <c r="B22" i="96"/>
  <c r="A22" i="96"/>
  <c r="C21" i="96"/>
  <c r="B21" i="96"/>
  <c r="A21" i="96"/>
  <c r="C20" i="96"/>
  <c r="B20" i="96"/>
  <c r="A20" i="96"/>
  <c r="C19" i="96"/>
  <c r="B19" i="96"/>
  <c r="A19" i="96"/>
  <c r="C18" i="96"/>
  <c r="B18" i="96"/>
  <c r="A18" i="96"/>
  <c r="C17" i="96"/>
  <c r="B17" i="96"/>
  <c r="A17" i="96"/>
  <c r="C16" i="96"/>
  <c r="B16" i="96"/>
  <c r="A16" i="96"/>
  <c r="C15" i="96"/>
  <c r="B15" i="96"/>
  <c r="A15" i="96"/>
  <c r="C14" i="96"/>
  <c r="B14" i="96"/>
  <c r="A14" i="96"/>
  <c r="C13" i="96"/>
  <c r="B13" i="96"/>
  <c r="A13" i="96"/>
  <c r="C12" i="96"/>
  <c r="B12" i="96"/>
  <c r="A12" i="96"/>
  <c r="C11" i="96"/>
  <c r="B11" i="96"/>
  <c r="A11" i="96"/>
  <c r="C10" i="96"/>
  <c r="B10" i="96"/>
  <c r="A10" i="96"/>
  <c r="C9" i="96"/>
  <c r="B9" i="96"/>
  <c r="A9" i="96"/>
  <c r="C8" i="96"/>
  <c r="B8" i="96"/>
  <c r="A8" i="96"/>
  <c r="C7" i="96"/>
  <c r="B7" i="96"/>
  <c r="A7" i="96"/>
  <c r="C46" i="95"/>
  <c r="B46" i="95"/>
  <c r="A46" i="95"/>
  <c r="C45" i="95"/>
  <c r="B45" i="95"/>
  <c r="A45" i="95"/>
  <c r="C44" i="95"/>
  <c r="B44" i="95"/>
  <c r="A44" i="95"/>
  <c r="C43" i="95"/>
  <c r="B43" i="95"/>
  <c r="A43" i="95"/>
  <c r="C42" i="95"/>
  <c r="B42" i="95"/>
  <c r="A42" i="95"/>
  <c r="C41" i="95"/>
  <c r="B41" i="95"/>
  <c r="A41" i="95"/>
  <c r="C40" i="95"/>
  <c r="B40" i="95"/>
  <c r="A40" i="95"/>
  <c r="C39" i="95"/>
  <c r="B39" i="95"/>
  <c r="A39" i="95"/>
  <c r="C38" i="95"/>
  <c r="B38" i="95"/>
  <c r="A38" i="95"/>
  <c r="C37" i="95"/>
  <c r="B37" i="95"/>
  <c r="A37" i="95"/>
  <c r="C36" i="95"/>
  <c r="B36" i="95"/>
  <c r="A36" i="95"/>
  <c r="C35" i="95"/>
  <c r="B35" i="95"/>
  <c r="A35" i="95"/>
  <c r="C34" i="95"/>
  <c r="B34" i="95"/>
  <c r="A34" i="95"/>
  <c r="C33" i="95"/>
  <c r="B33" i="95"/>
  <c r="A33" i="95"/>
  <c r="C32" i="95"/>
  <c r="B32" i="95"/>
  <c r="A32" i="95"/>
  <c r="C31" i="95"/>
  <c r="B31" i="95"/>
  <c r="A31" i="95"/>
  <c r="C30" i="95"/>
  <c r="B30" i="95"/>
  <c r="A30" i="95"/>
  <c r="C29" i="95"/>
  <c r="B29" i="95"/>
  <c r="A29" i="95"/>
  <c r="C28" i="95"/>
  <c r="B28" i="95"/>
  <c r="A28" i="95"/>
  <c r="C27" i="95"/>
  <c r="B27" i="95"/>
  <c r="A27" i="95"/>
  <c r="C26" i="95"/>
  <c r="B26" i="95"/>
  <c r="A26" i="95"/>
  <c r="C25" i="95"/>
  <c r="B25" i="95"/>
  <c r="A25" i="95"/>
  <c r="C24" i="95"/>
  <c r="B24" i="95"/>
  <c r="A24" i="95"/>
  <c r="C23" i="95"/>
  <c r="B23" i="95"/>
  <c r="A23" i="95"/>
  <c r="C22" i="95"/>
  <c r="B22" i="95"/>
  <c r="A22" i="95"/>
  <c r="C21" i="95"/>
  <c r="B21" i="95"/>
  <c r="A21" i="95"/>
  <c r="C20" i="95"/>
  <c r="B20" i="95"/>
  <c r="A20" i="95"/>
  <c r="C19" i="95"/>
  <c r="B19" i="95"/>
  <c r="A19" i="95"/>
  <c r="C18" i="95"/>
  <c r="B18" i="95"/>
  <c r="A18" i="95"/>
  <c r="C17" i="95"/>
  <c r="B17" i="95"/>
  <c r="A17" i="95"/>
  <c r="C16" i="95"/>
  <c r="B16" i="95"/>
  <c r="A16" i="95"/>
  <c r="C15" i="95"/>
  <c r="B15" i="95"/>
  <c r="A15" i="95"/>
  <c r="C14" i="95"/>
  <c r="B14" i="95"/>
  <c r="A14" i="95"/>
  <c r="C13" i="95"/>
  <c r="B13" i="95"/>
  <c r="A13" i="95"/>
  <c r="C12" i="95"/>
  <c r="B12" i="95"/>
  <c r="A12" i="95"/>
  <c r="C11" i="95"/>
  <c r="B11" i="95"/>
  <c r="A11" i="95"/>
  <c r="C10" i="95"/>
  <c r="B10" i="95"/>
  <c r="A10" i="95"/>
  <c r="C9" i="95"/>
  <c r="B9" i="95"/>
  <c r="A9" i="95"/>
  <c r="C8" i="95"/>
  <c r="B8" i="95"/>
  <c r="A8" i="95"/>
  <c r="C7" i="95"/>
  <c r="B7" i="95"/>
  <c r="A7" i="95"/>
  <c r="D2" i="95"/>
  <c r="D1" i="95"/>
  <c r="C46" i="94"/>
  <c r="B46" i="94"/>
  <c r="A46" i="94"/>
  <c r="C45" i="94"/>
  <c r="B45" i="94"/>
  <c r="A45" i="94"/>
  <c r="C44" i="94"/>
  <c r="B44" i="94"/>
  <c r="A44" i="94"/>
  <c r="C43" i="94"/>
  <c r="B43" i="94"/>
  <c r="A43" i="94"/>
  <c r="C42" i="94"/>
  <c r="B42" i="94"/>
  <c r="A42" i="94"/>
  <c r="C41" i="94"/>
  <c r="B41" i="94"/>
  <c r="A41" i="94"/>
  <c r="C40" i="94"/>
  <c r="B40" i="94"/>
  <c r="A40" i="94"/>
  <c r="C39" i="94"/>
  <c r="B39" i="94"/>
  <c r="A39" i="94"/>
  <c r="C38" i="94"/>
  <c r="B38" i="94"/>
  <c r="A38" i="94"/>
  <c r="C37" i="94"/>
  <c r="B37" i="94"/>
  <c r="A37" i="94"/>
  <c r="C36" i="94"/>
  <c r="B36" i="94"/>
  <c r="A36" i="94"/>
  <c r="C35" i="94"/>
  <c r="B35" i="94"/>
  <c r="A35" i="94"/>
  <c r="C34" i="94"/>
  <c r="B34" i="94"/>
  <c r="A34" i="94"/>
  <c r="C33" i="94"/>
  <c r="B33" i="94"/>
  <c r="A33" i="94"/>
  <c r="C32" i="94"/>
  <c r="B32" i="94"/>
  <c r="A32" i="94"/>
  <c r="C31" i="94"/>
  <c r="B31" i="94"/>
  <c r="A31" i="94"/>
  <c r="C30" i="94"/>
  <c r="B30" i="94"/>
  <c r="A30" i="94"/>
  <c r="C29" i="94"/>
  <c r="B29" i="94"/>
  <c r="A29" i="94"/>
  <c r="C28" i="94"/>
  <c r="B28" i="94"/>
  <c r="A28" i="94"/>
  <c r="C27" i="94"/>
  <c r="B27" i="94"/>
  <c r="A27" i="94"/>
  <c r="C26" i="94"/>
  <c r="B26" i="94"/>
  <c r="A26" i="94"/>
  <c r="C25" i="94"/>
  <c r="B25" i="94"/>
  <c r="A25" i="94"/>
  <c r="C24" i="94"/>
  <c r="B24" i="94"/>
  <c r="A24" i="94"/>
  <c r="C23" i="94"/>
  <c r="B23" i="94"/>
  <c r="A23" i="94"/>
  <c r="C22" i="94"/>
  <c r="B22" i="94"/>
  <c r="A22" i="94"/>
  <c r="C21" i="94"/>
  <c r="B21" i="94"/>
  <c r="A21" i="94"/>
  <c r="C20" i="94"/>
  <c r="B20" i="94"/>
  <c r="A20" i="94"/>
  <c r="C19" i="94"/>
  <c r="B19" i="94"/>
  <c r="A19" i="94"/>
  <c r="C18" i="94"/>
  <c r="B18" i="94"/>
  <c r="A18" i="94"/>
  <c r="C17" i="94"/>
  <c r="B17" i="94"/>
  <c r="A17" i="94"/>
  <c r="C16" i="94"/>
  <c r="B16" i="94"/>
  <c r="A16" i="94"/>
  <c r="C15" i="94"/>
  <c r="B15" i="94"/>
  <c r="A15" i="94"/>
  <c r="C14" i="94"/>
  <c r="B14" i="94"/>
  <c r="A14" i="94"/>
  <c r="C13" i="94"/>
  <c r="B13" i="94"/>
  <c r="A13" i="94"/>
  <c r="C12" i="94"/>
  <c r="B12" i="94"/>
  <c r="A12" i="94"/>
  <c r="C11" i="94"/>
  <c r="B11" i="94"/>
  <c r="A11" i="94"/>
  <c r="C10" i="94"/>
  <c r="B10" i="94"/>
  <c r="A10" i="94"/>
  <c r="C9" i="94"/>
  <c r="B9" i="94"/>
  <c r="A9" i="94"/>
  <c r="C8" i="94"/>
  <c r="B8" i="94"/>
  <c r="A8" i="94"/>
  <c r="C7" i="94"/>
  <c r="B7" i="94"/>
  <c r="A7" i="94"/>
  <c r="D2" i="94"/>
  <c r="D1" i="94"/>
  <c r="C46" i="93"/>
  <c r="B46" i="93"/>
  <c r="A46" i="93"/>
  <c r="C45" i="93"/>
  <c r="B45" i="93"/>
  <c r="A45" i="93"/>
  <c r="C44" i="93"/>
  <c r="B44" i="93"/>
  <c r="A44" i="93"/>
  <c r="C43" i="93"/>
  <c r="B43" i="93"/>
  <c r="A43" i="93"/>
  <c r="C42" i="93"/>
  <c r="B42" i="93"/>
  <c r="A42" i="93"/>
  <c r="C41" i="93"/>
  <c r="B41" i="93"/>
  <c r="A41" i="93"/>
  <c r="C40" i="93"/>
  <c r="B40" i="93"/>
  <c r="A40" i="93"/>
  <c r="C39" i="93"/>
  <c r="B39" i="93"/>
  <c r="A39" i="93"/>
  <c r="C38" i="93"/>
  <c r="B38" i="93"/>
  <c r="A38" i="93"/>
  <c r="C37" i="93"/>
  <c r="B37" i="93"/>
  <c r="A37" i="93"/>
  <c r="C36" i="93"/>
  <c r="B36" i="93"/>
  <c r="A36" i="93"/>
  <c r="C35" i="93"/>
  <c r="B35" i="93"/>
  <c r="A35" i="93"/>
  <c r="C34" i="93"/>
  <c r="B34" i="93"/>
  <c r="A34" i="93"/>
  <c r="C33" i="93"/>
  <c r="B33" i="93"/>
  <c r="A33" i="93"/>
  <c r="C32" i="93"/>
  <c r="B32" i="93"/>
  <c r="A32" i="93"/>
  <c r="C31" i="93"/>
  <c r="B31" i="93"/>
  <c r="A31" i="93"/>
  <c r="C30" i="93"/>
  <c r="B30" i="93"/>
  <c r="A30" i="93"/>
  <c r="C29" i="93"/>
  <c r="B29" i="93"/>
  <c r="A29" i="93"/>
  <c r="C28" i="93"/>
  <c r="B28" i="93"/>
  <c r="A28" i="93"/>
  <c r="C27" i="93"/>
  <c r="B27" i="93"/>
  <c r="A27" i="93"/>
  <c r="C26" i="93"/>
  <c r="B26" i="93"/>
  <c r="A26" i="93"/>
  <c r="C25" i="93"/>
  <c r="B25" i="93"/>
  <c r="A25" i="93"/>
  <c r="C24" i="93"/>
  <c r="B24" i="93"/>
  <c r="A24" i="93"/>
  <c r="C23" i="93"/>
  <c r="B23" i="93"/>
  <c r="A23" i="93"/>
  <c r="C22" i="93"/>
  <c r="B22" i="93"/>
  <c r="A22" i="93"/>
  <c r="C21" i="93"/>
  <c r="B21" i="93"/>
  <c r="A21" i="93"/>
  <c r="C20" i="93"/>
  <c r="B20" i="93"/>
  <c r="A20" i="93"/>
  <c r="C19" i="93"/>
  <c r="B19" i="93"/>
  <c r="A19" i="93"/>
  <c r="C18" i="93"/>
  <c r="B18" i="93"/>
  <c r="A18" i="93"/>
  <c r="C17" i="93"/>
  <c r="B17" i="93"/>
  <c r="A17" i="93"/>
  <c r="C16" i="93"/>
  <c r="B16" i="93"/>
  <c r="A16" i="93"/>
  <c r="C15" i="93"/>
  <c r="B15" i="93"/>
  <c r="A15" i="93"/>
  <c r="C14" i="93"/>
  <c r="B14" i="93"/>
  <c r="A14" i="93"/>
  <c r="C13" i="93"/>
  <c r="B13" i="93"/>
  <c r="A13" i="93"/>
  <c r="C12" i="93"/>
  <c r="B12" i="93"/>
  <c r="A12" i="93"/>
  <c r="C11" i="93"/>
  <c r="B11" i="93"/>
  <c r="A11" i="93"/>
  <c r="C10" i="93"/>
  <c r="B10" i="93"/>
  <c r="A10" i="93"/>
  <c r="C9" i="93"/>
  <c r="B9" i="93"/>
  <c r="A9" i="93"/>
  <c r="C8" i="93"/>
  <c r="B8" i="93"/>
  <c r="A8" i="93"/>
  <c r="C7" i="93"/>
  <c r="B7" i="93"/>
  <c r="A7" i="93"/>
  <c r="D2" i="93"/>
  <c r="D1" i="93"/>
  <c r="C46" i="92"/>
  <c r="B46" i="92"/>
  <c r="A46" i="92"/>
  <c r="C45" i="92"/>
  <c r="B45" i="92"/>
  <c r="A45" i="92"/>
  <c r="C44" i="92"/>
  <c r="B44" i="92"/>
  <c r="A44" i="92"/>
  <c r="C43" i="92"/>
  <c r="B43" i="92"/>
  <c r="A43" i="92"/>
  <c r="C42" i="92"/>
  <c r="B42" i="92"/>
  <c r="A42" i="92"/>
  <c r="C41" i="92"/>
  <c r="B41" i="92"/>
  <c r="A41" i="92"/>
  <c r="C40" i="92"/>
  <c r="B40" i="92"/>
  <c r="A40" i="92"/>
  <c r="C39" i="92"/>
  <c r="B39" i="92"/>
  <c r="A39" i="92"/>
  <c r="C38" i="92"/>
  <c r="B38" i="92"/>
  <c r="A38" i="92"/>
  <c r="C37" i="92"/>
  <c r="B37" i="92"/>
  <c r="A37" i="92"/>
  <c r="C36" i="92"/>
  <c r="B36" i="92"/>
  <c r="A36" i="92"/>
  <c r="C35" i="92"/>
  <c r="B35" i="92"/>
  <c r="A35" i="92"/>
  <c r="C34" i="92"/>
  <c r="B34" i="92"/>
  <c r="A34" i="92"/>
  <c r="C33" i="92"/>
  <c r="B33" i="92"/>
  <c r="A33" i="92"/>
  <c r="C32" i="92"/>
  <c r="B32" i="92"/>
  <c r="A32" i="92"/>
  <c r="C31" i="92"/>
  <c r="B31" i="92"/>
  <c r="A31" i="92"/>
  <c r="C30" i="92"/>
  <c r="B30" i="92"/>
  <c r="A30" i="92"/>
  <c r="C29" i="92"/>
  <c r="B29" i="92"/>
  <c r="A29" i="92"/>
  <c r="C28" i="92"/>
  <c r="B28" i="92"/>
  <c r="A28" i="92"/>
  <c r="C27" i="92"/>
  <c r="B27" i="92"/>
  <c r="A27" i="92"/>
  <c r="C26" i="92"/>
  <c r="B26" i="92"/>
  <c r="A26" i="92"/>
  <c r="C25" i="92"/>
  <c r="B25" i="92"/>
  <c r="A25" i="92"/>
  <c r="C24" i="92"/>
  <c r="B24" i="92"/>
  <c r="A24" i="92"/>
  <c r="C23" i="92"/>
  <c r="B23" i="92"/>
  <c r="A23" i="92"/>
  <c r="C22" i="92"/>
  <c r="B22" i="92"/>
  <c r="A22" i="92"/>
  <c r="C21" i="92"/>
  <c r="B21" i="92"/>
  <c r="A21" i="92"/>
  <c r="C20" i="92"/>
  <c r="B20" i="92"/>
  <c r="A20" i="92"/>
  <c r="C19" i="92"/>
  <c r="B19" i="92"/>
  <c r="A19" i="92"/>
  <c r="C18" i="92"/>
  <c r="B18" i="92"/>
  <c r="A18" i="92"/>
  <c r="C17" i="92"/>
  <c r="B17" i="92"/>
  <c r="A17" i="92"/>
  <c r="C16" i="92"/>
  <c r="B16" i="92"/>
  <c r="A16" i="92"/>
  <c r="C15" i="92"/>
  <c r="B15" i="92"/>
  <c r="A15" i="92"/>
  <c r="C14" i="92"/>
  <c r="B14" i="92"/>
  <c r="A14" i="92"/>
  <c r="C13" i="92"/>
  <c r="B13" i="92"/>
  <c r="A13" i="92"/>
  <c r="C12" i="92"/>
  <c r="B12" i="92"/>
  <c r="A12" i="92"/>
  <c r="C11" i="92"/>
  <c r="B11" i="92"/>
  <c r="A11" i="92"/>
  <c r="C10" i="92"/>
  <c r="B10" i="92"/>
  <c r="A10" i="92"/>
  <c r="C9" i="92"/>
  <c r="B9" i="92"/>
  <c r="A9" i="92"/>
  <c r="C8" i="92"/>
  <c r="B8" i="92"/>
  <c r="A8" i="92"/>
  <c r="C7" i="92"/>
  <c r="B7" i="92"/>
  <c r="A7" i="92"/>
  <c r="D2" i="92"/>
  <c r="D1" i="92"/>
  <c r="C46" i="91"/>
  <c r="B46" i="91"/>
  <c r="A46" i="91"/>
  <c r="C45" i="91"/>
  <c r="B45" i="91"/>
  <c r="A45" i="91"/>
  <c r="C44" i="91"/>
  <c r="B44" i="91"/>
  <c r="A44" i="91"/>
  <c r="C43" i="91"/>
  <c r="B43" i="91"/>
  <c r="A43" i="91"/>
  <c r="C42" i="91"/>
  <c r="B42" i="91"/>
  <c r="A42" i="91"/>
  <c r="C41" i="91"/>
  <c r="B41" i="91"/>
  <c r="A41" i="91"/>
  <c r="C40" i="91"/>
  <c r="B40" i="91"/>
  <c r="A40" i="91"/>
  <c r="C39" i="91"/>
  <c r="B39" i="91"/>
  <c r="A39" i="91"/>
  <c r="C38" i="91"/>
  <c r="B38" i="91"/>
  <c r="A38" i="91"/>
  <c r="C37" i="91"/>
  <c r="B37" i="91"/>
  <c r="A37" i="91"/>
  <c r="C36" i="91"/>
  <c r="B36" i="91"/>
  <c r="A36" i="91"/>
  <c r="C35" i="91"/>
  <c r="B35" i="91"/>
  <c r="A35" i="91"/>
  <c r="C34" i="91"/>
  <c r="B34" i="91"/>
  <c r="A34" i="91"/>
  <c r="C33" i="91"/>
  <c r="B33" i="91"/>
  <c r="A33" i="91"/>
  <c r="C32" i="91"/>
  <c r="B32" i="91"/>
  <c r="A32" i="91"/>
  <c r="C31" i="91"/>
  <c r="B31" i="91"/>
  <c r="A31" i="91"/>
  <c r="C30" i="91"/>
  <c r="B30" i="91"/>
  <c r="A30" i="91"/>
  <c r="C29" i="91"/>
  <c r="B29" i="91"/>
  <c r="A29" i="91"/>
  <c r="C28" i="91"/>
  <c r="B28" i="91"/>
  <c r="A28" i="91"/>
  <c r="C27" i="91"/>
  <c r="B27" i="91"/>
  <c r="A27" i="91"/>
  <c r="C26" i="91"/>
  <c r="B26" i="91"/>
  <c r="A26" i="91"/>
  <c r="C25" i="91"/>
  <c r="B25" i="91"/>
  <c r="A25" i="91"/>
  <c r="C24" i="91"/>
  <c r="B24" i="91"/>
  <c r="A24" i="91"/>
  <c r="C23" i="91"/>
  <c r="B23" i="91"/>
  <c r="A23" i="91"/>
  <c r="C22" i="91"/>
  <c r="B22" i="91"/>
  <c r="A22" i="91"/>
  <c r="C21" i="91"/>
  <c r="B21" i="91"/>
  <c r="A21" i="91"/>
  <c r="C20" i="91"/>
  <c r="B20" i="91"/>
  <c r="A20" i="91"/>
  <c r="C19" i="91"/>
  <c r="B19" i="91"/>
  <c r="A19" i="91"/>
  <c r="C18" i="91"/>
  <c r="B18" i="91"/>
  <c r="A18" i="91"/>
  <c r="C17" i="91"/>
  <c r="B17" i="91"/>
  <c r="A17" i="91"/>
  <c r="C16" i="91"/>
  <c r="B16" i="91"/>
  <c r="A16" i="91"/>
  <c r="C15" i="91"/>
  <c r="B15" i="91"/>
  <c r="A15" i="91"/>
  <c r="C14" i="91"/>
  <c r="B14" i="91"/>
  <c r="A14" i="91"/>
  <c r="C13" i="91"/>
  <c r="B13" i="91"/>
  <c r="A13" i="91"/>
  <c r="C12" i="91"/>
  <c r="B12" i="91"/>
  <c r="A12" i="91"/>
  <c r="C11" i="91"/>
  <c r="B11" i="91"/>
  <c r="A11" i="91"/>
  <c r="C10" i="91"/>
  <c r="B10" i="91"/>
  <c r="A10" i="91"/>
  <c r="C9" i="91"/>
  <c r="B9" i="91"/>
  <c r="A9" i="91"/>
  <c r="C8" i="91"/>
  <c r="B8" i="91"/>
  <c r="A8" i="91"/>
  <c r="C7" i="91"/>
  <c r="B7" i="91"/>
  <c r="A7" i="91"/>
  <c r="D2" i="91"/>
  <c r="D1" i="91"/>
  <c r="C46" i="90"/>
  <c r="B46" i="90"/>
  <c r="A46" i="90"/>
  <c r="C45" i="90"/>
  <c r="B45" i="90"/>
  <c r="A45" i="90"/>
  <c r="C44" i="90"/>
  <c r="B44" i="90"/>
  <c r="A44" i="90"/>
  <c r="C43" i="90"/>
  <c r="B43" i="90"/>
  <c r="A43" i="90"/>
  <c r="C42" i="90"/>
  <c r="B42" i="90"/>
  <c r="A42" i="90"/>
  <c r="C41" i="90"/>
  <c r="B41" i="90"/>
  <c r="A41" i="90"/>
  <c r="C40" i="90"/>
  <c r="B40" i="90"/>
  <c r="A40" i="90"/>
  <c r="C39" i="90"/>
  <c r="B39" i="90"/>
  <c r="A39" i="90"/>
  <c r="C38" i="90"/>
  <c r="B38" i="90"/>
  <c r="A38" i="90"/>
  <c r="C37" i="90"/>
  <c r="B37" i="90"/>
  <c r="A37" i="90"/>
  <c r="C36" i="90"/>
  <c r="B36" i="90"/>
  <c r="A36" i="90"/>
  <c r="C35" i="90"/>
  <c r="B35" i="90"/>
  <c r="A35" i="90"/>
  <c r="C34" i="90"/>
  <c r="B34" i="90"/>
  <c r="A34" i="90"/>
  <c r="C33" i="90"/>
  <c r="B33" i="90"/>
  <c r="A33" i="90"/>
  <c r="C32" i="90"/>
  <c r="B32" i="90"/>
  <c r="A32" i="90"/>
  <c r="C31" i="90"/>
  <c r="B31" i="90"/>
  <c r="A31" i="90"/>
  <c r="C30" i="90"/>
  <c r="B30" i="90"/>
  <c r="A30" i="90"/>
  <c r="C29" i="90"/>
  <c r="B29" i="90"/>
  <c r="A29" i="90"/>
  <c r="C28" i="90"/>
  <c r="B28" i="90"/>
  <c r="A28" i="90"/>
  <c r="C27" i="90"/>
  <c r="B27" i="90"/>
  <c r="A27" i="90"/>
  <c r="C26" i="90"/>
  <c r="B26" i="90"/>
  <c r="A26" i="90"/>
  <c r="C25" i="90"/>
  <c r="B25" i="90"/>
  <c r="A25" i="90"/>
  <c r="C24" i="90"/>
  <c r="B24" i="90"/>
  <c r="A24" i="90"/>
  <c r="C23" i="90"/>
  <c r="B23" i="90"/>
  <c r="A23" i="90"/>
  <c r="C22" i="90"/>
  <c r="B22" i="90"/>
  <c r="A22" i="90"/>
  <c r="C21" i="90"/>
  <c r="B21" i="90"/>
  <c r="A21" i="90"/>
  <c r="C20" i="90"/>
  <c r="B20" i="90"/>
  <c r="A20" i="90"/>
  <c r="C19" i="90"/>
  <c r="B19" i="90"/>
  <c r="A19" i="90"/>
  <c r="C18" i="90"/>
  <c r="B18" i="90"/>
  <c r="A18" i="90"/>
  <c r="C17" i="90"/>
  <c r="B17" i="90"/>
  <c r="A17" i="90"/>
  <c r="C16" i="90"/>
  <c r="B16" i="90"/>
  <c r="A16" i="90"/>
  <c r="C15" i="90"/>
  <c r="B15" i="90"/>
  <c r="A15" i="90"/>
  <c r="C14" i="90"/>
  <c r="B14" i="90"/>
  <c r="A14" i="90"/>
  <c r="C13" i="90"/>
  <c r="B13" i="90"/>
  <c r="A13" i="90"/>
  <c r="C12" i="90"/>
  <c r="B12" i="90"/>
  <c r="A12" i="90"/>
  <c r="C11" i="90"/>
  <c r="B11" i="90"/>
  <c r="A11" i="90"/>
  <c r="C10" i="90"/>
  <c r="B10" i="90"/>
  <c r="A10" i="90"/>
  <c r="C9" i="90"/>
  <c r="B9" i="90"/>
  <c r="A9" i="90"/>
  <c r="C8" i="90"/>
  <c r="B8" i="90"/>
  <c r="A8" i="90"/>
  <c r="C7" i="90"/>
  <c r="B7" i="90"/>
  <c r="A7" i="90"/>
  <c r="D2" i="90"/>
  <c r="D1" i="90"/>
  <c r="C46" i="89"/>
  <c r="B46" i="89"/>
  <c r="A46" i="89"/>
  <c r="C45" i="89"/>
  <c r="B45" i="89"/>
  <c r="A45" i="89"/>
  <c r="C44" i="89"/>
  <c r="B44" i="89"/>
  <c r="A44" i="89"/>
  <c r="C43" i="89"/>
  <c r="B43" i="89"/>
  <c r="A43" i="89"/>
  <c r="C42" i="89"/>
  <c r="B42" i="89"/>
  <c r="A42" i="89"/>
  <c r="C41" i="89"/>
  <c r="B41" i="89"/>
  <c r="A41" i="89"/>
  <c r="C40" i="89"/>
  <c r="B40" i="89"/>
  <c r="A40" i="89"/>
  <c r="C39" i="89"/>
  <c r="B39" i="89"/>
  <c r="A39" i="89"/>
  <c r="C38" i="89"/>
  <c r="B38" i="89"/>
  <c r="A38" i="89"/>
  <c r="C37" i="89"/>
  <c r="B37" i="89"/>
  <c r="A37" i="89"/>
  <c r="C36" i="89"/>
  <c r="B36" i="89"/>
  <c r="A36" i="89"/>
  <c r="C35" i="89"/>
  <c r="B35" i="89"/>
  <c r="A35" i="89"/>
  <c r="C34" i="89"/>
  <c r="B34" i="89"/>
  <c r="A34" i="89"/>
  <c r="C33" i="89"/>
  <c r="B33" i="89"/>
  <c r="A33" i="89"/>
  <c r="C32" i="89"/>
  <c r="B32" i="89"/>
  <c r="A32" i="89"/>
  <c r="C31" i="89"/>
  <c r="B31" i="89"/>
  <c r="A31" i="89"/>
  <c r="C30" i="89"/>
  <c r="B30" i="89"/>
  <c r="A30" i="89"/>
  <c r="C29" i="89"/>
  <c r="B29" i="89"/>
  <c r="A29" i="89"/>
  <c r="C28" i="89"/>
  <c r="B28" i="89"/>
  <c r="A28" i="89"/>
  <c r="C27" i="89"/>
  <c r="B27" i="89"/>
  <c r="A27" i="89"/>
  <c r="C26" i="89"/>
  <c r="B26" i="89"/>
  <c r="A26" i="89"/>
  <c r="C25" i="89"/>
  <c r="B25" i="89"/>
  <c r="A25" i="89"/>
  <c r="C24" i="89"/>
  <c r="B24" i="89"/>
  <c r="A24" i="89"/>
  <c r="C23" i="89"/>
  <c r="B23" i="89"/>
  <c r="A23" i="89"/>
  <c r="C22" i="89"/>
  <c r="B22" i="89"/>
  <c r="A22" i="89"/>
  <c r="C21" i="89"/>
  <c r="B21" i="89"/>
  <c r="A21" i="89"/>
  <c r="C20" i="89"/>
  <c r="B20" i="89"/>
  <c r="A20" i="89"/>
  <c r="C19" i="89"/>
  <c r="B19" i="89"/>
  <c r="A19" i="89"/>
  <c r="C18" i="89"/>
  <c r="B18" i="89"/>
  <c r="A18" i="89"/>
  <c r="C17" i="89"/>
  <c r="B17" i="89"/>
  <c r="A17" i="89"/>
  <c r="C16" i="89"/>
  <c r="B16" i="89"/>
  <c r="A16" i="89"/>
  <c r="C15" i="89"/>
  <c r="B15" i="89"/>
  <c r="A15" i="89"/>
  <c r="C14" i="89"/>
  <c r="B14" i="89"/>
  <c r="A14" i="89"/>
  <c r="C13" i="89"/>
  <c r="B13" i="89"/>
  <c r="A13" i="89"/>
  <c r="C12" i="89"/>
  <c r="B12" i="89"/>
  <c r="A12" i="89"/>
  <c r="C11" i="89"/>
  <c r="B11" i="89"/>
  <c r="A11" i="89"/>
  <c r="C10" i="89"/>
  <c r="B10" i="89"/>
  <c r="A10" i="89"/>
  <c r="C9" i="89"/>
  <c r="B9" i="89"/>
  <c r="A9" i="89"/>
  <c r="C8" i="89"/>
  <c r="B8" i="89"/>
  <c r="A8" i="89"/>
  <c r="C7" i="89"/>
  <c r="B7" i="89"/>
  <c r="A7" i="89"/>
  <c r="D2" i="89"/>
  <c r="D1" i="89"/>
  <c r="C46" i="88"/>
  <c r="B46" i="88"/>
  <c r="A46" i="88"/>
  <c r="C45" i="88"/>
  <c r="B45" i="88"/>
  <c r="A45" i="88"/>
  <c r="C44" i="88"/>
  <c r="B44" i="88"/>
  <c r="A44" i="88"/>
  <c r="C43" i="88"/>
  <c r="B43" i="88"/>
  <c r="A43" i="88"/>
  <c r="C42" i="88"/>
  <c r="B42" i="88"/>
  <c r="A42" i="88"/>
  <c r="C41" i="88"/>
  <c r="B41" i="88"/>
  <c r="A41" i="88"/>
  <c r="C40" i="88"/>
  <c r="B40" i="88"/>
  <c r="A40" i="88"/>
  <c r="C39" i="88"/>
  <c r="B39" i="88"/>
  <c r="A39" i="88"/>
  <c r="C38" i="88"/>
  <c r="B38" i="88"/>
  <c r="A38" i="88"/>
  <c r="C37" i="88"/>
  <c r="B37" i="88"/>
  <c r="A37" i="88"/>
  <c r="C36" i="88"/>
  <c r="B36" i="88"/>
  <c r="A36" i="88"/>
  <c r="C35" i="88"/>
  <c r="B35" i="88"/>
  <c r="A35" i="88"/>
  <c r="C34" i="88"/>
  <c r="B34" i="88"/>
  <c r="A34" i="88"/>
  <c r="C33" i="88"/>
  <c r="B33" i="88"/>
  <c r="A33" i="88"/>
  <c r="C32" i="88"/>
  <c r="B32" i="88"/>
  <c r="A32" i="88"/>
  <c r="C31" i="88"/>
  <c r="B31" i="88"/>
  <c r="A31" i="88"/>
  <c r="C30" i="88"/>
  <c r="B30" i="88"/>
  <c r="A30" i="88"/>
  <c r="C29" i="88"/>
  <c r="B29" i="88"/>
  <c r="A29" i="88"/>
  <c r="C28" i="88"/>
  <c r="B28" i="88"/>
  <c r="A28" i="88"/>
  <c r="C27" i="88"/>
  <c r="B27" i="88"/>
  <c r="A27" i="88"/>
  <c r="C26" i="88"/>
  <c r="B26" i="88"/>
  <c r="A26" i="88"/>
  <c r="C25" i="88"/>
  <c r="B25" i="88"/>
  <c r="A25" i="88"/>
  <c r="C24" i="88"/>
  <c r="B24" i="88"/>
  <c r="A24" i="88"/>
  <c r="C23" i="88"/>
  <c r="B23" i="88"/>
  <c r="A23" i="88"/>
  <c r="C22" i="88"/>
  <c r="B22" i="88"/>
  <c r="A22" i="88"/>
  <c r="C21" i="88"/>
  <c r="B21" i="88"/>
  <c r="A21" i="88"/>
  <c r="C20" i="88"/>
  <c r="B20" i="88"/>
  <c r="A20" i="88"/>
  <c r="C19" i="88"/>
  <c r="B19" i="88"/>
  <c r="A19" i="88"/>
  <c r="C18" i="88"/>
  <c r="B18" i="88"/>
  <c r="A18" i="88"/>
  <c r="C17" i="88"/>
  <c r="B17" i="88"/>
  <c r="A17" i="88"/>
  <c r="C16" i="88"/>
  <c r="B16" i="88"/>
  <c r="A16" i="88"/>
  <c r="C15" i="88"/>
  <c r="B15" i="88"/>
  <c r="A15" i="88"/>
  <c r="C14" i="88"/>
  <c r="B14" i="88"/>
  <c r="A14" i="88"/>
  <c r="C13" i="88"/>
  <c r="B13" i="88"/>
  <c r="A13" i="88"/>
  <c r="C12" i="88"/>
  <c r="B12" i="88"/>
  <c r="A12" i="88"/>
  <c r="C11" i="88"/>
  <c r="B11" i="88"/>
  <c r="A11" i="88"/>
  <c r="C10" i="88"/>
  <c r="B10" i="88"/>
  <c r="A10" i="88"/>
  <c r="C9" i="88"/>
  <c r="B9" i="88"/>
  <c r="A9" i="88"/>
  <c r="C8" i="88"/>
  <c r="B8" i="88"/>
  <c r="A8" i="88"/>
  <c r="C7" i="88"/>
  <c r="B7" i="88"/>
  <c r="A7" i="88"/>
  <c r="D2" i="88"/>
  <c r="D1" i="88"/>
  <c r="C46" i="87"/>
  <c r="B46" i="87"/>
  <c r="A46" i="87"/>
  <c r="C45" i="87"/>
  <c r="B45" i="87"/>
  <c r="A45" i="87"/>
  <c r="C44" i="87"/>
  <c r="B44" i="87"/>
  <c r="A44" i="87"/>
  <c r="C43" i="87"/>
  <c r="B43" i="87"/>
  <c r="A43" i="87"/>
  <c r="C42" i="87"/>
  <c r="B42" i="87"/>
  <c r="A42" i="87"/>
  <c r="C41" i="87"/>
  <c r="B41" i="87"/>
  <c r="A41" i="87"/>
  <c r="C40" i="87"/>
  <c r="B40" i="87"/>
  <c r="A40" i="87"/>
  <c r="C39" i="87"/>
  <c r="B39" i="87"/>
  <c r="A39" i="87"/>
  <c r="C38" i="87"/>
  <c r="B38" i="87"/>
  <c r="A38" i="87"/>
  <c r="C37" i="87"/>
  <c r="B37" i="87"/>
  <c r="A37" i="87"/>
  <c r="C36" i="87"/>
  <c r="B36" i="87"/>
  <c r="A36" i="87"/>
  <c r="C35" i="87"/>
  <c r="B35" i="87"/>
  <c r="A35" i="87"/>
  <c r="C34" i="87"/>
  <c r="B34" i="87"/>
  <c r="A34" i="87"/>
  <c r="C33" i="87"/>
  <c r="B33" i="87"/>
  <c r="A33" i="87"/>
  <c r="C32" i="87"/>
  <c r="B32" i="87"/>
  <c r="A32" i="87"/>
  <c r="C31" i="87"/>
  <c r="B31" i="87"/>
  <c r="A31" i="87"/>
  <c r="C30" i="87"/>
  <c r="B30" i="87"/>
  <c r="A30" i="87"/>
  <c r="C29" i="87"/>
  <c r="B29" i="87"/>
  <c r="A29" i="87"/>
  <c r="C28" i="87"/>
  <c r="B28" i="87"/>
  <c r="A28" i="87"/>
  <c r="C27" i="87"/>
  <c r="B27" i="87"/>
  <c r="A27" i="87"/>
  <c r="C26" i="87"/>
  <c r="B26" i="87"/>
  <c r="A26" i="87"/>
  <c r="C25" i="87"/>
  <c r="B25" i="87"/>
  <c r="A25" i="87"/>
  <c r="C24" i="87"/>
  <c r="B24" i="87"/>
  <c r="A24" i="87"/>
  <c r="C23" i="87"/>
  <c r="B23" i="87"/>
  <c r="A23" i="87"/>
  <c r="C22" i="87"/>
  <c r="B22" i="87"/>
  <c r="A22" i="87"/>
  <c r="C21" i="87"/>
  <c r="B21" i="87"/>
  <c r="A21" i="87"/>
  <c r="C20" i="87"/>
  <c r="B20" i="87"/>
  <c r="A20" i="87"/>
  <c r="C19" i="87"/>
  <c r="B19" i="87"/>
  <c r="A19" i="87"/>
  <c r="C18" i="87"/>
  <c r="B18" i="87"/>
  <c r="A18" i="87"/>
  <c r="C17" i="87"/>
  <c r="B17" i="87"/>
  <c r="A17" i="87"/>
  <c r="C16" i="87"/>
  <c r="B16" i="87"/>
  <c r="A16" i="87"/>
  <c r="C15" i="87"/>
  <c r="B15" i="87"/>
  <c r="A15" i="87"/>
  <c r="C14" i="87"/>
  <c r="B14" i="87"/>
  <c r="A14" i="87"/>
  <c r="C13" i="87"/>
  <c r="B13" i="87"/>
  <c r="A13" i="87"/>
  <c r="C12" i="87"/>
  <c r="B12" i="87"/>
  <c r="A12" i="87"/>
  <c r="C11" i="87"/>
  <c r="B11" i="87"/>
  <c r="A11" i="87"/>
  <c r="C10" i="87"/>
  <c r="B10" i="87"/>
  <c r="A10" i="87"/>
  <c r="C9" i="87"/>
  <c r="B9" i="87"/>
  <c r="A9" i="87"/>
  <c r="C8" i="87"/>
  <c r="B8" i="87"/>
  <c r="A8" i="87"/>
  <c r="C7" i="87"/>
  <c r="B7" i="87"/>
  <c r="A7" i="87"/>
  <c r="D2" i="87"/>
  <c r="D1" i="87"/>
  <c r="C46" i="86"/>
  <c r="B46" i="86"/>
  <c r="A46" i="86"/>
  <c r="C45" i="86"/>
  <c r="B45" i="86"/>
  <c r="A45" i="86"/>
  <c r="C44" i="86"/>
  <c r="B44" i="86"/>
  <c r="A44" i="86"/>
  <c r="C43" i="86"/>
  <c r="B43" i="86"/>
  <c r="A43" i="86"/>
  <c r="C42" i="86"/>
  <c r="B42" i="86"/>
  <c r="A42" i="86"/>
  <c r="C41" i="86"/>
  <c r="B41" i="86"/>
  <c r="A41" i="86"/>
  <c r="C40" i="86"/>
  <c r="B40" i="86"/>
  <c r="A40" i="86"/>
  <c r="C39" i="86"/>
  <c r="B39" i="86"/>
  <c r="A39" i="86"/>
  <c r="C38" i="86"/>
  <c r="B38" i="86"/>
  <c r="A38" i="86"/>
  <c r="C37" i="86"/>
  <c r="B37" i="86"/>
  <c r="A37" i="86"/>
  <c r="C36" i="86"/>
  <c r="B36" i="86"/>
  <c r="A36" i="86"/>
  <c r="C35" i="86"/>
  <c r="B35" i="86"/>
  <c r="A35" i="86"/>
  <c r="C34" i="86"/>
  <c r="B34" i="86"/>
  <c r="A34" i="86"/>
  <c r="C33" i="86"/>
  <c r="B33" i="86"/>
  <c r="A33" i="86"/>
  <c r="C32" i="86"/>
  <c r="B32" i="86"/>
  <c r="A32" i="86"/>
  <c r="C31" i="86"/>
  <c r="B31" i="86"/>
  <c r="A31" i="86"/>
  <c r="C30" i="86"/>
  <c r="B30" i="86"/>
  <c r="A30" i="86"/>
  <c r="C29" i="86"/>
  <c r="B29" i="86"/>
  <c r="A29" i="86"/>
  <c r="C28" i="86"/>
  <c r="B28" i="86"/>
  <c r="A28" i="86"/>
  <c r="C27" i="86"/>
  <c r="B27" i="86"/>
  <c r="A27" i="86"/>
  <c r="C26" i="86"/>
  <c r="B26" i="86"/>
  <c r="A26" i="86"/>
  <c r="C25" i="86"/>
  <c r="B25" i="86"/>
  <c r="A25" i="86"/>
  <c r="C24" i="86"/>
  <c r="B24" i="86"/>
  <c r="A24" i="86"/>
  <c r="C23" i="86"/>
  <c r="B23" i="86"/>
  <c r="A23" i="86"/>
  <c r="C22" i="86"/>
  <c r="B22" i="86"/>
  <c r="A22" i="86"/>
  <c r="C21" i="86"/>
  <c r="B21" i="86"/>
  <c r="A21" i="86"/>
  <c r="C20" i="86"/>
  <c r="B20" i="86"/>
  <c r="A20" i="86"/>
  <c r="C19" i="86"/>
  <c r="B19" i="86"/>
  <c r="A19" i="86"/>
  <c r="C18" i="86"/>
  <c r="B18" i="86"/>
  <c r="A18" i="86"/>
  <c r="C17" i="86"/>
  <c r="B17" i="86"/>
  <c r="A17" i="86"/>
  <c r="C16" i="86"/>
  <c r="B16" i="86"/>
  <c r="A16" i="86"/>
  <c r="C15" i="86"/>
  <c r="B15" i="86"/>
  <c r="A15" i="86"/>
  <c r="C14" i="86"/>
  <c r="B14" i="86"/>
  <c r="A14" i="86"/>
  <c r="C13" i="86"/>
  <c r="B13" i="86"/>
  <c r="A13" i="86"/>
  <c r="C12" i="86"/>
  <c r="B12" i="86"/>
  <c r="A12" i="86"/>
  <c r="C11" i="86"/>
  <c r="B11" i="86"/>
  <c r="A11" i="86"/>
  <c r="C10" i="86"/>
  <c r="B10" i="86"/>
  <c r="A10" i="86"/>
  <c r="C9" i="86"/>
  <c r="B9" i="86"/>
  <c r="A9" i="86"/>
  <c r="C8" i="86"/>
  <c r="B8" i="86"/>
  <c r="A8" i="86"/>
  <c r="C7" i="86"/>
  <c r="B7" i="86"/>
  <c r="A7" i="86"/>
  <c r="D2" i="86"/>
  <c r="D1" i="86"/>
  <c r="C46" i="85"/>
  <c r="B46" i="85"/>
  <c r="A46" i="85"/>
  <c r="C45" i="85"/>
  <c r="B45" i="85"/>
  <c r="A45" i="85"/>
  <c r="C44" i="85"/>
  <c r="B44" i="85"/>
  <c r="A44" i="85"/>
  <c r="C43" i="85"/>
  <c r="B43" i="85"/>
  <c r="A43" i="85"/>
  <c r="C42" i="85"/>
  <c r="B42" i="85"/>
  <c r="A42" i="85"/>
  <c r="C41" i="85"/>
  <c r="B41" i="85"/>
  <c r="A41" i="85"/>
  <c r="C40" i="85"/>
  <c r="B40" i="85"/>
  <c r="A40" i="85"/>
  <c r="C39" i="85"/>
  <c r="B39" i="85"/>
  <c r="A39" i="85"/>
  <c r="C38" i="85"/>
  <c r="B38" i="85"/>
  <c r="A38" i="85"/>
  <c r="C37" i="85"/>
  <c r="B37" i="85"/>
  <c r="A37" i="85"/>
  <c r="C36" i="85"/>
  <c r="B36" i="85"/>
  <c r="A36" i="85"/>
  <c r="C35" i="85"/>
  <c r="B35" i="85"/>
  <c r="A35" i="85"/>
  <c r="C34" i="85"/>
  <c r="B34" i="85"/>
  <c r="A34" i="85"/>
  <c r="C33" i="85"/>
  <c r="B33" i="85"/>
  <c r="A33" i="85"/>
  <c r="C32" i="85"/>
  <c r="B32" i="85"/>
  <c r="A32" i="85"/>
  <c r="C31" i="85"/>
  <c r="B31" i="85"/>
  <c r="A31" i="85"/>
  <c r="C30" i="85"/>
  <c r="B30" i="85"/>
  <c r="A30" i="85"/>
  <c r="C29" i="85"/>
  <c r="B29" i="85"/>
  <c r="A29" i="85"/>
  <c r="C28" i="85"/>
  <c r="B28" i="85"/>
  <c r="A28" i="85"/>
  <c r="C27" i="85"/>
  <c r="B27" i="85"/>
  <c r="A27" i="85"/>
  <c r="C26" i="85"/>
  <c r="B26" i="85"/>
  <c r="A26" i="85"/>
  <c r="C25" i="85"/>
  <c r="B25" i="85"/>
  <c r="A25" i="85"/>
  <c r="C24" i="85"/>
  <c r="B24" i="85"/>
  <c r="A24" i="85"/>
  <c r="C23" i="85"/>
  <c r="B23" i="85"/>
  <c r="A23" i="85"/>
  <c r="C22" i="85"/>
  <c r="B22" i="85"/>
  <c r="A22" i="85"/>
  <c r="C21" i="85"/>
  <c r="B21" i="85"/>
  <c r="A21" i="85"/>
  <c r="C20" i="85"/>
  <c r="B20" i="85"/>
  <c r="A20" i="85"/>
  <c r="C19" i="85"/>
  <c r="B19" i="85"/>
  <c r="A19" i="85"/>
  <c r="C18" i="85"/>
  <c r="B18" i="85"/>
  <c r="A18" i="85"/>
  <c r="C17" i="85"/>
  <c r="B17" i="85"/>
  <c r="A17" i="85"/>
  <c r="C16" i="85"/>
  <c r="B16" i="85"/>
  <c r="A16" i="85"/>
  <c r="C15" i="85"/>
  <c r="B15" i="85"/>
  <c r="A15" i="85"/>
  <c r="C14" i="85"/>
  <c r="B14" i="85"/>
  <c r="A14" i="85"/>
  <c r="C13" i="85"/>
  <c r="B13" i="85"/>
  <c r="A13" i="85"/>
  <c r="C12" i="85"/>
  <c r="B12" i="85"/>
  <c r="A12" i="85"/>
  <c r="C11" i="85"/>
  <c r="B11" i="85"/>
  <c r="A11" i="85"/>
  <c r="C10" i="85"/>
  <c r="B10" i="85"/>
  <c r="A10" i="85"/>
  <c r="C9" i="85"/>
  <c r="B9" i="85"/>
  <c r="A9" i="85"/>
  <c r="C8" i="85"/>
  <c r="B8" i="85"/>
  <c r="A8" i="85"/>
  <c r="C7" i="85"/>
  <c r="B7" i="85"/>
  <c r="A7" i="85"/>
  <c r="D2" i="85"/>
  <c r="D1" i="85"/>
  <c r="C46" i="84"/>
  <c r="B46" i="84"/>
  <c r="A46" i="84"/>
  <c r="C45" i="84"/>
  <c r="B45" i="84"/>
  <c r="A45" i="84"/>
  <c r="C44" i="84"/>
  <c r="B44" i="84"/>
  <c r="A44" i="84"/>
  <c r="C43" i="84"/>
  <c r="B43" i="84"/>
  <c r="A43" i="84"/>
  <c r="C42" i="84"/>
  <c r="B42" i="84"/>
  <c r="A42" i="84"/>
  <c r="C41" i="84"/>
  <c r="B41" i="84"/>
  <c r="A41" i="84"/>
  <c r="C40" i="84"/>
  <c r="B40" i="84"/>
  <c r="A40" i="84"/>
  <c r="C39" i="84"/>
  <c r="B39" i="84"/>
  <c r="A39" i="84"/>
  <c r="C38" i="84"/>
  <c r="B38" i="84"/>
  <c r="A38" i="84"/>
  <c r="C37" i="84"/>
  <c r="B37" i="84"/>
  <c r="A37" i="84"/>
  <c r="C36" i="84"/>
  <c r="B36" i="84"/>
  <c r="A36" i="84"/>
  <c r="C35" i="84"/>
  <c r="B35" i="84"/>
  <c r="A35" i="84"/>
  <c r="C34" i="84"/>
  <c r="B34" i="84"/>
  <c r="A34" i="84"/>
  <c r="C33" i="84"/>
  <c r="B33" i="84"/>
  <c r="A33" i="84"/>
  <c r="C32" i="84"/>
  <c r="B32" i="84"/>
  <c r="A32" i="84"/>
  <c r="C31" i="84"/>
  <c r="B31" i="84"/>
  <c r="A31" i="84"/>
  <c r="C30" i="84"/>
  <c r="B30" i="84"/>
  <c r="A30" i="84"/>
  <c r="C29" i="84"/>
  <c r="B29" i="84"/>
  <c r="A29" i="84"/>
  <c r="C28" i="84"/>
  <c r="B28" i="84"/>
  <c r="A28" i="84"/>
  <c r="C27" i="84"/>
  <c r="B27" i="84"/>
  <c r="A27" i="84"/>
  <c r="C26" i="84"/>
  <c r="B26" i="84"/>
  <c r="A26" i="84"/>
  <c r="C25" i="84"/>
  <c r="B25" i="84"/>
  <c r="A25" i="84"/>
  <c r="C24" i="84"/>
  <c r="B24" i="84"/>
  <c r="A24" i="84"/>
  <c r="C23" i="84"/>
  <c r="B23" i="84"/>
  <c r="A23" i="84"/>
  <c r="C22" i="84"/>
  <c r="B22" i="84"/>
  <c r="A22" i="84"/>
  <c r="C21" i="84"/>
  <c r="B21" i="84"/>
  <c r="A21" i="84"/>
  <c r="C20" i="84"/>
  <c r="B20" i="84"/>
  <c r="A20" i="84"/>
  <c r="C19" i="84"/>
  <c r="B19" i="84"/>
  <c r="A19" i="84"/>
  <c r="C18" i="84"/>
  <c r="B18" i="84"/>
  <c r="A18" i="84"/>
  <c r="C17" i="84"/>
  <c r="B17" i="84"/>
  <c r="A17" i="84"/>
  <c r="C16" i="84"/>
  <c r="B16" i="84"/>
  <c r="A16" i="84"/>
  <c r="C15" i="84"/>
  <c r="B15" i="84"/>
  <c r="A15" i="84"/>
  <c r="C14" i="84"/>
  <c r="B14" i="84"/>
  <c r="A14" i="84"/>
  <c r="C13" i="84"/>
  <c r="B13" i="84"/>
  <c r="A13" i="84"/>
  <c r="C12" i="84"/>
  <c r="B12" i="84"/>
  <c r="A12" i="84"/>
  <c r="C11" i="84"/>
  <c r="B11" i="84"/>
  <c r="A11" i="84"/>
  <c r="C10" i="84"/>
  <c r="B10" i="84"/>
  <c r="A10" i="84"/>
  <c r="C9" i="84"/>
  <c r="B9" i="84"/>
  <c r="A9" i="84"/>
  <c r="C8" i="84"/>
  <c r="B8" i="84"/>
  <c r="A8" i="84"/>
  <c r="C7" i="84"/>
  <c r="B7" i="84"/>
  <c r="A7" i="84"/>
  <c r="D2" i="84"/>
  <c r="D1" i="84"/>
  <c r="C46" i="83"/>
  <c r="B46" i="83"/>
  <c r="A46" i="83"/>
  <c r="C45" i="83"/>
  <c r="B45" i="83"/>
  <c r="A45" i="83"/>
  <c r="C44" i="83"/>
  <c r="B44" i="83"/>
  <c r="A44" i="83"/>
  <c r="C43" i="83"/>
  <c r="B43" i="83"/>
  <c r="A43" i="83"/>
  <c r="C42" i="83"/>
  <c r="B42" i="83"/>
  <c r="A42" i="83"/>
  <c r="C41" i="83"/>
  <c r="B41" i="83"/>
  <c r="A41" i="83"/>
  <c r="C40" i="83"/>
  <c r="B40" i="83"/>
  <c r="A40" i="83"/>
  <c r="C39" i="83"/>
  <c r="B39" i="83"/>
  <c r="A39" i="83"/>
  <c r="C38" i="83"/>
  <c r="B38" i="83"/>
  <c r="A38" i="83"/>
  <c r="C37" i="83"/>
  <c r="B37" i="83"/>
  <c r="A37" i="83"/>
  <c r="C36" i="83"/>
  <c r="B36" i="83"/>
  <c r="A36" i="83"/>
  <c r="C35" i="83"/>
  <c r="B35" i="83"/>
  <c r="A35" i="83"/>
  <c r="C34" i="83"/>
  <c r="B34" i="83"/>
  <c r="A34" i="83"/>
  <c r="C33" i="83"/>
  <c r="B33" i="83"/>
  <c r="A33" i="83"/>
  <c r="C32" i="83"/>
  <c r="B32" i="83"/>
  <c r="A32" i="83"/>
  <c r="C31" i="83"/>
  <c r="B31" i="83"/>
  <c r="A31" i="83"/>
  <c r="C30" i="83"/>
  <c r="B30" i="83"/>
  <c r="A30" i="83"/>
  <c r="C29" i="83"/>
  <c r="B29" i="83"/>
  <c r="A29" i="83"/>
  <c r="C28" i="83"/>
  <c r="B28" i="83"/>
  <c r="A28" i="83"/>
  <c r="C27" i="83"/>
  <c r="B27" i="83"/>
  <c r="A27" i="83"/>
  <c r="C26" i="83"/>
  <c r="B26" i="83"/>
  <c r="A26" i="83"/>
  <c r="C25" i="83"/>
  <c r="B25" i="83"/>
  <c r="A25" i="83"/>
  <c r="C24" i="83"/>
  <c r="B24" i="83"/>
  <c r="A24" i="83"/>
  <c r="C23" i="83"/>
  <c r="B23" i="83"/>
  <c r="A23" i="83"/>
  <c r="C22" i="83"/>
  <c r="B22" i="83"/>
  <c r="A22" i="83"/>
  <c r="C21" i="83"/>
  <c r="B21" i="83"/>
  <c r="A21" i="83"/>
  <c r="C20" i="83"/>
  <c r="B20" i="83"/>
  <c r="A20" i="83"/>
  <c r="C19" i="83"/>
  <c r="B19" i="83"/>
  <c r="A19" i="83"/>
  <c r="C18" i="83"/>
  <c r="B18" i="83"/>
  <c r="A18" i="83"/>
  <c r="C17" i="83"/>
  <c r="B17" i="83"/>
  <c r="A17" i="83"/>
  <c r="C16" i="83"/>
  <c r="B16" i="83"/>
  <c r="A16" i="83"/>
  <c r="C15" i="83"/>
  <c r="B15" i="83"/>
  <c r="A15" i="83"/>
  <c r="C14" i="83"/>
  <c r="B14" i="83"/>
  <c r="A14" i="83"/>
  <c r="C13" i="83"/>
  <c r="B13" i="83"/>
  <c r="A13" i="83"/>
  <c r="C12" i="83"/>
  <c r="B12" i="83"/>
  <c r="A12" i="83"/>
  <c r="C11" i="83"/>
  <c r="B11" i="83"/>
  <c r="A11" i="83"/>
  <c r="C10" i="83"/>
  <c r="B10" i="83"/>
  <c r="A10" i="83"/>
  <c r="C9" i="83"/>
  <c r="B9" i="83"/>
  <c r="A9" i="83"/>
  <c r="C8" i="83"/>
  <c r="B8" i="83"/>
  <c r="A8" i="83"/>
  <c r="C7" i="83"/>
  <c r="B7" i="83"/>
  <c r="A7" i="83"/>
  <c r="D2" i="83"/>
  <c r="D1" i="83"/>
  <c r="C46" i="82"/>
  <c r="B46" i="82"/>
  <c r="A46" i="82"/>
  <c r="C45" i="82"/>
  <c r="B45" i="82"/>
  <c r="A45" i="82"/>
  <c r="C44" i="82"/>
  <c r="B44" i="82"/>
  <c r="A44" i="82"/>
  <c r="C43" i="82"/>
  <c r="B43" i="82"/>
  <c r="A43" i="82"/>
  <c r="C42" i="82"/>
  <c r="B42" i="82"/>
  <c r="A42" i="82"/>
  <c r="C41" i="82"/>
  <c r="B41" i="82"/>
  <c r="A41" i="82"/>
  <c r="C40" i="82"/>
  <c r="B40" i="82"/>
  <c r="A40" i="82"/>
  <c r="C39" i="82"/>
  <c r="B39" i="82"/>
  <c r="A39" i="82"/>
  <c r="C38" i="82"/>
  <c r="B38" i="82"/>
  <c r="A38" i="82"/>
  <c r="C37" i="82"/>
  <c r="B37" i="82"/>
  <c r="A37" i="82"/>
  <c r="C36" i="82"/>
  <c r="B36" i="82"/>
  <c r="A36" i="82"/>
  <c r="C35" i="82"/>
  <c r="B35" i="82"/>
  <c r="A35" i="82"/>
  <c r="C34" i="82"/>
  <c r="B34" i="82"/>
  <c r="A34" i="82"/>
  <c r="C33" i="82"/>
  <c r="B33" i="82"/>
  <c r="A33" i="82"/>
  <c r="C32" i="82"/>
  <c r="B32" i="82"/>
  <c r="A32" i="82"/>
  <c r="C31" i="82"/>
  <c r="B31" i="82"/>
  <c r="A31" i="82"/>
  <c r="C30" i="82"/>
  <c r="B30" i="82"/>
  <c r="A30" i="82"/>
  <c r="C29" i="82"/>
  <c r="B29" i="82"/>
  <c r="A29" i="82"/>
  <c r="C28" i="82"/>
  <c r="B28" i="82"/>
  <c r="A28" i="82"/>
  <c r="C27" i="82"/>
  <c r="B27" i="82"/>
  <c r="A27" i="82"/>
  <c r="C26" i="82"/>
  <c r="B26" i="82"/>
  <c r="A26" i="82"/>
  <c r="C25" i="82"/>
  <c r="B25" i="82"/>
  <c r="A25" i="82"/>
  <c r="C24" i="82"/>
  <c r="B24" i="82"/>
  <c r="A24" i="82"/>
  <c r="C23" i="82"/>
  <c r="B23" i="82"/>
  <c r="A23" i="82"/>
  <c r="C22" i="82"/>
  <c r="B22" i="82"/>
  <c r="A22" i="82"/>
  <c r="C21" i="82"/>
  <c r="B21" i="82"/>
  <c r="A21" i="82"/>
  <c r="C20" i="82"/>
  <c r="B20" i="82"/>
  <c r="A20" i="82"/>
  <c r="C19" i="82"/>
  <c r="B19" i="82"/>
  <c r="A19" i="82"/>
  <c r="C18" i="82"/>
  <c r="B18" i="82"/>
  <c r="A18" i="82"/>
  <c r="C17" i="82"/>
  <c r="B17" i="82"/>
  <c r="A17" i="82"/>
  <c r="C16" i="82"/>
  <c r="B16" i="82"/>
  <c r="A16" i="82"/>
  <c r="C15" i="82"/>
  <c r="B15" i="82"/>
  <c r="A15" i="82"/>
  <c r="C14" i="82"/>
  <c r="B14" i="82"/>
  <c r="A14" i="82"/>
  <c r="C13" i="82"/>
  <c r="B13" i="82"/>
  <c r="A13" i="82"/>
  <c r="C12" i="82"/>
  <c r="B12" i="82"/>
  <c r="A12" i="82"/>
  <c r="C11" i="82"/>
  <c r="B11" i="82"/>
  <c r="A11" i="82"/>
  <c r="C10" i="82"/>
  <c r="B10" i="82"/>
  <c r="A10" i="82"/>
  <c r="C9" i="82"/>
  <c r="B9" i="82"/>
  <c r="A9" i="82"/>
  <c r="C8" i="82"/>
  <c r="B8" i="82"/>
  <c r="A8" i="82"/>
  <c r="C7" i="82"/>
  <c r="B7" i="82"/>
  <c r="A7" i="82"/>
  <c r="D2" i="82"/>
  <c r="D1" i="82"/>
  <c r="C46" i="81"/>
  <c r="B46" i="81"/>
  <c r="A46" i="81"/>
  <c r="C45" i="81"/>
  <c r="B45" i="81"/>
  <c r="A45" i="81"/>
  <c r="C44" i="81"/>
  <c r="B44" i="81"/>
  <c r="A44" i="81"/>
  <c r="C43" i="81"/>
  <c r="B43" i="81"/>
  <c r="A43" i="81"/>
  <c r="C42" i="81"/>
  <c r="B42" i="81"/>
  <c r="A42" i="81"/>
  <c r="C41" i="81"/>
  <c r="B41" i="81"/>
  <c r="A41" i="81"/>
  <c r="C40" i="81"/>
  <c r="B40" i="81"/>
  <c r="A40" i="81"/>
  <c r="C39" i="81"/>
  <c r="B39" i="81"/>
  <c r="A39" i="81"/>
  <c r="C38" i="81"/>
  <c r="B38" i="81"/>
  <c r="A38" i="81"/>
  <c r="C37" i="81"/>
  <c r="B37" i="81"/>
  <c r="A37" i="81"/>
  <c r="C36" i="81"/>
  <c r="B36" i="81"/>
  <c r="A36" i="81"/>
  <c r="C35" i="81"/>
  <c r="B35" i="81"/>
  <c r="A35" i="81"/>
  <c r="C34" i="81"/>
  <c r="B34" i="81"/>
  <c r="A34" i="81"/>
  <c r="C33" i="81"/>
  <c r="B33" i="81"/>
  <c r="A33" i="81"/>
  <c r="C32" i="81"/>
  <c r="B32" i="81"/>
  <c r="A32" i="81"/>
  <c r="C31" i="81"/>
  <c r="B31" i="81"/>
  <c r="A31" i="81"/>
  <c r="C30" i="81"/>
  <c r="B30" i="81"/>
  <c r="A30" i="81"/>
  <c r="C29" i="81"/>
  <c r="B29" i="81"/>
  <c r="A29" i="81"/>
  <c r="C28" i="81"/>
  <c r="B28" i="81"/>
  <c r="A28" i="81"/>
  <c r="C27" i="81"/>
  <c r="B27" i="81"/>
  <c r="A27" i="81"/>
  <c r="C26" i="81"/>
  <c r="B26" i="81"/>
  <c r="A26" i="81"/>
  <c r="C25" i="81"/>
  <c r="B25" i="81"/>
  <c r="A25" i="81"/>
  <c r="C24" i="81"/>
  <c r="B24" i="81"/>
  <c r="A24" i="81"/>
  <c r="C23" i="81"/>
  <c r="B23" i="81"/>
  <c r="A23" i="81"/>
  <c r="C22" i="81"/>
  <c r="B22" i="81"/>
  <c r="A22" i="81"/>
  <c r="C21" i="81"/>
  <c r="B21" i="81"/>
  <c r="A21" i="81"/>
  <c r="C20" i="81"/>
  <c r="B20" i="81"/>
  <c r="A20" i="81"/>
  <c r="C19" i="81"/>
  <c r="B19" i="81"/>
  <c r="A19" i="81"/>
  <c r="C18" i="81"/>
  <c r="B18" i="81"/>
  <c r="A18" i="81"/>
  <c r="C17" i="81"/>
  <c r="B17" i="81"/>
  <c r="A17" i="81"/>
  <c r="C16" i="81"/>
  <c r="B16" i="81"/>
  <c r="A16" i="81"/>
  <c r="C15" i="81"/>
  <c r="B15" i="81"/>
  <c r="A15" i="81"/>
  <c r="C14" i="81"/>
  <c r="B14" i="81"/>
  <c r="A14" i="81"/>
  <c r="C13" i="81"/>
  <c r="B13" i="81"/>
  <c r="A13" i="81"/>
  <c r="C12" i="81"/>
  <c r="B12" i="81"/>
  <c r="A12" i="81"/>
  <c r="C11" i="81"/>
  <c r="B11" i="81"/>
  <c r="A11" i="81"/>
  <c r="C10" i="81"/>
  <c r="B10" i="81"/>
  <c r="A10" i="81"/>
  <c r="C9" i="81"/>
  <c r="B9" i="81"/>
  <c r="A9" i="81"/>
  <c r="C8" i="81"/>
  <c r="B8" i="81"/>
  <c r="A8" i="81"/>
  <c r="C7" i="81"/>
  <c r="B7" i="81"/>
  <c r="A7" i="81"/>
  <c r="D2" i="81"/>
  <c r="D1" i="81"/>
  <c r="C46" i="80"/>
  <c r="B46" i="80"/>
  <c r="A46" i="80"/>
  <c r="C45" i="80"/>
  <c r="B45" i="80"/>
  <c r="A45" i="80"/>
  <c r="C44" i="80"/>
  <c r="B44" i="80"/>
  <c r="A44" i="80"/>
  <c r="C43" i="80"/>
  <c r="B43" i="80"/>
  <c r="A43" i="80"/>
  <c r="C42" i="80"/>
  <c r="B42" i="80"/>
  <c r="A42" i="80"/>
  <c r="C41" i="80"/>
  <c r="B41" i="80"/>
  <c r="A41" i="80"/>
  <c r="C40" i="80"/>
  <c r="B40" i="80"/>
  <c r="A40" i="80"/>
  <c r="C39" i="80"/>
  <c r="B39" i="80"/>
  <c r="A39" i="80"/>
  <c r="C38" i="80"/>
  <c r="B38" i="80"/>
  <c r="A38" i="80"/>
  <c r="C37" i="80"/>
  <c r="B37" i="80"/>
  <c r="A37" i="80"/>
  <c r="C36" i="80"/>
  <c r="B36" i="80"/>
  <c r="A36" i="80"/>
  <c r="C35" i="80"/>
  <c r="B35" i="80"/>
  <c r="A35" i="80"/>
  <c r="C34" i="80"/>
  <c r="B34" i="80"/>
  <c r="A34" i="80"/>
  <c r="C33" i="80"/>
  <c r="B33" i="80"/>
  <c r="A33" i="80"/>
  <c r="C32" i="80"/>
  <c r="B32" i="80"/>
  <c r="A32" i="80"/>
  <c r="C31" i="80"/>
  <c r="B31" i="80"/>
  <c r="A31" i="80"/>
  <c r="C30" i="80"/>
  <c r="B30" i="80"/>
  <c r="A30" i="80"/>
  <c r="C29" i="80"/>
  <c r="B29" i="80"/>
  <c r="A29" i="80"/>
  <c r="C28" i="80"/>
  <c r="B28" i="80"/>
  <c r="A28" i="80"/>
  <c r="C27" i="80"/>
  <c r="B27" i="80"/>
  <c r="A27" i="80"/>
  <c r="C26" i="80"/>
  <c r="B26" i="80"/>
  <c r="A26" i="80"/>
  <c r="C25" i="80"/>
  <c r="B25" i="80"/>
  <c r="A25" i="80"/>
  <c r="C24" i="80"/>
  <c r="B24" i="80"/>
  <c r="A24" i="80"/>
  <c r="C23" i="80"/>
  <c r="B23" i="80"/>
  <c r="A23" i="80"/>
  <c r="C22" i="80"/>
  <c r="B22" i="80"/>
  <c r="A22" i="80"/>
  <c r="C21" i="80"/>
  <c r="B21" i="80"/>
  <c r="A21" i="80"/>
  <c r="C20" i="80"/>
  <c r="B20" i="80"/>
  <c r="A20" i="80"/>
  <c r="C19" i="80"/>
  <c r="B19" i="80"/>
  <c r="A19" i="80"/>
  <c r="C18" i="80"/>
  <c r="B18" i="80"/>
  <c r="A18" i="80"/>
  <c r="C17" i="80"/>
  <c r="B17" i="80"/>
  <c r="A17" i="80"/>
  <c r="C16" i="80"/>
  <c r="B16" i="80"/>
  <c r="A16" i="80"/>
  <c r="C15" i="80"/>
  <c r="B15" i="80"/>
  <c r="A15" i="80"/>
  <c r="C14" i="80"/>
  <c r="B14" i="80"/>
  <c r="A14" i="80"/>
  <c r="C13" i="80"/>
  <c r="B13" i="80"/>
  <c r="A13" i="80"/>
  <c r="C12" i="80"/>
  <c r="B12" i="80"/>
  <c r="A12" i="80"/>
  <c r="C11" i="80"/>
  <c r="B11" i="80"/>
  <c r="A11" i="80"/>
  <c r="C10" i="80"/>
  <c r="B10" i="80"/>
  <c r="A10" i="80"/>
  <c r="C9" i="80"/>
  <c r="B9" i="80"/>
  <c r="A9" i="80"/>
  <c r="C8" i="80"/>
  <c r="B8" i="80"/>
  <c r="A8" i="80"/>
  <c r="C7" i="80"/>
  <c r="B7" i="80"/>
  <c r="A7" i="80"/>
  <c r="D4" i="96"/>
  <c r="D4" i="95"/>
  <c r="D4" i="94"/>
  <c r="D4" i="93"/>
  <c r="D4" i="92"/>
  <c r="D4" i="91"/>
  <c r="D4" i="90"/>
  <c r="D4" i="89"/>
  <c r="D4" i="88"/>
  <c r="D4" i="87"/>
  <c r="D4" i="86"/>
  <c r="D4" i="85"/>
  <c r="D4" i="84"/>
  <c r="D4" i="83"/>
  <c r="D4" i="82"/>
  <c r="D4" i="81"/>
  <c r="D4" i="80"/>
  <c r="D2" i="96" l="1"/>
  <c r="D1" i="96"/>
  <c r="D2" i="80" l="1"/>
  <c r="D1" i="80"/>
  <c r="J73" i="79" l="1"/>
  <c r="H4" i="79" l="1"/>
  <c r="J78" i="79" l="1"/>
  <c r="J77" i="79"/>
  <c r="C39" i="79"/>
  <c r="C38" i="79"/>
  <c r="C37" i="79"/>
  <c r="C36" i="79"/>
  <c r="C35" i="79"/>
  <c r="C34" i="79"/>
  <c r="C33" i="79"/>
  <c r="C31" i="79"/>
  <c r="C30" i="79"/>
  <c r="C29" i="79"/>
  <c r="C28" i="79"/>
  <c r="C26" i="79"/>
  <c r="C25" i="79"/>
  <c r="C24" i="79"/>
  <c r="C23" i="79"/>
  <c r="C22" i="79"/>
  <c r="C21" i="79"/>
  <c r="E4" i="79"/>
  <c r="E3" i="79"/>
  <c r="L1" i="79"/>
  <c r="H4" i="17" l="1"/>
  <c r="V167" i="63" l="1"/>
  <c r="U167" i="63"/>
  <c r="T167" i="63"/>
  <c r="S167" i="63"/>
  <c r="R167" i="63"/>
  <c r="Q167" i="63"/>
  <c r="P167" i="63"/>
  <c r="O167" i="63"/>
  <c r="N167" i="63"/>
  <c r="M167" i="63"/>
  <c r="L167" i="63"/>
  <c r="K167" i="63"/>
  <c r="J167" i="63"/>
  <c r="I167" i="63"/>
  <c r="H167" i="63"/>
  <c r="G167" i="63"/>
  <c r="F167" i="63"/>
  <c r="V166" i="63"/>
  <c r="U166" i="63"/>
  <c r="T166" i="63"/>
  <c r="S166" i="63"/>
  <c r="R166" i="63"/>
  <c r="Q166" i="63"/>
  <c r="P166" i="63"/>
  <c r="O166" i="63"/>
  <c r="N166" i="63"/>
  <c r="M166" i="63"/>
  <c r="L166" i="63"/>
  <c r="K166" i="63"/>
  <c r="J166" i="63"/>
  <c r="I166" i="63"/>
  <c r="H166" i="63"/>
  <c r="G166" i="63"/>
  <c r="F166" i="63"/>
  <c r="V163" i="63"/>
  <c r="U163" i="63"/>
  <c r="T163" i="63"/>
  <c r="S163" i="63"/>
  <c r="R163" i="63"/>
  <c r="Q163" i="63"/>
  <c r="P163" i="63"/>
  <c r="O163" i="63"/>
  <c r="N163" i="63"/>
  <c r="M163" i="63"/>
  <c r="L163" i="63"/>
  <c r="K163" i="63"/>
  <c r="J163" i="63"/>
  <c r="I163" i="63"/>
  <c r="H163" i="63"/>
  <c r="G163" i="63"/>
  <c r="F163" i="63"/>
  <c r="V162" i="63"/>
  <c r="U162" i="63"/>
  <c r="T162" i="63"/>
  <c r="S162" i="63"/>
  <c r="R162" i="63"/>
  <c r="Q162" i="63"/>
  <c r="P162" i="63"/>
  <c r="O162" i="63"/>
  <c r="N162" i="63"/>
  <c r="M162" i="63"/>
  <c r="L162" i="63"/>
  <c r="K162" i="63"/>
  <c r="J162" i="63"/>
  <c r="I162" i="63"/>
  <c r="H162" i="63"/>
  <c r="G162" i="63"/>
  <c r="F162" i="63"/>
  <c r="V159" i="63"/>
  <c r="U159" i="63"/>
  <c r="T159" i="63"/>
  <c r="S159" i="63"/>
  <c r="R159" i="63"/>
  <c r="Q159" i="63"/>
  <c r="P159" i="63"/>
  <c r="O159" i="63"/>
  <c r="N159" i="63"/>
  <c r="M159" i="63"/>
  <c r="L159" i="63"/>
  <c r="K159" i="63"/>
  <c r="J159" i="63"/>
  <c r="I159" i="63"/>
  <c r="H159" i="63"/>
  <c r="G159" i="63"/>
  <c r="F159" i="63"/>
  <c r="V158" i="63"/>
  <c r="U158" i="63"/>
  <c r="T158" i="63"/>
  <c r="S158" i="63"/>
  <c r="R158" i="63"/>
  <c r="Q158" i="63"/>
  <c r="P158" i="63"/>
  <c r="O158" i="63"/>
  <c r="N158" i="63"/>
  <c r="M158" i="63"/>
  <c r="L158" i="63"/>
  <c r="K158" i="63"/>
  <c r="J158" i="63"/>
  <c r="I158" i="63"/>
  <c r="H158" i="63"/>
  <c r="G158" i="63"/>
  <c r="F158" i="63"/>
  <c r="V155" i="63"/>
  <c r="U155" i="63"/>
  <c r="T155" i="63"/>
  <c r="S155" i="63"/>
  <c r="R155" i="63"/>
  <c r="Q155" i="63"/>
  <c r="P155" i="63"/>
  <c r="O155" i="63"/>
  <c r="N155" i="63"/>
  <c r="M155" i="63"/>
  <c r="L155" i="63"/>
  <c r="K155" i="63"/>
  <c r="J155" i="63"/>
  <c r="I155" i="63"/>
  <c r="H155" i="63"/>
  <c r="G155" i="63"/>
  <c r="F155" i="63"/>
  <c r="V154" i="63"/>
  <c r="U154" i="63"/>
  <c r="T154" i="63"/>
  <c r="S154" i="63"/>
  <c r="R154" i="63"/>
  <c r="Q154" i="63"/>
  <c r="P154" i="63"/>
  <c r="O154" i="63"/>
  <c r="N154" i="63"/>
  <c r="M154" i="63"/>
  <c r="L154" i="63"/>
  <c r="K154" i="63"/>
  <c r="J154" i="63"/>
  <c r="I154" i="63"/>
  <c r="H154" i="63"/>
  <c r="G154" i="63"/>
  <c r="F154" i="63"/>
  <c r="V151" i="63"/>
  <c r="U151" i="63"/>
  <c r="T151" i="63"/>
  <c r="S151" i="63"/>
  <c r="R151" i="63"/>
  <c r="Q151" i="63"/>
  <c r="P151" i="63"/>
  <c r="O151" i="63"/>
  <c r="N151" i="63"/>
  <c r="M151" i="63"/>
  <c r="L151" i="63"/>
  <c r="K151" i="63"/>
  <c r="J151" i="63"/>
  <c r="I151" i="63"/>
  <c r="H151" i="63"/>
  <c r="G151" i="63"/>
  <c r="F151" i="63"/>
  <c r="V150" i="63"/>
  <c r="U150" i="63"/>
  <c r="T150" i="63"/>
  <c r="S150" i="63"/>
  <c r="R150" i="63"/>
  <c r="Q150" i="63"/>
  <c r="P150" i="63"/>
  <c r="O150" i="63"/>
  <c r="N150" i="63"/>
  <c r="M150" i="63"/>
  <c r="L150" i="63"/>
  <c r="K150" i="63"/>
  <c r="J150" i="63"/>
  <c r="I150" i="63"/>
  <c r="H150" i="63"/>
  <c r="G150" i="63"/>
  <c r="F150" i="63"/>
  <c r="V147" i="63"/>
  <c r="U147" i="63"/>
  <c r="T147" i="63"/>
  <c r="S147" i="63"/>
  <c r="R147" i="63"/>
  <c r="Q147" i="63"/>
  <c r="P147" i="63"/>
  <c r="O147" i="63"/>
  <c r="N147" i="63"/>
  <c r="M147" i="63"/>
  <c r="L147" i="63"/>
  <c r="K147" i="63"/>
  <c r="J147" i="63"/>
  <c r="I147" i="63"/>
  <c r="H147" i="63"/>
  <c r="G147" i="63"/>
  <c r="F147" i="63"/>
  <c r="V146" i="63"/>
  <c r="U146" i="63"/>
  <c r="T146" i="63"/>
  <c r="S146" i="63"/>
  <c r="R146" i="63"/>
  <c r="Q146" i="63"/>
  <c r="P146" i="63"/>
  <c r="O146" i="63"/>
  <c r="N146" i="63"/>
  <c r="M146" i="63"/>
  <c r="L146" i="63"/>
  <c r="K146" i="63"/>
  <c r="J146" i="63"/>
  <c r="I146" i="63"/>
  <c r="H146" i="63"/>
  <c r="G146" i="63"/>
  <c r="F146" i="63"/>
  <c r="V143" i="63"/>
  <c r="U143" i="63"/>
  <c r="T143" i="63"/>
  <c r="S143" i="63"/>
  <c r="R143" i="63"/>
  <c r="Q143" i="63"/>
  <c r="P143" i="63"/>
  <c r="O143" i="63"/>
  <c r="N143" i="63"/>
  <c r="M143" i="63"/>
  <c r="L143" i="63"/>
  <c r="K143" i="63"/>
  <c r="J143" i="63"/>
  <c r="I143" i="63"/>
  <c r="H143" i="63"/>
  <c r="G143" i="63"/>
  <c r="F143" i="63"/>
  <c r="V142" i="63"/>
  <c r="U142" i="63"/>
  <c r="T142" i="63"/>
  <c r="S142" i="63"/>
  <c r="R142" i="63"/>
  <c r="Q142" i="63"/>
  <c r="P142" i="63"/>
  <c r="O142" i="63"/>
  <c r="N142" i="63"/>
  <c r="M142" i="63"/>
  <c r="L142" i="63"/>
  <c r="K142" i="63"/>
  <c r="J142" i="63"/>
  <c r="I142" i="63"/>
  <c r="H142" i="63"/>
  <c r="G142" i="63"/>
  <c r="F142" i="63"/>
  <c r="V139" i="63"/>
  <c r="U139" i="63"/>
  <c r="T139" i="63"/>
  <c r="S139" i="63"/>
  <c r="R139" i="63"/>
  <c r="Q139" i="63"/>
  <c r="P139" i="63"/>
  <c r="O139" i="63"/>
  <c r="N139" i="63"/>
  <c r="M139" i="63"/>
  <c r="L139" i="63"/>
  <c r="K139" i="63"/>
  <c r="J139" i="63"/>
  <c r="I139" i="63"/>
  <c r="H139" i="63"/>
  <c r="G139" i="63"/>
  <c r="F139" i="63"/>
  <c r="V138" i="63"/>
  <c r="U138" i="63"/>
  <c r="T138" i="63"/>
  <c r="S138" i="63"/>
  <c r="R138" i="63"/>
  <c r="Q138" i="63"/>
  <c r="P138" i="63"/>
  <c r="O138" i="63"/>
  <c r="N138" i="63"/>
  <c r="M138" i="63"/>
  <c r="L138" i="63"/>
  <c r="K138" i="63"/>
  <c r="J138" i="63"/>
  <c r="I138" i="63"/>
  <c r="H138" i="63"/>
  <c r="G138" i="63"/>
  <c r="F138" i="63"/>
  <c r="V135" i="63"/>
  <c r="U135" i="63"/>
  <c r="T135" i="63"/>
  <c r="S135" i="63"/>
  <c r="R135" i="63"/>
  <c r="Q135" i="63"/>
  <c r="P135" i="63"/>
  <c r="O135" i="63"/>
  <c r="N135" i="63"/>
  <c r="M135" i="63"/>
  <c r="L135" i="63"/>
  <c r="K135" i="63"/>
  <c r="J135" i="63"/>
  <c r="I135" i="63"/>
  <c r="H135" i="63"/>
  <c r="G135" i="63"/>
  <c r="F135" i="63"/>
  <c r="V134" i="63"/>
  <c r="U134" i="63"/>
  <c r="T134" i="63"/>
  <c r="S134" i="63"/>
  <c r="R134" i="63"/>
  <c r="Q134" i="63"/>
  <c r="P134" i="63"/>
  <c r="O134" i="63"/>
  <c r="N134" i="63"/>
  <c r="M134" i="63"/>
  <c r="L134" i="63"/>
  <c r="K134" i="63"/>
  <c r="J134" i="63"/>
  <c r="I134" i="63"/>
  <c r="H134" i="63"/>
  <c r="G134" i="63"/>
  <c r="F134" i="63"/>
  <c r="V131" i="63"/>
  <c r="U131" i="63"/>
  <c r="T131" i="63"/>
  <c r="S131" i="63"/>
  <c r="R131" i="63"/>
  <c r="Q131" i="63"/>
  <c r="P131" i="63"/>
  <c r="O131" i="63"/>
  <c r="N131" i="63"/>
  <c r="M131" i="63"/>
  <c r="L131" i="63"/>
  <c r="K131" i="63"/>
  <c r="J131" i="63"/>
  <c r="I131" i="63"/>
  <c r="H131" i="63"/>
  <c r="G131" i="63"/>
  <c r="F131" i="63"/>
  <c r="V130" i="63"/>
  <c r="U130" i="63"/>
  <c r="T130" i="63"/>
  <c r="S130" i="63"/>
  <c r="R130" i="63"/>
  <c r="Q130" i="63"/>
  <c r="P130" i="63"/>
  <c r="O130" i="63"/>
  <c r="N130" i="63"/>
  <c r="M130" i="63"/>
  <c r="L130" i="63"/>
  <c r="K130" i="63"/>
  <c r="J130" i="63"/>
  <c r="I130" i="63"/>
  <c r="H130" i="63"/>
  <c r="G130" i="63"/>
  <c r="F130" i="63"/>
  <c r="V127" i="63"/>
  <c r="U127" i="63"/>
  <c r="T127" i="63"/>
  <c r="S127" i="63"/>
  <c r="R127" i="63"/>
  <c r="Q127" i="63"/>
  <c r="P127" i="63"/>
  <c r="O127" i="63"/>
  <c r="N127" i="63"/>
  <c r="M127" i="63"/>
  <c r="L127" i="63"/>
  <c r="K127" i="63"/>
  <c r="J127" i="63"/>
  <c r="I127" i="63"/>
  <c r="H127" i="63"/>
  <c r="G127" i="63"/>
  <c r="F127" i="63"/>
  <c r="V126" i="63"/>
  <c r="U126" i="63"/>
  <c r="T126" i="63"/>
  <c r="S126" i="63"/>
  <c r="R126" i="63"/>
  <c r="Q126" i="63"/>
  <c r="P126" i="63"/>
  <c r="O126" i="63"/>
  <c r="N126" i="63"/>
  <c r="M126" i="63"/>
  <c r="L126" i="63"/>
  <c r="K126" i="63"/>
  <c r="J126" i="63"/>
  <c r="I126" i="63"/>
  <c r="H126" i="63"/>
  <c r="G126" i="63"/>
  <c r="F126" i="63"/>
  <c r="V123" i="63"/>
  <c r="U123" i="63"/>
  <c r="T123" i="63"/>
  <c r="S123" i="63"/>
  <c r="R123" i="63"/>
  <c r="Q123" i="63"/>
  <c r="P123" i="63"/>
  <c r="O123" i="63"/>
  <c r="N123" i="63"/>
  <c r="M123" i="63"/>
  <c r="L123" i="63"/>
  <c r="K123" i="63"/>
  <c r="J123" i="63"/>
  <c r="I123" i="63"/>
  <c r="H123" i="63"/>
  <c r="G123" i="63"/>
  <c r="F123" i="63"/>
  <c r="V122" i="63"/>
  <c r="U122" i="63"/>
  <c r="T122" i="63"/>
  <c r="S122" i="63"/>
  <c r="R122" i="63"/>
  <c r="Q122" i="63"/>
  <c r="P122" i="63"/>
  <c r="O122" i="63"/>
  <c r="N122" i="63"/>
  <c r="M122" i="63"/>
  <c r="L122" i="63"/>
  <c r="K122" i="63"/>
  <c r="J122" i="63"/>
  <c r="I122" i="63"/>
  <c r="H122" i="63"/>
  <c r="G122" i="63"/>
  <c r="F122" i="63"/>
  <c r="V119" i="63"/>
  <c r="U119" i="63"/>
  <c r="T119" i="63"/>
  <c r="S119" i="63"/>
  <c r="R119" i="63"/>
  <c r="Q119" i="63"/>
  <c r="P119" i="63"/>
  <c r="O119" i="63"/>
  <c r="N119" i="63"/>
  <c r="M119" i="63"/>
  <c r="L119" i="63"/>
  <c r="K119" i="63"/>
  <c r="J119" i="63"/>
  <c r="I119" i="63"/>
  <c r="H119" i="63"/>
  <c r="G119" i="63"/>
  <c r="F119" i="63"/>
  <c r="V118" i="63"/>
  <c r="U118" i="63"/>
  <c r="T118" i="63"/>
  <c r="S118" i="63"/>
  <c r="R118" i="63"/>
  <c r="Q118" i="63"/>
  <c r="P118" i="63"/>
  <c r="O118" i="63"/>
  <c r="N118" i="63"/>
  <c r="M118" i="63"/>
  <c r="L118" i="63"/>
  <c r="K118" i="63"/>
  <c r="J118" i="63"/>
  <c r="I118" i="63"/>
  <c r="H118" i="63"/>
  <c r="G118" i="63"/>
  <c r="F118" i="63"/>
  <c r="V115" i="63"/>
  <c r="U115" i="63"/>
  <c r="T115" i="63"/>
  <c r="S115" i="63"/>
  <c r="R115" i="63"/>
  <c r="Q115" i="63"/>
  <c r="P115" i="63"/>
  <c r="O115" i="63"/>
  <c r="N115" i="63"/>
  <c r="M115" i="63"/>
  <c r="L115" i="63"/>
  <c r="K115" i="63"/>
  <c r="J115" i="63"/>
  <c r="I115" i="63"/>
  <c r="H115" i="63"/>
  <c r="G115" i="63"/>
  <c r="F115" i="63"/>
  <c r="V114" i="63"/>
  <c r="U114" i="63"/>
  <c r="T114" i="63"/>
  <c r="S114" i="63"/>
  <c r="R114" i="63"/>
  <c r="Q114" i="63"/>
  <c r="P114" i="63"/>
  <c r="O114" i="63"/>
  <c r="N114" i="63"/>
  <c r="M114" i="63"/>
  <c r="L114" i="63"/>
  <c r="K114" i="63"/>
  <c r="J114" i="63"/>
  <c r="I114" i="63"/>
  <c r="H114" i="63"/>
  <c r="G114" i="63"/>
  <c r="F114" i="63"/>
  <c r="V111" i="63"/>
  <c r="U111" i="63"/>
  <c r="T111" i="63"/>
  <c r="S111" i="63"/>
  <c r="R111" i="63"/>
  <c r="Q111" i="63"/>
  <c r="P111" i="63"/>
  <c r="O111" i="63"/>
  <c r="N111" i="63"/>
  <c r="M111" i="63"/>
  <c r="L111" i="63"/>
  <c r="K111" i="63"/>
  <c r="J111" i="63"/>
  <c r="I111" i="63"/>
  <c r="H111" i="63"/>
  <c r="G111" i="63"/>
  <c r="F111" i="63"/>
  <c r="V110" i="63"/>
  <c r="U110" i="63"/>
  <c r="T110" i="63"/>
  <c r="S110" i="63"/>
  <c r="R110" i="63"/>
  <c r="Q110" i="63"/>
  <c r="P110" i="63"/>
  <c r="O110" i="63"/>
  <c r="N110" i="63"/>
  <c r="M110" i="63"/>
  <c r="L110" i="63"/>
  <c r="K110" i="63"/>
  <c r="J110" i="63"/>
  <c r="I110" i="63"/>
  <c r="H110" i="63"/>
  <c r="G110" i="63"/>
  <c r="F110" i="63"/>
  <c r="V107" i="63"/>
  <c r="U107" i="63"/>
  <c r="T107" i="63"/>
  <c r="S107" i="63"/>
  <c r="R107" i="63"/>
  <c r="Q107" i="63"/>
  <c r="P107" i="63"/>
  <c r="O107" i="63"/>
  <c r="N107" i="63"/>
  <c r="M107" i="63"/>
  <c r="L107" i="63"/>
  <c r="K107" i="63"/>
  <c r="J107" i="63"/>
  <c r="I107" i="63"/>
  <c r="H107" i="63"/>
  <c r="G107" i="63"/>
  <c r="F107" i="63"/>
  <c r="V106" i="63"/>
  <c r="U106" i="63"/>
  <c r="T106" i="63"/>
  <c r="S106" i="63"/>
  <c r="R106" i="63"/>
  <c r="Q106" i="63"/>
  <c r="P106" i="63"/>
  <c r="O106" i="63"/>
  <c r="N106" i="63"/>
  <c r="M106" i="63"/>
  <c r="L106" i="63"/>
  <c r="K106" i="63"/>
  <c r="J106" i="63"/>
  <c r="I106" i="63"/>
  <c r="H106" i="63"/>
  <c r="G106" i="63"/>
  <c r="F106" i="63"/>
  <c r="V103" i="63"/>
  <c r="U103" i="63"/>
  <c r="T103" i="63"/>
  <c r="S103" i="63"/>
  <c r="R103" i="63"/>
  <c r="Q103" i="63"/>
  <c r="P103" i="63"/>
  <c r="O103" i="63"/>
  <c r="N103" i="63"/>
  <c r="M103" i="63"/>
  <c r="L103" i="63"/>
  <c r="K103" i="63"/>
  <c r="J103" i="63"/>
  <c r="I103" i="63"/>
  <c r="H103" i="63"/>
  <c r="G103" i="63"/>
  <c r="F103" i="63"/>
  <c r="V102" i="63"/>
  <c r="U102" i="63"/>
  <c r="T102" i="63"/>
  <c r="S102" i="63"/>
  <c r="R102" i="63"/>
  <c r="Q102" i="63"/>
  <c r="P102" i="63"/>
  <c r="O102" i="63"/>
  <c r="N102" i="63"/>
  <c r="M102" i="63"/>
  <c r="L102" i="63"/>
  <c r="K102" i="63"/>
  <c r="J102" i="63"/>
  <c r="I102" i="63"/>
  <c r="H102" i="63"/>
  <c r="G102" i="63"/>
  <c r="F102" i="63"/>
  <c r="V99" i="63"/>
  <c r="U99" i="63"/>
  <c r="T99" i="63"/>
  <c r="S99" i="63"/>
  <c r="R99" i="63"/>
  <c r="Q99" i="63"/>
  <c r="P99" i="63"/>
  <c r="O99" i="63"/>
  <c r="N99" i="63"/>
  <c r="M99" i="63"/>
  <c r="L99" i="63"/>
  <c r="K99" i="63"/>
  <c r="J99" i="63"/>
  <c r="I99" i="63"/>
  <c r="H99" i="63"/>
  <c r="G99" i="63"/>
  <c r="F99" i="63"/>
  <c r="V98" i="63"/>
  <c r="U98" i="63"/>
  <c r="T98" i="63"/>
  <c r="S98" i="63"/>
  <c r="R98" i="63"/>
  <c r="Q98" i="63"/>
  <c r="P98" i="63"/>
  <c r="O98" i="63"/>
  <c r="N98" i="63"/>
  <c r="M98" i="63"/>
  <c r="L98" i="63"/>
  <c r="K98" i="63"/>
  <c r="J98" i="63"/>
  <c r="I98" i="63"/>
  <c r="H98" i="63"/>
  <c r="G98" i="63"/>
  <c r="F98" i="63"/>
  <c r="V95" i="63"/>
  <c r="U95" i="63"/>
  <c r="T95" i="63"/>
  <c r="S95" i="63"/>
  <c r="R95" i="63"/>
  <c r="Q95" i="63"/>
  <c r="P95" i="63"/>
  <c r="O95" i="63"/>
  <c r="N95" i="63"/>
  <c r="M95" i="63"/>
  <c r="L95" i="63"/>
  <c r="K95" i="63"/>
  <c r="J95" i="63"/>
  <c r="I95" i="63"/>
  <c r="H95" i="63"/>
  <c r="G95" i="63"/>
  <c r="F95" i="63"/>
  <c r="V94" i="63"/>
  <c r="U94" i="63"/>
  <c r="T94" i="63"/>
  <c r="S94" i="63"/>
  <c r="R94" i="63"/>
  <c r="Q94" i="63"/>
  <c r="P94" i="63"/>
  <c r="O94" i="63"/>
  <c r="N94" i="63"/>
  <c r="M94" i="63"/>
  <c r="L94" i="63"/>
  <c r="K94" i="63"/>
  <c r="J94" i="63"/>
  <c r="I94" i="63"/>
  <c r="H94" i="63"/>
  <c r="G94" i="63"/>
  <c r="F94" i="63"/>
  <c r="V91" i="63"/>
  <c r="U91" i="63"/>
  <c r="T91" i="63"/>
  <c r="S91" i="63"/>
  <c r="R91" i="63"/>
  <c r="Q91" i="63"/>
  <c r="P91" i="63"/>
  <c r="O91" i="63"/>
  <c r="N91" i="63"/>
  <c r="M91" i="63"/>
  <c r="L91" i="63"/>
  <c r="K91" i="63"/>
  <c r="J91" i="63"/>
  <c r="I91" i="63"/>
  <c r="H91" i="63"/>
  <c r="G91" i="63"/>
  <c r="F91" i="63"/>
  <c r="V90" i="63"/>
  <c r="U90" i="63"/>
  <c r="T90" i="63"/>
  <c r="S90" i="63"/>
  <c r="R90" i="63"/>
  <c r="Q90" i="63"/>
  <c r="P90" i="63"/>
  <c r="O90" i="63"/>
  <c r="N90" i="63"/>
  <c r="M90" i="63"/>
  <c r="L90" i="63"/>
  <c r="K90" i="63"/>
  <c r="J90" i="63"/>
  <c r="I90" i="63"/>
  <c r="H90" i="63"/>
  <c r="G90" i="63"/>
  <c r="F90" i="63"/>
  <c r="V87" i="63"/>
  <c r="U87" i="63"/>
  <c r="T87" i="63"/>
  <c r="S87" i="63"/>
  <c r="R87" i="63"/>
  <c r="Q87" i="63"/>
  <c r="P87" i="63"/>
  <c r="O87" i="63"/>
  <c r="N87" i="63"/>
  <c r="M87" i="63"/>
  <c r="L87" i="63"/>
  <c r="K87" i="63"/>
  <c r="J87" i="63"/>
  <c r="I87" i="63"/>
  <c r="H87" i="63"/>
  <c r="G87" i="63"/>
  <c r="F87" i="63"/>
  <c r="V86" i="63"/>
  <c r="U86" i="63"/>
  <c r="T86" i="63"/>
  <c r="S86" i="63"/>
  <c r="R86" i="63"/>
  <c r="Q86" i="63"/>
  <c r="P86" i="63"/>
  <c r="O86" i="63"/>
  <c r="N86" i="63"/>
  <c r="M86" i="63"/>
  <c r="L86" i="63"/>
  <c r="K86" i="63"/>
  <c r="J86" i="63"/>
  <c r="I86" i="63"/>
  <c r="H86" i="63"/>
  <c r="G86" i="63"/>
  <c r="F86" i="63"/>
  <c r="V83" i="63"/>
  <c r="U83" i="63"/>
  <c r="T83" i="63"/>
  <c r="S83" i="63"/>
  <c r="R83" i="63"/>
  <c r="Q83" i="63"/>
  <c r="P83" i="63"/>
  <c r="O83" i="63"/>
  <c r="N83" i="63"/>
  <c r="M83" i="63"/>
  <c r="L83" i="63"/>
  <c r="K83" i="63"/>
  <c r="J83" i="63"/>
  <c r="I83" i="63"/>
  <c r="H83" i="63"/>
  <c r="G83" i="63"/>
  <c r="F83" i="63"/>
  <c r="V82" i="63"/>
  <c r="U82" i="63"/>
  <c r="T82" i="63"/>
  <c r="S82" i="63"/>
  <c r="R82" i="63"/>
  <c r="Q82" i="63"/>
  <c r="P82" i="63"/>
  <c r="O82" i="63"/>
  <c r="N82" i="63"/>
  <c r="M82" i="63"/>
  <c r="L82" i="63"/>
  <c r="K82" i="63"/>
  <c r="J82" i="63"/>
  <c r="I82" i="63"/>
  <c r="H82" i="63"/>
  <c r="G82" i="63"/>
  <c r="F82" i="63"/>
  <c r="V79" i="63"/>
  <c r="U79" i="63"/>
  <c r="T79" i="63"/>
  <c r="S79" i="63"/>
  <c r="R79" i="63"/>
  <c r="Q79" i="63"/>
  <c r="P79" i="63"/>
  <c r="O79" i="63"/>
  <c r="N79" i="63"/>
  <c r="M79" i="63"/>
  <c r="L79" i="63"/>
  <c r="K79" i="63"/>
  <c r="J79" i="63"/>
  <c r="I79" i="63"/>
  <c r="H79" i="63"/>
  <c r="G79" i="63"/>
  <c r="F79" i="63"/>
  <c r="V78" i="63"/>
  <c r="U78" i="63"/>
  <c r="T78" i="63"/>
  <c r="S78" i="63"/>
  <c r="R78" i="63"/>
  <c r="Q78" i="63"/>
  <c r="P78" i="63"/>
  <c r="O78" i="63"/>
  <c r="N78" i="63"/>
  <c r="M78" i="63"/>
  <c r="L78" i="63"/>
  <c r="K78" i="63"/>
  <c r="J78" i="63"/>
  <c r="I78" i="63"/>
  <c r="H78" i="63"/>
  <c r="G78" i="63"/>
  <c r="F78" i="63"/>
  <c r="V75" i="63"/>
  <c r="U75" i="63"/>
  <c r="T75" i="63"/>
  <c r="S75" i="63"/>
  <c r="R75" i="63"/>
  <c r="Q75" i="63"/>
  <c r="P75" i="63"/>
  <c r="O75" i="63"/>
  <c r="N75" i="63"/>
  <c r="M75" i="63"/>
  <c r="L75" i="63"/>
  <c r="K75" i="63"/>
  <c r="J75" i="63"/>
  <c r="I75" i="63"/>
  <c r="H75" i="63"/>
  <c r="G75" i="63"/>
  <c r="F75" i="63"/>
  <c r="V74" i="63"/>
  <c r="U74" i="63"/>
  <c r="T74" i="63"/>
  <c r="S74" i="63"/>
  <c r="R74" i="63"/>
  <c r="Q74" i="63"/>
  <c r="P74" i="63"/>
  <c r="O74" i="63"/>
  <c r="N74" i="63"/>
  <c r="M74" i="63"/>
  <c r="L74" i="63"/>
  <c r="K74" i="63"/>
  <c r="J74" i="63"/>
  <c r="I74" i="63"/>
  <c r="H74" i="63"/>
  <c r="G74" i="63"/>
  <c r="F74" i="63"/>
  <c r="V71" i="63"/>
  <c r="U71" i="63"/>
  <c r="T71" i="63"/>
  <c r="S71" i="63"/>
  <c r="R71" i="63"/>
  <c r="Q71" i="63"/>
  <c r="P71" i="63"/>
  <c r="O71" i="63"/>
  <c r="N71" i="63"/>
  <c r="M71" i="63"/>
  <c r="L71" i="63"/>
  <c r="K71" i="63"/>
  <c r="J71" i="63"/>
  <c r="I71" i="63"/>
  <c r="H71" i="63"/>
  <c r="G71" i="63"/>
  <c r="F71" i="63"/>
  <c r="V70" i="63"/>
  <c r="U70" i="63"/>
  <c r="T70" i="63"/>
  <c r="S70" i="63"/>
  <c r="R70" i="63"/>
  <c r="Q70" i="63"/>
  <c r="P70" i="63"/>
  <c r="O70" i="63"/>
  <c r="N70" i="63"/>
  <c r="M70" i="63"/>
  <c r="L70" i="63"/>
  <c r="K70" i="63"/>
  <c r="J70" i="63"/>
  <c r="I70" i="63"/>
  <c r="H70" i="63"/>
  <c r="G70" i="63"/>
  <c r="F70" i="63"/>
  <c r="V67" i="63"/>
  <c r="U67" i="63"/>
  <c r="T67" i="63"/>
  <c r="S67" i="63"/>
  <c r="R67" i="63"/>
  <c r="Q67" i="63"/>
  <c r="P67" i="63"/>
  <c r="O67" i="63"/>
  <c r="N67" i="63"/>
  <c r="M67" i="63"/>
  <c r="L67" i="63"/>
  <c r="K67" i="63"/>
  <c r="J67" i="63"/>
  <c r="I67" i="63"/>
  <c r="H67" i="63"/>
  <c r="G67" i="63"/>
  <c r="F67" i="63"/>
  <c r="V66" i="63"/>
  <c r="U66" i="63"/>
  <c r="T66" i="63"/>
  <c r="S66" i="63"/>
  <c r="R66" i="63"/>
  <c r="Q66" i="63"/>
  <c r="P66" i="63"/>
  <c r="O66" i="63"/>
  <c r="N66" i="63"/>
  <c r="M66" i="63"/>
  <c r="L66" i="63"/>
  <c r="K66" i="63"/>
  <c r="J66" i="63"/>
  <c r="I66" i="63"/>
  <c r="H66" i="63"/>
  <c r="G66" i="63"/>
  <c r="F66" i="63"/>
  <c r="V63" i="63"/>
  <c r="U63" i="63"/>
  <c r="T63" i="63"/>
  <c r="S63" i="63"/>
  <c r="R63" i="63"/>
  <c r="Q63" i="63"/>
  <c r="P63" i="63"/>
  <c r="O63" i="63"/>
  <c r="N63" i="63"/>
  <c r="M63" i="63"/>
  <c r="L63" i="63"/>
  <c r="K63" i="63"/>
  <c r="J63" i="63"/>
  <c r="I63" i="63"/>
  <c r="H63" i="63"/>
  <c r="G63" i="63"/>
  <c r="F63" i="63"/>
  <c r="V62" i="63"/>
  <c r="U62" i="63"/>
  <c r="T62" i="63"/>
  <c r="S62" i="63"/>
  <c r="R62" i="63"/>
  <c r="Q62" i="63"/>
  <c r="P62" i="63"/>
  <c r="O62" i="63"/>
  <c r="N62" i="63"/>
  <c r="M62" i="63"/>
  <c r="L62" i="63"/>
  <c r="K62" i="63"/>
  <c r="J62" i="63"/>
  <c r="I62" i="63"/>
  <c r="H62" i="63"/>
  <c r="G62" i="63"/>
  <c r="F62" i="63"/>
  <c r="V59" i="63"/>
  <c r="U59" i="63"/>
  <c r="T59" i="63"/>
  <c r="S59" i="63"/>
  <c r="R59" i="63"/>
  <c r="Q59" i="63"/>
  <c r="P59" i="63"/>
  <c r="O59" i="63"/>
  <c r="N59" i="63"/>
  <c r="M59" i="63"/>
  <c r="L59" i="63"/>
  <c r="K59" i="63"/>
  <c r="J59" i="63"/>
  <c r="I59" i="63"/>
  <c r="H59" i="63"/>
  <c r="G59" i="63"/>
  <c r="F59" i="63"/>
  <c r="V58" i="63"/>
  <c r="U58" i="63"/>
  <c r="T58" i="63"/>
  <c r="S58" i="63"/>
  <c r="R58" i="63"/>
  <c r="Q58" i="63"/>
  <c r="P58" i="63"/>
  <c r="O58" i="63"/>
  <c r="N58" i="63"/>
  <c r="M58" i="63"/>
  <c r="L58" i="63"/>
  <c r="K58" i="63"/>
  <c r="J58" i="63"/>
  <c r="I58" i="63"/>
  <c r="H58" i="63"/>
  <c r="G58" i="63"/>
  <c r="F58" i="63"/>
  <c r="V55" i="63"/>
  <c r="U55" i="63"/>
  <c r="T55" i="63"/>
  <c r="S55" i="63"/>
  <c r="R55" i="63"/>
  <c r="Q55" i="63"/>
  <c r="P55" i="63"/>
  <c r="O55" i="63"/>
  <c r="N55" i="63"/>
  <c r="M55" i="63"/>
  <c r="L55" i="63"/>
  <c r="K55" i="63"/>
  <c r="J55" i="63"/>
  <c r="I55" i="63"/>
  <c r="H55" i="63"/>
  <c r="G55" i="63"/>
  <c r="F55" i="63"/>
  <c r="V54" i="63"/>
  <c r="U54" i="63"/>
  <c r="T54" i="63"/>
  <c r="S54" i="63"/>
  <c r="R54" i="63"/>
  <c r="Q54" i="63"/>
  <c r="P54" i="63"/>
  <c r="O54" i="63"/>
  <c r="N54" i="63"/>
  <c r="M54" i="63"/>
  <c r="L54" i="63"/>
  <c r="K54" i="63"/>
  <c r="J54" i="63"/>
  <c r="I54" i="63"/>
  <c r="H54" i="63"/>
  <c r="G54" i="63"/>
  <c r="F54" i="63"/>
  <c r="V51" i="63"/>
  <c r="U51" i="63"/>
  <c r="T51" i="63"/>
  <c r="S51" i="63"/>
  <c r="R51" i="63"/>
  <c r="Q51" i="63"/>
  <c r="P51" i="63"/>
  <c r="O51" i="63"/>
  <c r="N51" i="63"/>
  <c r="M51" i="63"/>
  <c r="L51" i="63"/>
  <c r="K51" i="63"/>
  <c r="J51" i="63"/>
  <c r="I51" i="63"/>
  <c r="H51" i="63"/>
  <c r="G51" i="63"/>
  <c r="F51" i="63"/>
  <c r="V50" i="63"/>
  <c r="U50" i="63"/>
  <c r="T50" i="63"/>
  <c r="S50" i="63"/>
  <c r="R50" i="63"/>
  <c r="Q50" i="63"/>
  <c r="P50" i="63"/>
  <c r="O50" i="63"/>
  <c r="N50" i="63"/>
  <c r="M50" i="63"/>
  <c r="L50" i="63"/>
  <c r="K50" i="63"/>
  <c r="J50" i="63"/>
  <c r="I50" i="63"/>
  <c r="H50" i="63"/>
  <c r="G50" i="63"/>
  <c r="F50" i="63"/>
  <c r="V47" i="63"/>
  <c r="U47" i="63"/>
  <c r="T47" i="63"/>
  <c r="S47" i="63"/>
  <c r="R47" i="63"/>
  <c r="Q47" i="63"/>
  <c r="P47" i="63"/>
  <c r="O47" i="63"/>
  <c r="N47" i="63"/>
  <c r="M47" i="63"/>
  <c r="L47" i="63"/>
  <c r="K47" i="63"/>
  <c r="J47" i="63"/>
  <c r="I47" i="63"/>
  <c r="H47" i="63"/>
  <c r="G47" i="63"/>
  <c r="F47" i="63"/>
  <c r="V46" i="63"/>
  <c r="U46" i="63"/>
  <c r="T46" i="63"/>
  <c r="S46" i="63"/>
  <c r="R46" i="63"/>
  <c r="Q46" i="63"/>
  <c r="P46" i="63"/>
  <c r="O46" i="63"/>
  <c r="N46" i="63"/>
  <c r="M46" i="63"/>
  <c r="L46" i="63"/>
  <c r="K46" i="63"/>
  <c r="J46" i="63"/>
  <c r="I46" i="63"/>
  <c r="H46" i="63"/>
  <c r="G46" i="63"/>
  <c r="F46" i="63"/>
  <c r="V43" i="63"/>
  <c r="U43" i="63"/>
  <c r="T43" i="63"/>
  <c r="S43" i="63"/>
  <c r="R43" i="63"/>
  <c r="Q43" i="63"/>
  <c r="P43" i="63"/>
  <c r="O43" i="63"/>
  <c r="N43" i="63"/>
  <c r="M43" i="63"/>
  <c r="L43" i="63"/>
  <c r="K43" i="63"/>
  <c r="J43" i="63"/>
  <c r="I43" i="63"/>
  <c r="H43" i="63"/>
  <c r="G43" i="63"/>
  <c r="F43" i="63"/>
  <c r="V42" i="63"/>
  <c r="U42" i="63"/>
  <c r="T42" i="63"/>
  <c r="S42" i="63"/>
  <c r="R42" i="63"/>
  <c r="Q42" i="63"/>
  <c r="P42" i="63"/>
  <c r="O42" i="63"/>
  <c r="N42" i="63"/>
  <c r="M42" i="63"/>
  <c r="L42" i="63"/>
  <c r="K42" i="63"/>
  <c r="J42" i="63"/>
  <c r="I42" i="63"/>
  <c r="H42" i="63"/>
  <c r="G42" i="63"/>
  <c r="F42" i="63"/>
  <c r="V39" i="63"/>
  <c r="U39" i="63"/>
  <c r="T39" i="63"/>
  <c r="S39" i="63"/>
  <c r="R39" i="63"/>
  <c r="Q39" i="63"/>
  <c r="P39" i="63"/>
  <c r="O39" i="63"/>
  <c r="N39" i="63"/>
  <c r="M39" i="63"/>
  <c r="L39" i="63"/>
  <c r="K39" i="63"/>
  <c r="J39" i="63"/>
  <c r="I39" i="63"/>
  <c r="H39" i="63"/>
  <c r="G39" i="63"/>
  <c r="F39" i="63"/>
  <c r="V38" i="63"/>
  <c r="U38" i="63"/>
  <c r="T38" i="63"/>
  <c r="S38" i="63"/>
  <c r="R38" i="63"/>
  <c r="Q38" i="63"/>
  <c r="P38" i="63"/>
  <c r="O38" i="63"/>
  <c r="N38" i="63"/>
  <c r="M38" i="63"/>
  <c r="L38" i="63"/>
  <c r="K38" i="63"/>
  <c r="J38" i="63"/>
  <c r="I38" i="63"/>
  <c r="H38" i="63"/>
  <c r="G38" i="63"/>
  <c r="F38" i="63"/>
  <c r="V35" i="63"/>
  <c r="U35" i="63"/>
  <c r="T35" i="63"/>
  <c r="S35" i="63"/>
  <c r="R35" i="63"/>
  <c r="Q35" i="63"/>
  <c r="P35" i="63"/>
  <c r="O35" i="63"/>
  <c r="N35" i="63"/>
  <c r="M35" i="63"/>
  <c r="L35" i="63"/>
  <c r="K35" i="63"/>
  <c r="J35" i="63"/>
  <c r="I35" i="63"/>
  <c r="H35" i="63"/>
  <c r="G35" i="63"/>
  <c r="F35" i="63"/>
  <c r="V34" i="63"/>
  <c r="U34" i="63"/>
  <c r="T34" i="63"/>
  <c r="S34" i="63"/>
  <c r="R34" i="63"/>
  <c r="Q34" i="63"/>
  <c r="P34" i="63"/>
  <c r="O34" i="63"/>
  <c r="N34" i="63"/>
  <c r="M34" i="63"/>
  <c r="L34" i="63"/>
  <c r="K34" i="63"/>
  <c r="J34" i="63"/>
  <c r="I34" i="63"/>
  <c r="H34" i="63"/>
  <c r="G34" i="63"/>
  <c r="F34" i="63"/>
  <c r="V31" i="63"/>
  <c r="U31" i="63"/>
  <c r="T31" i="63"/>
  <c r="S31" i="63"/>
  <c r="R31" i="63"/>
  <c r="Q31" i="63"/>
  <c r="P31" i="63"/>
  <c r="O31" i="63"/>
  <c r="N31" i="63"/>
  <c r="M31" i="63"/>
  <c r="L31" i="63"/>
  <c r="K31" i="63"/>
  <c r="J31" i="63"/>
  <c r="I31" i="63"/>
  <c r="H31" i="63"/>
  <c r="G31" i="63"/>
  <c r="F31" i="63"/>
  <c r="V30" i="63"/>
  <c r="U30" i="63"/>
  <c r="T30" i="63"/>
  <c r="S30" i="63"/>
  <c r="R30" i="63"/>
  <c r="Q30" i="63"/>
  <c r="P30" i="63"/>
  <c r="O30" i="63"/>
  <c r="N30" i="63"/>
  <c r="M30" i="63"/>
  <c r="L30" i="63"/>
  <c r="K30" i="63"/>
  <c r="J30" i="63"/>
  <c r="I30" i="63"/>
  <c r="H30" i="63"/>
  <c r="G30" i="63"/>
  <c r="F30" i="63"/>
  <c r="V27" i="63"/>
  <c r="U27" i="63"/>
  <c r="T27" i="63"/>
  <c r="S27" i="63"/>
  <c r="R27" i="63"/>
  <c r="Q27" i="63"/>
  <c r="P27" i="63"/>
  <c r="O27" i="63"/>
  <c r="N27" i="63"/>
  <c r="M27" i="63"/>
  <c r="L27" i="63"/>
  <c r="K27" i="63"/>
  <c r="J27" i="63"/>
  <c r="I27" i="63"/>
  <c r="H27" i="63"/>
  <c r="G27" i="63"/>
  <c r="F27" i="63"/>
  <c r="V26" i="63"/>
  <c r="U26" i="63"/>
  <c r="T26" i="63"/>
  <c r="S26" i="63"/>
  <c r="R26" i="63"/>
  <c r="Q26" i="63"/>
  <c r="P26" i="63"/>
  <c r="O26" i="63"/>
  <c r="N26" i="63"/>
  <c r="M26" i="63"/>
  <c r="L26" i="63"/>
  <c r="K26" i="63"/>
  <c r="J26" i="63"/>
  <c r="I26" i="63"/>
  <c r="H26" i="63"/>
  <c r="G26" i="63"/>
  <c r="F26" i="63"/>
  <c r="V23" i="63"/>
  <c r="U23" i="63"/>
  <c r="T23" i="63"/>
  <c r="S23" i="63"/>
  <c r="R23" i="63"/>
  <c r="Q23" i="63"/>
  <c r="P23" i="63"/>
  <c r="O23" i="63"/>
  <c r="N23" i="63"/>
  <c r="M23" i="63"/>
  <c r="L23" i="63"/>
  <c r="K23" i="63"/>
  <c r="J23" i="63"/>
  <c r="I23" i="63"/>
  <c r="H23" i="63"/>
  <c r="G23" i="63"/>
  <c r="F23" i="63"/>
  <c r="V22" i="63"/>
  <c r="U22" i="63"/>
  <c r="T22" i="63"/>
  <c r="S22" i="63"/>
  <c r="R22" i="63"/>
  <c r="Q22" i="63"/>
  <c r="P22" i="63"/>
  <c r="O22" i="63"/>
  <c r="N22" i="63"/>
  <c r="M22" i="63"/>
  <c r="L22" i="63"/>
  <c r="K22" i="63"/>
  <c r="J22" i="63"/>
  <c r="I22" i="63"/>
  <c r="H22" i="63"/>
  <c r="G22" i="63"/>
  <c r="F22" i="63"/>
  <c r="V19" i="63"/>
  <c r="U19" i="63"/>
  <c r="T19" i="63"/>
  <c r="S19" i="63"/>
  <c r="R19" i="63"/>
  <c r="Q19" i="63"/>
  <c r="P19" i="63"/>
  <c r="O19" i="63"/>
  <c r="N19" i="63"/>
  <c r="M19" i="63"/>
  <c r="L19" i="63"/>
  <c r="K19" i="63"/>
  <c r="J19" i="63"/>
  <c r="I19" i="63"/>
  <c r="H19" i="63"/>
  <c r="G19" i="63"/>
  <c r="F19" i="63"/>
  <c r="V18" i="63"/>
  <c r="U18" i="63"/>
  <c r="T18" i="63"/>
  <c r="S18" i="63"/>
  <c r="R18" i="63"/>
  <c r="Q18" i="63"/>
  <c r="P18" i="63"/>
  <c r="O18" i="63"/>
  <c r="N18" i="63"/>
  <c r="M18" i="63"/>
  <c r="L18" i="63"/>
  <c r="K18" i="63"/>
  <c r="J18" i="63"/>
  <c r="I18" i="63"/>
  <c r="H18" i="63"/>
  <c r="G18" i="63"/>
  <c r="F18" i="63"/>
  <c r="V15" i="63"/>
  <c r="U15" i="63"/>
  <c r="T15" i="63"/>
  <c r="S15" i="63"/>
  <c r="R15" i="63"/>
  <c r="Q15" i="63"/>
  <c r="P15" i="63"/>
  <c r="O15" i="63"/>
  <c r="N15" i="63"/>
  <c r="M15" i="63"/>
  <c r="L15" i="63"/>
  <c r="K15" i="63"/>
  <c r="J15" i="63"/>
  <c r="I15" i="63"/>
  <c r="H15" i="63"/>
  <c r="G15" i="63"/>
  <c r="F15" i="63"/>
  <c r="V14" i="63"/>
  <c r="U14" i="63"/>
  <c r="T14" i="63"/>
  <c r="S14" i="63"/>
  <c r="R14" i="63"/>
  <c r="Q14" i="63"/>
  <c r="P14" i="63"/>
  <c r="O14" i="63"/>
  <c r="N14" i="63"/>
  <c r="M14" i="63"/>
  <c r="L14" i="63"/>
  <c r="K14" i="63"/>
  <c r="J14" i="63"/>
  <c r="I14" i="63"/>
  <c r="H14" i="63"/>
  <c r="G14" i="63"/>
  <c r="F14" i="63"/>
  <c r="V11" i="63"/>
  <c r="G10" i="63"/>
  <c r="H10" i="63"/>
  <c r="I10" i="63"/>
  <c r="J10" i="63"/>
  <c r="K10" i="63"/>
  <c r="L10" i="63"/>
  <c r="M10" i="63"/>
  <c r="N10" i="63"/>
  <c r="O10" i="63"/>
  <c r="P10" i="63"/>
  <c r="Q10" i="63"/>
  <c r="R10" i="63"/>
  <c r="S10" i="63"/>
  <c r="T10" i="63"/>
  <c r="U10" i="63"/>
  <c r="V10" i="63"/>
  <c r="G11" i="63"/>
  <c r="H11" i="63"/>
  <c r="I11" i="63"/>
  <c r="J11" i="63"/>
  <c r="K11" i="63"/>
  <c r="L11" i="63"/>
  <c r="M11" i="63"/>
  <c r="N11" i="63"/>
  <c r="O11" i="63"/>
  <c r="P11" i="63"/>
  <c r="Q11" i="63"/>
  <c r="R11" i="63"/>
  <c r="S11" i="63"/>
  <c r="T11" i="63"/>
  <c r="U11" i="63"/>
  <c r="F11" i="63"/>
  <c r="F10" i="63"/>
  <c r="I21" i="76" l="1"/>
  <c r="I25" i="76"/>
  <c r="I29" i="76"/>
  <c r="I33" i="76"/>
  <c r="I37" i="76"/>
  <c r="I41" i="76"/>
  <c r="I45" i="76"/>
  <c r="I49" i="76"/>
  <c r="I53" i="76"/>
  <c r="I57" i="76"/>
  <c r="I61" i="76"/>
  <c r="I65" i="76"/>
  <c r="I69" i="76"/>
  <c r="I73" i="76"/>
  <c r="I77" i="76"/>
  <c r="I81" i="76"/>
  <c r="I85" i="76"/>
  <c r="I89" i="76"/>
  <c r="I93" i="76"/>
  <c r="I97" i="76"/>
  <c r="I101" i="76"/>
  <c r="I105" i="76"/>
  <c r="I109" i="76"/>
  <c r="I113" i="76"/>
  <c r="I117" i="76"/>
  <c r="I121" i="76"/>
  <c r="I125" i="76"/>
  <c r="I129" i="76"/>
  <c r="I133" i="76"/>
  <c r="I137" i="76"/>
  <c r="I141" i="76"/>
  <c r="I145" i="76"/>
  <c r="I149" i="76"/>
  <c r="I153" i="76"/>
  <c r="I157" i="76"/>
  <c r="I161" i="76"/>
  <c r="I17" i="76"/>
  <c r="I13" i="76"/>
  <c r="I9" i="76"/>
  <c r="I5" i="76"/>
  <c r="C77" i="17" l="1"/>
  <c r="C76" i="17"/>
  <c r="C75" i="17"/>
  <c r="C74" i="17"/>
  <c r="C73" i="17"/>
  <c r="C72" i="17"/>
  <c r="C71" i="17"/>
  <c r="C69" i="17"/>
  <c r="C68" i="17"/>
  <c r="C67" i="17"/>
  <c r="C66" i="17"/>
  <c r="C64" i="17"/>
  <c r="C63" i="17"/>
  <c r="C62" i="17"/>
  <c r="C61" i="17"/>
  <c r="C60" i="17"/>
  <c r="C59" i="17"/>
  <c r="F12" i="78" l="1"/>
  <c r="F11" i="78"/>
  <c r="G13" i="76" l="1"/>
  <c r="G17" i="76"/>
  <c r="G21" i="76"/>
  <c r="G25" i="76"/>
  <c r="G29" i="76"/>
  <c r="G33" i="76"/>
  <c r="G37" i="76"/>
  <c r="G41" i="76"/>
  <c r="G45" i="76"/>
  <c r="G49" i="76"/>
  <c r="G53" i="76"/>
  <c r="G57" i="76"/>
  <c r="G61" i="76"/>
  <c r="G65" i="76"/>
  <c r="G69" i="76"/>
  <c r="G73" i="76"/>
  <c r="G77" i="76"/>
  <c r="G81" i="76"/>
  <c r="G85" i="76"/>
  <c r="G89" i="76"/>
  <c r="G93" i="76"/>
  <c r="G97" i="76"/>
  <c r="G101" i="76"/>
  <c r="G105" i="76"/>
  <c r="G109" i="76"/>
  <c r="G113" i="76"/>
  <c r="G117" i="76"/>
  <c r="G121" i="76"/>
  <c r="G125" i="76"/>
  <c r="G129" i="76"/>
  <c r="G133" i="76"/>
  <c r="G137" i="76"/>
  <c r="G141" i="76"/>
  <c r="G145" i="76"/>
  <c r="G149" i="76"/>
  <c r="G153" i="76"/>
  <c r="G157" i="76"/>
  <c r="G161" i="76"/>
  <c r="G9" i="76"/>
  <c r="G5" i="76"/>
  <c r="C32" i="65" l="1"/>
  <c r="C29" i="65"/>
  <c r="C26" i="65"/>
  <c r="E4" i="78" l="1"/>
  <c r="E4" i="17"/>
  <c r="E3" i="17"/>
  <c r="D3" i="78" s="1"/>
  <c r="D7" i="78" s="1"/>
  <c r="AE164" i="63" l="1"/>
  <c r="AF164" i="63" s="1"/>
  <c r="H161" i="76" s="1"/>
  <c r="D4" i="78"/>
  <c r="D12" i="78" s="1"/>
  <c r="D11" i="78" l="1"/>
  <c r="F7" i="78" s="1"/>
  <c r="D8" i="78"/>
  <c r="AE152" i="63"/>
  <c r="AF152" i="63" s="1"/>
  <c r="H149" i="76" s="1"/>
  <c r="AE144" i="63"/>
  <c r="AE140" i="63"/>
  <c r="AE136" i="63"/>
  <c r="AE120" i="63"/>
  <c r="AE112" i="63"/>
  <c r="AE108" i="63"/>
  <c r="AE104" i="63"/>
  <c r="AE88" i="63"/>
  <c r="AE80" i="63"/>
  <c r="AE76" i="63"/>
  <c r="AE72" i="63"/>
  <c r="AE56" i="63"/>
  <c r="AE48" i="63"/>
  <c r="AE44" i="63"/>
  <c r="AE40" i="63"/>
  <c r="AE24" i="63"/>
  <c r="AD9" i="63"/>
  <c r="AD8" i="63"/>
  <c r="AE8" i="63" l="1"/>
  <c r="AE28" i="63"/>
  <c r="AE64" i="63"/>
  <c r="AE92" i="63"/>
  <c r="AE128" i="63"/>
  <c r="AE156" i="63"/>
  <c r="AE32" i="63"/>
  <c r="AE60" i="63"/>
  <c r="AE96" i="63"/>
  <c r="AE124" i="63"/>
  <c r="AE160" i="63"/>
  <c r="AE52" i="63"/>
  <c r="AE84" i="63"/>
  <c r="AE116" i="63"/>
  <c r="AE148" i="63"/>
  <c r="AE36" i="63"/>
  <c r="AE68" i="63"/>
  <c r="AE100" i="63"/>
  <c r="AE132" i="63"/>
  <c r="AE20" i="63"/>
  <c r="AE12" i="63"/>
  <c r="AE16" i="63"/>
  <c r="K116" i="17"/>
  <c r="K115" i="17"/>
  <c r="AF8" i="63" l="1"/>
  <c r="AF16" i="63"/>
  <c r="H13" i="76" s="1"/>
  <c r="AF12" i="63"/>
  <c r="H9" i="76" s="1"/>
  <c r="AF132" i="63"/>
  <c r="H129" i="76" s="1"/>
  <c r="AF88" i="63"/>
  <c r="H85" i="76" s="1"/>
  <c r="AF68" i="63"/>
  <c r="H65" i="76" s="1"/>
  <c r="AF160" i="63"/>
  <c r="H157" i="76" s="1"/>
  <c r="AF92" i="63"/>
  <c r="H89" i="76" s="1"/>
  <c r="AF36" i="63"/>
  <c r="H33" i="76" s="1"/>
  <c r="AF84" i="63"/>
  <c r="H81" i="76" s="1"/>
  <c r="AF124" i="63"/>
  <c r="H121" i="76" s="1"/>
  <c r="AF64" i="63"/>
  <c r="H61" i="76" s="1"/>
  <c r="AF112" i="63"/>
  <c r="H109" i="76" s="1"/>
  <c r="AF76" i="63"/>
  <c r="H73" i="76" s="1"/>
  <c r="AF40" i="63"/>
  <c r="H37" i="76" s="1"/>
  <c r="AF52" i="63"/>
  <c r="H49" i="76" s="1"/>
  <c r="AF156" i="63"/>
  <c r="H153" i="76" s="1"/>
  <c r="AF80" i="63"/>
  <c r="H77" i="76" s="1"/>
  <c r="AF136" i="63"/>
  <c r="H133" i="76" s="1"/>
  <c r="AF120" i="63"/>
  <c r="H117" i="76" s="1"/>
  <c r="AF96" i="63"/>
  <c r="H93" i="76" s="1"/>
  <c r="AF28" i="63"/>
  <c r="H25" i="76" s="1"/>
  <c r="AF20" i="63"/>
  <c r="H17" i="76" s="1"/>
  <c r="AF100" i="63"/>
  <c r="H97" i="76" s="1"/>
  <c r="AF148" i="63"/>
  <c r="H145" i="76" s="1"/>
  <c r="AF60" i="63"/>
  <c r="H57" i="76" s="1"/>
  <c r="AF128" i="63"/>
  <c r="H125" i="76" s="1"/>
  <c r="AF48" i="63"/>
  <c r="H45" i="76" s="1"/>
  <c r="AF140" i="63"/>
  <c r="H137" i="76" s="1"/>
  <c r="AF104" i="63"/>
  <c r="H101" i="76" s="1"/>
  <c r="AF56" i="63"/>
  <c r="H53" i="76" s="1"/>
  <c r="AF116" i="63"/>
  <c r="H113" i="76" s="1"/>
  <c r="AF32" i="63"/>
  <c r="H29" i="76" s="1"/>
  <c r="AF144" i="63"/>
  <c r="H141" i="76" s="1"/>
  <c r="AF108" i="63"/>
  <c r="H105" i="76" s="1"/>
  <c r="AF44" i="63"/>
  <c r="H41" i="76" s="1"/>
  <c r="AF72" i="63"/>
  <c r="H69" i="76" s="1"/>
  <c r="AF24" i="63"/>
  <c r="H21" i="76" s="1"/>
  <c r="C5" i="76"/>
  <c r="H5" i="76" l="1"/>
  <c r="C161" i="76"/>
  <c r="B161" i="76"/>
  <c r="D163" i="76" s="1"/>
  <c r="C157" i="76"/>
  <c r="B157" i="76"/>
  <c r="D159" i="76" s="1"/>
  <c r="C153" i="76"/>
  <c r="B153" i="76"/>
  <c r="D155" i="76" s="1"/>
  <c r="C149" i="76"/>
  <c r="B149" i="76"/>
  <c r="D151" i="76" s="1"/>
  <c r="C145" i="76"/>
  <c r="B145" i="76"/>
  <c r="D147" i="76" s="1"/>
  <c r="C141" i="76"/>
  <c r="B141" i="76"/>
  <c r="D143" i="76" s="1"/>
  <c r="C137" i="76"/>
  <c r="B137" i="76"/>
  <c r="D139" i="76" s="1"/>
  <c r="C133" i="76"/>
  <c r="B133" i="76"/>
  <c r="D135" i="76" s="1"/>
  <c r="C129" i="76"/>
  <c r="B129" i="76"/>
  <c r="D131" i="76" s="1"/>
  <c r="C125" i="76"/>
  <c r="B125" i="76"/>
  <c r="D127" i="76" s="1"/>
  <c r="C121" i="76"/>
  <c r="B121" i="76"/>
  <c r="D123" i="76" s="1"/>
  <c r="C117" i="76"/>
  <c r="B117" i="76"/>
  <c r="D119" i="76" s="1"/>
  <c r="C113" i="76"/>
  <c r="B113" i="76"/>
  <c r="D115" i="76" s="1"/>
  <c r="C109" i="76"/>
  <c r="B109" i="76"/>
  <c r="D111" i="76" s="1"/>
  <c r="C105" i="76"/>
  <c r="B105" i="76"/>
  <c r="D107" i="76" s="1"/>
  <c r="C101" i="76"/>
  <c r="B101" i="76"/>
  <c r="D103" i="76" s="1"/>
  <c r="C97" i="76"/>
  <c r="B97" i="76"/>
  <c r="D99" i="76" s="1"/>
  <c r="C93" i="76"/>
  <c r="B93" i="76"/>
  <c r="D95" i="76" s="1"/>
  <c r="C89" i="76"/>
  <c r="B89" i="76"/>
  <c r="D91" i="76" s="1"/>
  <c r="C85" i="76"/>
  <c r="B85" i="76"/>
  <c r="D87" i="76" s="1"/>
  <c r="C81" i="76"/>
  <c r="B81" i="76"/>
  <c r="D83" i="76" s="1"/>
  <c r="C77" i="76"/>
  <c r="B77" i="76"/>
  <c r="D79" i="76" s="1"/>
  <c r="C73" i="76"/>
  <c r="B73" i="76"/>
  <c r="D75" i="76" s="1"/>
  <c r="C69" i="76"/>
  <c r="B69" i="76"/>
  <c r="D71" i="76" s="1"/>
  <c r="C65" i="76"/>
  <c r="B65" i="76"/>
  <c r="D67" i="76" s="1"/>
  <c r="C61" i="76"/>
  <c r="B61" i="76"/>
  <c r="D63" i="76" s="1"/>
  <c r="C57" i="76"/>
  <c r="B57" i="76"/>
  <c r="D59" i="76" s="1"/>
  <c r="C53" i="76"/>
  <c r="B53" i="76"/>
  <c r="D55" i="76" s="1"/>
  <c r="C49" i="76"/>
  <c r="B49" i="76"/>
  <c r="D51" i="76" s="1"/>
  <c r="C45" i="76"/>
  <c r="B45" i="76"/>
  <c r="D47" i="76" s="1"/>
  <c r="C41" i="76"/>
  <c r="B41" i="76"/>
  <c r="D43" i="76" s="1"/>
  <c r="C37" i="76"/>
  <c r="B37" i="76"/>
  <c r="D39" i="76" s="1"/>
  <c r="C33" i="76"/>
  <c r="B33" i="76"/>
  <c r="D35" i="76" s="1"/>
  <c r="C29" i="76"/>
  <c r="B29" i="76"/>
  <c r="D31" i="76" s="1"/>
  <c r="C25" i="76"/>
  <c r="B25" i="76"/>
  <c r="D27" i="76" s="1"/>
  <c r="C21" i="76"/>
  <c r="B21" i="76"/>
  <c r="D23" i="76" s="1"/>
  <c r="C17" i="76"/>
  <c r="B17" i="76"/>
  <c r="D19" i="76" s="1"/>
  <c r="C13" i="76"/>
  <c r="B13" i="76"/>
  <c r="D15" i="76" s="1"/>
  <c r="C9" i="76"/>
  <c r="B9" i="76"/>
  <c r="D11" i="76" s="1"/>
  <c r="B5" i="76"/>
  <c r="G69" i="79" l="1"/>
  <c r="H109" i="17"/>
  <c r="L109" i="17"/>
  <c r="D7" i="76"/>
  <c r="D44" i="76"/>
  <c r="D110" i="76"/>
  <c r="D108" i="76"/>
  <c r="D46" i="76"/>
  <c r="D42" i="76"/>
  <c r="D45" i="76"/>
  <c r="D50" i="76"/>
  <c r="D21" i="76"/>
  <c r="D149" i="76"/>
  <c r="D106" i="76"/>
  <c r="D109" i="76"/>
  <c r="D114" i="76"/>
  <c r="D85" i="76"/>
  <c r="D5" i="76"/>
  <c r="D12" i="76"/>
  <c r="D14" i="76"/>
  <c r="D53" i="76"/>
  <c r="D76" i="76"/>
  <c r="D78" i="76"/>
  <c r="D117" i="76"/>
  <c r="D140" i="76"/>
  <c r="D142" i="76"/>
  <c r="D10" i="76"/>
  <c r="D13" i="76"/>
  <c r="D18" i="76"/>
  <c r="D74" i="76"/>
  <c r="D77" i="76"/>
  <c r="D82" i="76"/>
  <c r="D138" i="76"/>
  <c r="D141" i="76"/>
  <c r="D146" i="76"/>
  <c r="D8" i="76"/>
  <c r="D40" i="76"/>
  <c r="D16" i="76"/>
  <c r="D20" i="76"/>
  <c r="D22" i="76"/>
  <c r="D26" i="76"/>
  <c r="D29" i="76"/>
  <c r="D48" i="76"/>
  <c r="D52" i="76"/>
  <c r="D54" i="76"/>
  <c r="D58" i="76"/>
  <c r="D61" i="76"/>
  <c r="D80" i="76"/>
  <c r="D84" i="76"/>
  <c r="D86" i="76"/>
  <c r="D90" i="76"/>
  <c r="D93" i="76"/>
  <c r="D112" i="76"/>
  <c r="D116" i="76"/>
  <c r="D118" i="76"/>
  <c r="D122" i="76"/>
  <c r="D125" i="76"/>
  <c r="D144" i="76"/>
  <c r="D148" i="76"/>
  <c r="D150" i="76"/>
  <c r="D154" i="76"/>
  <c r="D157" i="76"/>
  <c r="D24" i="76"/>
  <c r="D28" i="76"/>
  <c r="D30" i="76"/>
  <c r="D34" i="76"/>
  <c r="D37" i="76"/>
  <c r="D56" i="76"/>
  <c r="D60" i="76"/>
  <c r="D62" i="76"/>
  <c r="D66" i="76"/>
  <c r="D69" i="76"/>
  <c r="D88" i="76"/>
  <c r="D92" i="76"/>
  <c r="D94" i="76"/>
  <c r="D98" i="76"/>
  <c r="D101" i="76"/>
  <c r="D120" i="76"/>
  <c r="D124" i="76"/>
  <c r="D126" i="76"/>
  <c r="D130" i="76"/>
  <c r="D133" i="76"/>
  <c r="D152" i="76"/>
  <c r="D156" i="76"/>
  <c r="D158" i="76"/>
  <c r="D162" i="76"/>
  <c r="D6" i="76"/>
  <c r="D32" i="76"/>
  <c r="D36" i="76"/>
  <c r="D38" i="76"/>
  <c r="D64" i="76"/>
  <c r="D68" i="76"/>
  <c r="D70" i="76"/>
  <c r="D96" i="76"/>
  <c r="D100" i="76"/>
  <c r="D102" i="76"/>
  <c r="D128" i="76"/>
  <c r="D132" i="76"/>
  <c r="D134" i="76"/>
  <c r="D160" i="76"/>
  <c r="D164" i="76"/>
  <c r="D72" i="76"/>
  <c r="D104" i="76"/>
  <c r="D136" i="76"/>
  <c r="D9" i="76"/>
  <c r="D17" i="76"/>
  <c r="D25" i="76"/>
  <c r="D33" i="76"/>
  <c r="D41" i="76"/>
  <c r="D49" i="76"/>
  <c r="D57" i="76"/>
  <c r="D65" i="76"/>
  <c r="D73" i="76"/>
  <c r="D81" i="76"/>
  <c r="D89" i="76"/>
  <c r="D97" i="76"/>
  <c r="D105" i="76"/>
  <c r="D113" i="76"/>
  <c r="D121" i="76"/>
  <c r="D129" i="76"/>
  <c r="D137" i="76"/>
  <c r="D145" i="76"/>
  <c r="D153" i="76"/>
  <c r="D161" i="76"/>
  <c r="C54" i="79" l="1"/>
  <c r="G53" i="79"/>
  <c r="G56" i="79"/>
  <c r="G55" i="79"/>
  <c r="G54" i="79"/>
  <c r="C55" i="79"/>
  <c r="C56" i="79"/>
  <c r="C53" i="79"/>
  <c r="C93" i="17"/>
  <c r="G94" i="17"/>
  <c r="D29" i="74" l="1"/>
  <c r="D28" i="74"/>
  <c r="D27" i="74"/>
  <c r="D26" i="74"/>
  <c r="D24" i="74"/>
  <c r="D23" i="74"/>
  <c r="D21" i="74"/>
  <c r="D20" i="74"/>
  <c r="D19" i="74"/>
  <c r="D18" i="74"/>
  <c r="D16" i="74"/>
  <c r="D33" i="74" s="1"/>
  <c r="D15" i="74"/>
  <c r="D13" i="74"/>
  <c r="D12" i="74"/>
  <c r="D11" i="74"/>
  <c r="D10" i="74"/>
  <c r="D9" i="74"/>
  <c r="D8" i="74"/>
  <c r="D7" i="74"/>
  <c r="D6" i="74"/>
  <c r="D5" i="74"/>
  <c r="D4" i="74"/>
  <c r="D3" i="74"/>
  <c r="G95" i="17" l="1"/>
  <c r="C95" i="17"/>
  <c r="C94" i="17"/>
  <c r="G93" i="17"/>
  <c r="G96" i="17"/>
  <c r="C96" i="17"/>
  <c r="AA173" i="63"/>
  <c r="AA172" i="63"/>
  <c r="L1" i="17" l="1"/>
  <c r="B8" i="63" l="1"/>
  <c r="C164" i="63" l="1"/>
  <c r="C160" i="63"/>
  <c r="C156" i="63"/>
  <c r="C152" i="63"/>
  <c r="C148" i="63"/>
  <c r="C144" i="63"/>
  <c r="C140" i="63"/>
  <c r="C136" i="63"/>
  <c r="C132" i="63"/>
  <c r="C128" i="63"/>
  <c r="C124" i="63"/>
  <c r="C120" i="63"/>
  <c r="C116" i="63"/>
  <c r="C112" i="63"/>
  <c r="C108" i="63"/>
  <c r="C104" i="63"/>
  <c r="C100" i="63"/>
  <c r="C96" i="63"/>
  <c r="C92" i="63"/>
  <c r="C88" i="63"/>
  <c r="C84" i="63"/>
  <c r="C80" i="63"/>
  <c r="C76" i="63"/>
  <c r="C72" i="63"/>
  <c r="C68" i="63"/>
  <c r="C64" i="63"/>
  <c r="C60" i="63"/>
  <c r="C56" i="63"/>
  <c r="C52" i="63"/>
  <c r="C48" i="63"/>
  <c r="C44" i="63"/>
  <c r="C40" i="63"/>
  <c r="C36" i="63"/>
  <c r="C32" i="63"/>
  <c r="C28" i="63"/>
  <c r="C24" i="63"/>
  <c r="C20" i="63"/>
  <c r="C16" i="63"/>
  <c r="C12" i="63"/>
  <c r="C8" i="63"/>
  <c r="B68" i="63" l="1"/>
  <c r="D69" i="63" l="1"/>
  <c r="D71" i="63"/>
  <c r="D68" i="63"/>
  <c r="C53" i="17" l="1"/>
  <c r="U75" i="17" s="1"/>
  <c r="C45" i="17" l="1"/>
  <c r="U47" i="17" s="1"/>
  <c r="N1" i="63" l="1"/>
  <c r="N2" i="63"/>
  <c r="L2" i="79" s="1"/>
  <c r="N3" i="63"/>
  <c r="L3" i="79" s="1"/>
  <c r="B12" i="63"/>
  <c r="B16" i="63"/>
  <c r="B20" i="63"/>
  <c r="B24" i="63"/>
  <c r="B28" i="63"/>
  <c r="B32" i="63"/>
  <c r="B36" i="63"/>
  <c r="B40" i="63"/>
  <c r="B44" i="63"/>
  <c r="B48" i="63"/>
  <c r="B52" i="63"/>
  <c r="B56" i="63"/>
  <c r="B60" i="63"/>
  <c r="B64" i="63"/>
  <c r="B72" i="63"/>
  <c r="B76" i="63"/>
  <c r="B80" i="63"/>
  <c r="B84" i="63"/>
  <c r="B88" i="63"/>
  <c r="B92" i="63"/>
  <c r="B96" i="63"/>
  <c r="B100" i="63"/>
  <c r="B104" i="63"/>
  <c r="B108" i="63"/>
  <c r="B112" i="63"/>
  <c r="B116" i="63"/>
  <c r="B120" i="63"/>
  <c r="B124" i="63"/>
  <c r="B128" i="63"/>
  <c r="B132" i="63"/>
  <c r="B136" i="63"/>
  <c r="B140" i="63"/>
  <c r="B144" i="63"/>
  <c r="B148" i="63"/>
  <c r="B152" i="63"/>
  <c r="B156" i="63"/>
  <c r="B160" i="63"/>
  <c r="B164" i="63"/>
  <c r="C35" i="17"/>
  <c r="U11" i="17" s="1"/>
  <c r="C36" i="17"/>
  <c r="U15" i="17" s="1"/>
  <c r="C37" i="17"/>
  <c r="U19" i="17" s="1"/>
  <c r="C38" i="17"/>
  <c r="U23" i="17" s="1"/>
  <c r="C39" i="17"/>
  <c r="U27" i="17" s="1"/>
  <c r="C40" i="17"/>
  <c r="U31" i="17" s="1"/>
  <c r="C42" i="17"/>
  <c r="U35" i="17" s="1"/>
  <c r="C43" i="17"/>
  <c r="U39" i="17" s="1"/>
  <c r="C44" i="17"/>
  <c r="U43" i="17" s="1"/>
  <c r="C47" i="17"/>
  <c r="U51" i="17" s="1"/>
  <c r="C48" i="17"/>
  <c r="U55" i="17" s="1"/>
  <c r="C49" i="17"/>
  <c r="U59" i="17" s="1"/>
  <c r="C50" i="17"/>
  <c r="U63" i="17" s="1"/>
  <c r="C51" i="17"/>
  <c r="U67" i="17" s="1"/>
  <c r="C52" i="17"/>
  <c r="U71" i="17" s="1"/>
  <c r="D159" i="63" l="1"/>
  <c r="D131" i="63"/>
  <c r="D163" i="63"/>
  <c r="D135" i="63"/>
  <c r="D119" i="63"/>
  <c r="D103" i="63"/>
  <c r="D87" i="63"/>
  <c r="D55" i="63"/>
  <c r="D39" i="63"/>
  <c r="D23" i="63"/>
  <c r="D139" i="63"/>
  <c r="D123" i="63"/>
  <c r="D107" i="63"/>
  <c r="D91" i="63"/>
  <c r="D75" i="63"/>
  <c r="D59" i="63"/>
  <c r="D43" i="63"/>
  <c r="D27" i="63"/>
  <c r="D167" i="63"/>
  <c r="D155" i="63"/>
  <c r="D143" i="63"/>
  <c r="D127" i="63"/>
  <c r="D111" i="63"/>
  <c r="D95" i="63"/>
  <c r="D79" i="63"/>
  <c r="D63" i="63"/>
  <c r="D47" i="63"/>
  <c r="D31" i="63"/>
  <c r="D151" i="63"/>
  <c r="D147" i="63"/>
  <c r="D115" i="63"/>
  <c r="D99" i="63"/>
  <c r="D83" i="63"/>
  <c r="D67" i="63"/>
  <c r="D51" i="63"/>
  <c r="D35" i="63"/>
  <c r="D19" i="63"/>
  <c r="D15" i="63"/>
  <c r="D8" i="63"/>
  <c r="D11" i="63"/>
  <c r="D65" i="63"/>
  <c r="D66" i="63"/>
  <c r="D21" i="63"/>
  <c r="D125" i="63"/>
  <c r="D94" i="63"/>
  <c r="D92" i="63"/>
  <c r="D40" i="63"/>
  <c r="D96" i="63"/>
  <c r="D80" i="63"/>
  <c r="D45" i="63"/>
  <c r="D29" i="63"/>
  <c r="D132" i="63"/>
  <c r="D13" i="63"/>
  <c r="L3" i="17"/>
  <c r="L2" i="17"/>
  <c r="D70" i="63"/>
  <c r="D117" i="63"/>
  <c r="D37" i="63"/>
  <c r="D93" i="63"/>
  <c r="D113" i="63"/>
  <c r="D38" i="63"/>
  <c r="D36" i="63"/>
  <c r="D118" i="63"/>
  <c r="D85" i="63"/>
  <c r="D116" i="63"/>
  <c r="D157" i="63"/>
  <c r="D134" i="63"/>
  <c r="D86" i="63"/>
  <c r="D84" i="63"/>
  <c r="D114" i="63"/>
  <c r="D112" i="63"/>
  <c r="D100" i="63"/>
  <c r="D109" i="63"/>
  <c r="D61" i="63"/>
  <c r="D108" i="63"/>
  <c r="D102" i="63"/>
  <c r="D74" i="63"/>
  <c r="D72" i="63"/>
  <c r="D62" i="63"/>
  <c r="D60" i="63"/>
  <c r="D73" i="63"/>
  <c r="D97" i="63"/>
  <c r="D101" i="63"/>
  <c r="D110" i="63"/>
  <c r="D98" i="63"/>
  <c r="D121" i="63"/>
  <c r="D150" i="63"/>
  <c r="D149" i="63"/>
  <c r="D148" i="63"/>
  <c r="D89" i="63"/>
  <c r="D42" i="63"/>
  <c r="D41" i="63"/>
  <c r="D24" i="63"/>
  <c r="D26" i="63"/>
  <c r="D25" i="63"/>
  <c r="D48" i="63"/>
  <c r="D50" i="63"/>
  <c r="D49" i="63"/>
  <c r="D81" i="63"/>
  <c r="D82" i="63"/>
  <c r="D10" i="63"/>
  <c r="D9" i="63"/>
  <c r="D140" i="63"/>
  <c r="D142" i="63"/>
  <c r="D141" i="63"/>
  <c r="D164" i="63"/>
  <c r="D166" i="63"/>
  <c r="D165" i="63"/>
  <c r="D128" i="63"/>
  <c r="D130" i="63"/>
  <c r="D129" i="63"/>
  <c r="D16" i="63"/>
  <c r="D18" i="63"/>
  <c r="D17" i="63"/>
  <c r="D133" i="63"/>
  <c r="D124" i="63"/>
  <c r="D126" i="63"/>
  <c r="D44" i="63"/>
  <c r="D46" i="63"/>
  <c r="D28" i="63"/>
  <c r="D30" i="63"/>
  <c r="D20" i="63"/>
  <c r="D22" i="63"/>
  <c r="D12" i="63"/>
  <c r="D14" i="63"/>
  <c r="D120" i="63"/>
  <c r="D122" i="63"/>
  <c r="D90" i="63"/>
  <c r="D88" i="63"/>
  <c r="D158" i="63"/>
  <c r="D156" i="63"/>
  <c r="D162" i="63"/>
  <c r="D161" i="63"/>
  <c r="D160" i="63"/>
  <c r="D146" i="63"/>
  <c r="D145" i="63"/>
  <c r="D144" i="63"/>
  <c r="D54" i="63"/>
  <c r="D53" i="63"/>
  <c r="D52" i="63"/>
  <c r="D152" i="63"/>
  <c r="D153" i="63"/>
  <c r="D154" i="63"/>
  <c r="D76" i="63"/>
  <c r="D77" i="63"/>
  <c r="D78" i="63"/>
  <c r="D64" i="63"/>
  <c r="D56" i="63"/>
  <c r="D57" i="63"/>
  <c r="D58" i="63"/>
  <c r="D32" i="63"/>
  <c r="D33" i="63"/>
  <c r="D34" i="63"/>
  <c r="D136" i="63"/>
  <c r="D137" i="63"/>
  <c r="D138" i="63"/>
  <c r="D106" i="63"/>
  <c r="D105" i="63"/>
  <c r="D104" i="63"/>
  <c r="I21" i="79" l="1"/>
  <c r="E71" i="79"/>
  <c r="F44" i="96"/>
  <c r="E40" i="96"/>
  <c r="G38" i="96"/>
  <c r="E37" i="96"/>
  <c r="D32" i="96"/>
  <c r="E30" i="96"/>
  <c r="G28" i="96"/>
  <c r="F24" i="96"/>
  <c r="F22" i="96"/>
  <c r="G19" i="96"/>
  <c r="F15" i="96"/>
  <c r="F13" i="96"/>
  <c r="D11" i="96"/>
  <c r="D9" i="96"/>
  <c r="D7" i="96"/>
  <c r="F45" i="95"/>
  <c r="D43" i="95"/>
  <c r="F41" i="95"/>
  <c r="G38" i="95"/>
  <c r="D36" i="95"/>
  <c r="E34" i="95"/>
  <c r="E32" i="95"/>
  <c r="F30" i="95"/>
  <c r="F28" i="95"/>
  <c r="F26" i="95"/>
  <c r="F24" i="95"/>
  <c r="E21" i="95"/>
  <c r="D19" i="95"/>
  <c r="D17" i="95"/>
  <c r="G15" i="95"/>
  <c r="E12" i="95"/>
  <c r="G10" i="95"/>
  <c r="F9" i="95"/>
  <c r="G46" i="94"/>
  <c r="D43" i="94"/>
  <c r="F40" i="94"/>
  <c r="F38" i="94"/>
  <c r="F36" i="94"/>
  <c r="F33" i="94"/>
  <c r="G31" i="94"/>
  <c r="D29" i="94"/>
  <c r="G27" i="94"/>
  <c r="E24" i="94"/>
  <c r="G22" i="94"/>
  <c r="F21" i="94"/>
  <c r="E16" i="94"/>
  <c r="G14" i="94"/>
  <c r="F13" i="94"/>
  <c r="D8" i="94"/>
  <c r="E46" i="93"/>
  <c r="E44" i="93"/>
  <c r="D40" i="93"/>
  <c r="E38" i="93"/>
  <c r="G36" i="93"/>
  <c r="E32" i="93"/>
  <c r="G30" i="93"/>
  <c r="E29" i="93"/>
  <c r="D24" i="93"/>
  <c r="E22" i="93"/>
  <c r="D19" i="93"/>
  <c r="D15" i="93"/>
  <c r="D13" i="93"/>
  <c r="E8" i="93"/>
  <c r="G46" i="92"/>
  <c r="G44" i="92"/>
  <c r="G40" i="92"/>
  <c r="F36" i="92"/>
  <c r="F34" i="92"/>
  <c r="E28" i="92"/>
  <c r="G26" i="92"/>
  <c r="E25" i="92"/>
  <c r="D21" i="92"/>
  <c r="F18" i="92"/>
  <c r="D43" i="96"/>
  <c r="D40" i="96"/>
  <c r="E38" i="96"/>
  <c r="G36" i="96"/>
  <c r="F32" i="96"/>
  <c r="F30" i="96"/>
  <c r="D27" i="96"/>
  <c r="D23" i="96"/>
  <c r="D21" i="96"/>
  <c r="E16" i="96"/>
  <c r="G15" i="96"/>
  <c r="E12" i="96"/>
  <c r="G10" i="96"/>
  <c r="E9" i="96"/>
  <c r="G46" i="95"/>
  <c r="E44" i="95"/>
  <c r="G42" i="95"/>
  <c r="E40" i="95"/>
  <c r="F38" i="95"/>
  <c r="F36" i="95"/>
  <c r="F34" i="95"/>
  <c r="F32" i="95"/>
  <c r="E29" i="95"/>
  <c r="D27" i="95"/>
  <c r="D25" i="95"/>
  <c r="D23" i="95"/>
  <c r="E20" i="95"/>
  <c r="G18" i="95"/>
  <c r="F17" i="95"/>
  <c r="G14" i="95"/>
  <c r="D12" i="95"/>
  <c r="E10" i="95"/>
  <c r="E8" i="95"/>
  <c r="F46" i="94"/>
  <c r="F41" i="94"/>
  <c r="G39" i="94"/>
  <c r="D37" i="94"/>
  <c r="G35" i="94"/>
  <c r="E32" i="94"/>
  <c r="G30" i="94"/>
  <c r="F29" i="94"/>
  <c r="G26" i="94"/>
  <c r="D24" i="94"/>
  <c r="E22" i="94"/>
  <c r="E20" i="94"/>
  <c r="D16" i="94"/>
  <c r="E14" i="94"/>
  <c r="G12" i="94"/>
  <c r="F8" i="94"/>
  <c r="F46" i="93"/>
  <c r="D43" i="93"/>
  <c r="F40" i="93"/>
  <c r="F38" i="93"/>
  <c r="E36" i="93"/>
  <c r="D32" i="93"/>
  <c r="E30" i="93"/>
  <c r="G28" i="93"/>
  <c r="F24" i="93"/>
  <c r="F22" i="93"/>
  <c r="E16" i="93"/>
  <c r="G14" i="93"/>
  <c r="E13" i="93"/>
  <c r="D8" i="93"/>
  <c r="E46" i="92"/>
  <c r="D43" i="92"/>
  <c r="G39" i="92"/>
  <c r="G35" i="92"/>
  <c r="D33" i="92"/>
  <c r="D28" i="92"/>
  <c r="E26" i="92"/>
  <c r="G24" i="92"/>
  <c r="E21" i="92"/>
  <c r="F17" i="92"/>
  <c r="E12" i="92"/>
  <c r="G10" i="92"/>
  <c r="F9" i="92"/>
  <c r="F45" i="91"/>
  <c r="F46" i="96"/>
  <c r="F42" i="96"/>
  <c r="F40" i="96"/>
  <c r="F38" i="96"/>
  <c r="D35" i="96"/>
  <c r="D31" i="96"/>
  <c r="D29" i="96"/>
  <c r="E24" i="96"/>
  <c r="G22" i="96"/>
  <c r="F21" i="96"/>
  <c r="D16" i="96"/>
  <c r="G14" i="96"/>
  <c r="D12" i="96"/>
  <c r="E10" i="96"/>
  <c r="E8" i="96"/>
  <c r="E46" i="95"/>
  <c r="D44" i="95"/>
  <c r="E42" i="95"/>
  <c r="F40" i="95"/>
  <c r="F37" i="95"/>
  <c r="D35" i="95"/>
  <c r="D33" i="95"/>
  <c r="D31" i="95"/>
  <c r="E28" i="95"/>
  <c r="G26" i="95"/>
  <c r="E25" i="95"/>
  <c r="G22" i="95"/>
  <c r="D20" i="95"/>
  <c r="E18" i="95"/>
  <c r="E16" i="95"/>
  <c r="F14" i="95"/>
  <c r="F12" i="95"/>
  <c r="F10" i="95"/>
  <c r="F8" i="95"/>
  <c r="F45" i="94"/>
  <c r="E40" i="94"/>
  <c r="G38" i="94"/>
  <c r="F37" i="94"/>
  <c r="G34" i="94"/>
  <c r="D32" i="94"/>
  <c r="E30" i="94"/>
  <c r="E28" i="94"/>
  <c r="F26" i="94"/>
  <c r="F24" i="94"/>
  <c r="F22" i="94"/>
  <c r="F20" i="94"/>
  <c r="F16" i="94"/>
  <c r="F14" i="94"/>
  <c r="F11" i="94"/>
  <c r="D7" i="94"/>
  <c r="F45" i="93"/>
  <c r="G42" i="93"/>
  <c r="D39" i="93"/>
  <c r="D37" i="93"/>
  <c r="D35" i="93"/>
  <c r="F32" i="93"/>
  <c r="F30" i="93"/>
  <c r="E28" i="93"/>
  <c r="D23" i="93"/>
  <c r="D21" i="93"/>
  <c r="D16" i="93"/>
  <c r="E14" i="93"/>
  <c r="G12" i="93"/>
  <c r="F8" i="93"/>
  <c r="F46" i="92"/>
  <c r="G42" i="92"/>
  <c r="E36" i="92"/>
  <c r="G34" i="92"/>
  <c r="F33" i="92"/>
  <c r="F28" i="92"/>
  <c r="F26" i="92"/>
  <c r="D23" i="92"/>
  <c r="F20" i="92"/>
  <c r="D16" i="92"/>
  <c r="D12" i="92"/>
  <c r="E10" i="92"/>
  <c r="G8" i="92"/>
  <c r="E44" i="91"/>
  <c r="G42" i="91"/>
  <c r="F40" i="91"/>
  <c r="G36" i="91"/>
  <c r="D32" i="91"/>
  <c r="F30" i="91"/>
  <c r="D28" i="91"/>
  <c r="F25" i="91"/>
  <c r="F45" i="96"/>
  <c r="F41" i="96"/>
  <c r="D39" i="96"/>
  <c r="D37" i="96"/>
  <c r="E32" i="96"/>
  <c r="G30" i="96"/>
  <c r="E29" i="96"/>
  <c r="D24" i="96"/>
  <c r="E22" i="96"/>
  <c r="G20" i="96"/>
  <c r="F16" i="96"/>
  <c r="F14" i="96"/>
  <c r="F12" i="96"/>
  <c r="F10" i="96"/>
  <c r="F8" i="96"/>
  <c r="F46" i="95"/>
  <c r="F44" i="95"/>
  <c r="F42" i="95"/>
  <c r="D39" i="95"/>
  <c r="E36" i="95"/>
  <c r="G34" i="95"/>
  <c r="E33" i="95"/>
  <c r="G30" i="95"/>
  <c r="D28" i="95"/>
  <c r="E26" i="95"/>
  <c r="E24" i="95"/>
  <c r="F22" i="95"/>
  <c r="F20" i="95"/>
  <c r="F18" i="95"/>
  <c r="F16" i="95"/>
  <c r="F13" i="95"/>
  <c r="G11" i="95"/>
  <c r="D9" i="95"/>
  <c r="D7" i="95"/>
  <c r="G44" i="94"/>
  <c r="D40" i="94"/>
  <c r="E38" i="94"/>
  <c r="E36" i="94"/>
  <c r="F34" i="94"/>
  <c r="F32" i="94"/>
  <c r="F30" i="94"/>
  <c r="F28" i="94"/>
  <c r="F25" i="94"/>
  <c r="G23" i="94"/>
  <c r="D21" i="94"/>
  <c r="G19" i="94"/>
  <c r="G15" i="94"/>
  <c r="D13" i="94"/>
  <c r="E8" i="94"/>
  <c r="G46" i="93"/>
  <c r="G44" i="93"/>
  <c r="E40" i="93"/>
  <c r="G38" i="93"/>
  <c r="E37" i="93"/>
  <c r="G34" i="93"/>
  <c r="D31" i="93"/>
  <c r="D29" i="93"/>
  <c r="E24" i="93"/>
  <c r="G22" i="93"/>
  <c r="E21" i="93"/>
  <c r="F16" i="93"/>
  <c r="F14" i="93"/>
  <c r="D11" i="93"/>
  <c r="G7" i="93"/>
  <c r="F45" i="92"/>
  <c r="F41" i="92"/>
  <c r="D36" i="92"/>
  <c r="E34" i="92"/>
  <c r="G31" i="92"/>
  <c r="G27" i="92"/>
  <c r="D25" i="92"/>
  <c r="E22" i="92"/>
  <c r="D19" i="92"/>
  <c r="G15" i="92"/>
  <c r="F12" i="92"/>
  <c r="F10" i="92"/>
  <c r="G7" i="92"/>
  <c r="D44" i="91"/>
  <c r="E42" i="91"/>
  <c r="G39" i="91"/>
  <c r="G35" i="91"/>
  <c r="F32" i="91"/>
  <c r="D29" i="91"/>
  <c r="G27" i="91"/>
  <c r="F24" i="91"/>
  <c r="D9" i="92"/>
  <c r="F42" i="91"/>
  <c r="E34" i="91"/>
  <c r="F29" i="91"/>
  <c r="G23" i="91"/>
  <c r="F20" i="91"/>
  <c r="F18" i="91"/>
  <c r="F15" i="91"/>
  <c r="F10" i="91"/>
  <c r="G7" i="91"/>
  <c r="E44" i="90"/>
  <c r="G42" i="90"/>
  <c r="E41" i="90"/>
  <c r="F37" i="90"/>
  <c r="G35" i="90"/>
  <c r="D33" i="90"/>
  <c r="F30" i="90"/>
  <c r="F28" i="90"/>
  <c r="F26" i="90"/>
  <c r="D23" i="90"/>
  <c r="D20" i="90"/>
  <c r="E18" i="90"/>
  <c r="F16" i="90"/>
  <c r="E12" i="90"/>
  <c r="G10" i="90"/>
  <c r="F9" i="90"/>
  <c r="F45" i="89"/>
  <c r="E42" i="89"/>
  <c r="G40" i="89"/>
  <c r="D35" i="89"/>
  <c r="E33" i="89"/>
  <c r="F28" i="89"/>
  <c r="D25" i="89"/>
  <c r="D23" i="89"/>
  <c r="D19" i="89"/>
  <c r="F17" i="89"/>
  <c r="F12" i="89"/>
  <c r="D9" i="89"/>
  <c r="G7" i="89"/>
  <c r="G43" i="88"/>
  <c r="G39" i="88"/>
  <c r="D37" i="88"/>
  <c r="E32" i="88"/>
  <c r="G30" i="88"/>
  <c r="F29" i="88"/>
  <c r="D24" i="88"/>
  <c r="E22" i="88"/>
  <c r="G20" i="88"/>
  <c r="F16" i="88"/>
  <c r="F14" i="88"/>
  <c r="G11" i="88"/>
  <c r="F7" i="88"/>
  <c r="G43" i="87"/>
  <c r="E41" i="87"/>
  <c r="G40" i="87"/>
  <c r="D35" i="87"/>
  <c r="F33" i="87"/>
  <c r="F30" i="87"/>
  <c r="E27" i="87"/>
  <c r="E25" i="87"/>
  <c r="G24" i="87"/>
  <c r="E19" i="87"/>
  <c r="D17" i="87"/>
  <c r="E15" i="87"/>
  <c r="E12" i="87"/>
  <c r="G10" i="87"/>
  <c r="G8" i="87"/>
  <c r="E45" i="86"/>
  <c r="D43" i="86"/>
  <c r="F41" i="86"/>
  <c r="F38" i="86"/>
  <c r="E36" i="86"/>
  <c r="F34" i="86"/>
  <c r="D31" i="86"/>
  <c r="F29" i="86"/>
  <c r="D26" i="86"/>
  <c r="E24" i="86"/>
  <c r="G21" i="86"/>
  <c r="D19" i="86"/>
  <c r="G17" i="86"/>
  <c r="D15" i="86"/>
  <c r="F13" i="86"/>
  <c r="D10" i="86"/>
  <c r="E8" i="86"/>
  <c r="F46" i="85"/>
  <c r="E46" i="91"/>
  <c r="F41" i="91"/>
  <c r="F33" i="91"/>
  <c r="G28" i="91"/>
  <c r="G22" i="91"/>
  <c r="G19" i="91"/>
  <c r="D17" i="91"/>
  <c r="G14" i="91"/>
  <c r="F9" i="91"/>
  <c r="E46" i="90"/>
  <c r="D44" i="90"/>
  <c r="E42" i="90"/>
  <c r="F40" i="90"/>
  <c r="E36" i="90"/>
  <c r="G34" i="90"/>
  <c r="F33" i="90"/>
  <c r="E29" i="90"/>
  <c r="G27" i="90"/>
  <c r="D25" i="90"/>
  <c r="F22" i="90"/>
  <c r="F20" i="90"/>
  <c r="F18" i="90"/>
  <c r="D15" i="90"/>
  <c r="D12" i="90"/>
  <c r="E10" i="90"/>
  <c r="F8" i="90"/>
  <c r="D44" i="89"/>
  <c r="F42" i="89"/>
  <c r="D39" i="89"/>
  <c r="E34" i="89"/>
  <c r="G32" i="89"/>
  <c r="D27" i="89"/>
  <c r="E25" i="89"/>
  <c r="G22" i="89"/>
  <c r="E18" i="89"/>
  <c r="G16" i="89"/>
  <c r="G11" i="89"/>
  <c r="F9" i="89"/>
  <c r="G46" i="88"/>
  <c r="E40" i="88"/>
  <c r="G38" i="88"/>
  <c r="F37" i="88"/>
  <c r="D32" i="88"/>
  <c r="E30" i="88"/>
  <c r="G28" i="88"/>
  <c r="F24" i="88"/>
  <c r="F22" i="88"/>
  <c r="G19" i="88"/>
  <c r="G15" i="88"/>
  <c r="D13" i="88"/>
  <c r="E8" i="88"/>
  <c r="G46" i="87"/>
  <c r="D43" i="87"/>
  <c r="F41" i="87"/>
  <c r="G39" i="87"/>
  <c r="F35" i="87"/>
  <c r="E32" i="87"/>
  <c r="E29" i="87"/>
  <c r="D27" i="87"/>
  <c r="D25" i="87"/>
  <c r="G23" i="87"/>
  <c r="D19" i="87"/>
  <c r="E16" i="87"/>
  <c r="G15" i="87"/>
  <c r="E11" i="87"/>
  <c r="F9" i="87"/>
  <c r="G7" i="87"/>
  <c r="D45" i="86"/>
  <c r="E42" i="86"/>
  <c r="E40" i="86"/>
  <c r="G37" i="86"/>
  <c r="D35" i="86"/>
  <c r="F33" i="86"/>
  <c r="F30" i="86"/>
  <c r="E28" i="86"/>
  <c r="F26" i="86"/>
  <c r="E23" i="86"/>
  <c r="D21" i="86"/>
  <c r="E18" i="86"/>
  <c r="F17" i="86"/>
  <c r="F14" i="86"/>
  <c r="E12" i="86"/>
  <c r="F10" i="86"/>
  <c r="E7" i="86"/>
  <c r="F13" i="92"/>
  <c r="F44" i="91"/>
  <c r="F38" i="91"/>
  <c r="G31" i="91"/>
  <c r="E26" i="91"/>
  <c r="E20" i="91"/>
  <c r="G18" i="91"/>
  <c r="F17" i="91"/>
  <c r="E12" i="91"/>
  <c r="D8" i="91"/>
  <c r="F46" i="90"/>
  <c r="F44" i="90"/>
  <c r="F42" i="90"/>
  <c r="D39" i="90"/>
  <c r="D36" i="90"/>
  <c r="E34" i="90"/>
  <c r="F32" i="90"/>
  <c r="E28" i="90"/>
  <c r="G26" i="90"/>
  <c r="F25" i="90"/>
  <c r="E21" i="90"/>
  <c r="D19" i="90"/>
  <c r="D17" i="90"/>
  <c r="F14" i="90"/>
  <c r="F12" i="90"/>
  <c r="F10" i="90"/>
  <c r="D7" i="90"/>
  <c r="F44" i="89"/>
  <c r="D41" i="89"/>
  <c r="D36" i="89"/>
  <c r="F34" i="89"/>
  <c r="D31" i="89"/>
  <c r="E26" i="89"/>
  <c r="G24" i="89"/>
  <c r="D20" i="89"/>
  <c r="F18" i="89"/>
  <c r="F15" i="89"/>
  <c r="E10" i="89"/>
  <c r="G8" i="89"/>
  <c r="F45" i="88"/>
  <c r="D40" i="88"/>
  <c r="E38" i="88"/>
  <c r="G36" i="88"/>
  <c r="F32" i="88"/>
  <c r="F30" i="88"/>
  <c r="G27" i="88"/>
  <c r="F23" i="88"/>
  <c r="D21" i="88"/>
  <c r="E16" i="88"/>
  <c r="G14" i="88"/>
  <c r="F13" i="88"/>
  <c r="D8" i="88"/>
  <c r="D44" i="87"/>
  <c r="F43" i="87"/>
  <c r="E40" i="87"/>
  <c r="G38" i="87"/>
  <c r="F34" i="87"/>
  <c r="D32" i="87"/>
  <c r="D29" i="87"/>
  <c r="F27" i="87"/>
  <c r="E24" i="87"/>
  <c r="G22" i="87"/>
  <c r="F19" i="87"/>
  <c r="D16" i="87"/>
  <c r="F14" i="87"/>
  <c r="D11" i="87"/>
  <c r="E8" i="87"/>
  <c r="E7" i="87"/>
  <c r="F45" i="86"/>
  <c r="D42" i="86"/>
  <c r="E39" i="86"/>
  <c r="D37" i="86"/>
  <c r="E34" i="86"/>
  <c r="E32" i="86"/>
  <c r="G29" i="86"/>
  <c r="D27" i="86"/>
  <c r="G25" i="86"/>
  <c r="D23" i="86"/>
  <c r="F21" i="86"/>
  <c r="D18" i="86"/>
  <c r="E16" i="86"/>
  <c r="D11" i="92"/>
  <c r="D43" i="91"/>
  <c r="F37" i="91"/>
  <c r="E30" i="91"/>
  <c r="D25" i="91"/>
  <c r="D20" i="91"/>
  <c r="E18" i="91"/>
  <c r="G16" i="91"/>
  <c r="G11" i="91"/>
  <c r="F8" i="91"/>
  <c r="F45" i="90"/>
  <c r="D43" i="90"/>
  <c r="D41" i="90"/>
  <c r="F38" i="90"/>
  <c r="F36" i="90"/>
  <c r="F34" i="90"/>
  <c r="G31" i="90"/>
  <c r="D28" i="90"/>
  <c r="E26" i="90"/>
  <c r="F24" i="90"/>
  <c r="E20" i="90"/>
  <c r="G18" i="90"/>
  <c r="E17" i="90"/>
  <c r="F13" i="90"/>
  <c r="G11" i="90"/>
  <c r="D9" i="90"/>
  <c r="F46" i="89"/>
  <c r="D43" i="89"/>
  <c r="E41" i="89"/>
  <c r="F36" i="89"/>
  <c r="D33" i="89"/>
  <c r="D28" i="89"/>
  <c r="F26" i="89"/>
  <c r="E24" i="89"/>
  <c r="F20" i="89"/>
  <c r="D17" i="89"/>
  <c r="D12" i="89"/>
  <c r="F10" i="89"/>
  <c r="E8" i="89"/>
  <c r="G44" i="88"/>
  <c r="F40" i="88"/>
  <c r="F38" i="88"/>
  <c r="G35" i="88"/>
  <c r="G31" i="88"/>
  <c r="D29" i="88"/>
  <c r="E24" i="88"/>
  <c r="G22" i="88"/>
  <c r="F21" i="88"/>
  <c r="D16" i="88"/>
  <c r="E14" i="88"/>
  <c r="G12" i="88"/>
  <c r="F8" i="88"/>
  <c r="G44" i="87"/>
  <c r="G42" i="87"/>
  <c r="D40" i="87"/>
  <c r="E35" i="87"/>
  <c r="E33" i="87"/>
  <c r="G32" i="87"/>
  <c r="E28" i="87"/>
  <c r="E26" i="87"/>
  <c r="D24" i="87"/>
  <c r="F21" i="87"/>
  <c r="F18" i="87"/>
  <c r="G16" i="87"/>
  <c r="D13" i="87"/>
  <c r="F11" i="87"/>
  <c r="D8" i="87"/>
  <c r="G46" i="86"/>
  <c r="E44" i="86"/>
  <c r="F42" i="86"/>
  <c r="D39" i="86"/>
  <c r="F37" i="86"/>
  <c r="D34" i="86"/>
  <c r="E31" i="86"/>
  <c r="D29" i="86"/>
  <c r="E26" i="86"/>
  <c r="F25" i="86"/>
  <c r="F22" i="86"/>
  <c r="E20" i="86"/>
  <c r="F18" i="86"/>
  <c r="E15" i="86"/>
  <c r="D13" i="86"/>
  <c r="E10" i="86"/>
  <c r="F9" i="86"/>
  <c r="G46" i="85"/>
  <c r="G9" i="86"/>
  <c r="G43" i="85"/>
  <c r="D40" i="85"/>
  <c r="E38" i="85"/>
  <c r="F36" i="85"/>
  <c r="E32" i="85"/>
  <c r="G30" i="85"/>
  <c r="F29" i="85"/>
  <c r="D24" i="85"/>
  <c r="E22" i="85"/>
  <c r="G20" i="85"/>
  <c r="F16" i="85"/>
  <c r="F14" i="85"/>
  <c r="D11" i="85"/>
  <c r="G7" i="85"/>
  <c r="F45" i="84"/>
  <c r="G42" i="84"/>
  <c r="D40" i="84"/>
  <c r="E38" i="84"/>
  <c r="G36" i="84"/>
  <c r="E32" i="84"/>
  <c r="G30" i="84"/>
  <c r="E29" i="84"/>
  <c r="G26" i="84"/>
  <c r="G23" i="84"/>
  <c r="D21" i="84"/>
  <c r="G19" i="84"/>
  <c r="F16" i="84"/>
  <c r="F14" i="84"/>
  <c r="E12" i="84"/>
  <c r="D8" i="84"/>
  <c r="E46" i="83"/>
  <c r="G44" i="83"/>
  <c r="F42" i="83"/>
  <c r="D40" i="83"/>
  <c r="D36" i="83"/>
  <c r="F34" i="83"/>
  <c r="D31" i="83"/>
  <c r="E26" i="83"/>
  <c r="D23" i="83"/>
  <c r="E18" i="83"/>
  <c r="G16" i="83"/>
  <c r="F11" i="83"/>
  <c r="G9" i="83"/>
  <c r="D46" i="82"/>
  <c r="E44" i="82"/>
  <c r="G42" i="82"/>
  <c r="F40" i="82"/>
  <c r="E37" i="82"/>
  <c r="H34" i="82"/>
  <c r="I34" i="82" s="1"/>
  <c r="E33" i="82"/>
  <c r="D31" i="82"/>
  <c r="F28" i="82"/>
  <c r="G25" i="82"/>
  <c r="F24" i="82"/>
  <c r="H20" i="82"/>
  <c r="I20" i="82" s="1"/>
  <c r="H18" i="82"/>
  <c r="I18" i="82" s="1"/>
  <c r="F17" i="82"/>
  <c r="G16" i="82"/>
  <c r="F13" i="82"/>
  <c r="H10" i="82"/>
  <c r="I10" i="82" s="1"/>
  <c r="F9" i="82"/>
  <c r="G8" i="82"/>
  <c r="D7" i="82"/>
  <c r="E44" i="81"/>
  <c r="J42" i="81"/>
  <c r="K42" i="81" s="1"/>
  <c r="H39" i="81"/>
  <c r="I39" i="81" s="1"/>
  <c r="G38" i="81"/>
  <c r="G36" i="81"/>
  <c r="E34" i="81"/>
  <c r="E30" i="81"/>
  <c r="G28" i="81"/>
  <c r="E26" i="81"/>
  <c r="J24" i="81"/>
  <c r="K24" i="81" s="1"/>
  <c r="D23" i="81"/>
  <c r="E22" i="81"/>
  <c r="D20" i="81"/>
  <c r="D19" i="81"/>
  <c r="E16" i="81"/>
  <c r="E14" i="81"/>
  <c r="J11" i="81"/>
  <c r="K11" i="81" s="1"/>
  <c r="E9" i="81"/>
  <c r="D7" i="86"/>
  <c r="F42" i="85"/>
  <c r="F40" i="85"/>
  <c r="F38" i="85"/>
  <c r="G35" i="85"/>
  <c r="D32" i="85"/>
  <c r="E30" i="85"/>
  <c r="G28" i="85"/>
  <c r="F24" i="85"/>
  <c r="F22" i="85"/>
  <c r="D19" i="85"/>
  <c r="G15" i="85"/>
  <c r="D13" i="85"/>
  <c r="E8" i="85"/>
  <c r="G46" i="84"/>
  <c r="E44" i="84"/>
  <c r="F42" i="84"/>
  <c r="F40" i="84"/>
  <c r="F38" i="84"/>
  <c r="E36" i="84"/>
  <c r="D32" i="84"/>
  <c r="E30" i="84"/>
  <c r="G28" i="84"/>
  <c r="E24" i="84"/>
  <c r="G22" i="84"/>
  <c r="E21" i="84"/>
  <c r="G18" i="84"/>
  <c r="D15" i="84"/>
  <c r="D13" i="84"/>
  <c r="F11" i="84"/>
  <c r="F8" i="84"/>
  <c r="F46" i="83"/>
  <c r="E44" i="83"/>
  <c r="D41" i="83"/>
  <c r="D39" i="83"/>
  <c r="F36" i="83"/>
  <c r="E33" i="83"/>
  <c r="D29" i="83"/>
  <c r="F26" i="83"/>
  <c r="D21" i="83"/>
  <c r="F18" i="83"/>
  <c r="D15" i="83"/>
  <c r="E10" i="83"/>
  <c r="G8" i="83"/>
  <c r="G45" i="82"/>
  <c r="G43" i="82"/>
  <c r="G41" i="82"/>
  <c r="D39" i="82"/>
  <c r="F36" i="82"/>
  <c r="D34" i="82"/>
  <c r="J33" i="82"/>
  <c r="K33" i="82" s="1"/>
  <c r="E31" i="82"/>
  <c r="J28" i="82"/>
  <c r="K28" i="82" s="1"/>
  <c r="E25" i="82"/>
  <c r="D24" i="82"/>
  <c r="D20" i="82"/>
  <c r="E18" i="82"/>
  <c r="J16" i="82"/>
  <c r="K16" i="82" s="1"/>
  <c r="E15" i="82"/>
  <c r="J12" i="82"/>
  <c r="K12" i="82" s="1"/>
  <c r="H11" i="82"/>
  <c r="I11" i="82" s="1"/>
  <c r="E10" i="82"/>
  <c r="J8" i="82"/>
  <c r="K8" i="82" s="1"/>
  <c r="J7" i="82"/>
  <c r="K7" i="82" s="1"/>
  <c r="H43" i="81"/>
  <c r="I43" i="81" s="1"/>
  <c r="E41" i="81"/>
  <c r="E39" i="81"/>
  <c r="F38" i="81"/>
  <c r="H35" i="81"/>
  <c r="I35" i="81" s="1"/>
  <c r="F33" i="81"/>
  <c r="E29" i="81"/>
  <c r="H27" i="81"/>
  <c r="I27" i="81" s="1"/>
  <c r="J25" i="81"/>
  <c r="K25" i="81" s="1"/>
  <c r="D24" i="81"/>
  <c r="J23" i="81"/>
  <c r="K23" i="81" s="1"/>
  <c r="F21" i="81"/>
  <c r="G20" i="81"/>
  <c r="J19" i="81"/>
  <c r="K19" i="81" s="1"/>
  <c r="G16" i="81"/>
  <c r="E13" i="81"/>
  <c r="G13" i="86"/>
  <c r="F45" i="85"/>
  <c r="F41" i="85"/>
  <c r="G39" i="85"/>
  <c r="D37" i="85"/>
  <c r="F34" i="85"/>
  <c r="F32" i="85"/>
  <c r="F30" i="85"/>
  <c r="G27" i="85"/>
  <c r="G23" i="85"/>
  <c r="D21" i="85"/>
  <c r="E16" i="85"/>
  <c r="G14" i="85"/>
  <c r="F13" i="85"/>
  <c r="D8" i="85"/>
  <c r="E46" i="84"/>
  <c r="F44" i="84"/>
  <c r="F41" i="84"/>
  <c r="G39" i="84"/>
  <c r="D37" i="84"/>
  <c r="G35" i="84"/>
  <c r="F32" i="84"/>
  <c r="F30" i="84"/>
  <c r="E28" i="84"/>
  <c r="D24" i="84"/>
  <c r="E22" i="84"/>
  <c r="G20" i="84"/>
  <c r="E16" i="84"/>
  <c r="G14" i="84"/>
  <c r="E13" i="84"/>
  <c r="G10" i="84"/>
  <c r="F7" i="84"/>
  <c r="D45" i="83"/>
  <c r="G43" i="83"/>
  <c r="E41" i="83"/>
  <c r="D37" i="83"/>
  <c r="G35" i="83"/>
  <c r="D33" i="83"/>
  <c r="F28" i="83"/>
  <c r="G25" i="83"/>
  <c r="F20" i="83"/>
  <c r="G17" i="83"/>
  <c r="D12" i="83"/>
  <c r="D10" i="83"/>
  <c r="D8" i="83"/>
  <c r="E45" i="82"/>
  <c r="H42" i="82"/>
  <c r="I42" i="82" s="1"/>
  <c r="E41" i="82"/>
  <c r="E39" i="82"/>
  <c r="J36" i="82"/>
  <c r="K36" i="82" s="1"/>
  <c r="G34" i="82"/>
  <c r="F32" i="82"/>
  <c r="H30" i="82"/>
  <c r="I30" i="82" s="1"/>
  <c r="G27" i="82"/>
  <c r="J25" i="82"/>
  <c r="K25" i="82" s="1"/>
  <c r="G23" i="82"/>
  <c r="D19" i="82"/>
  <c r="J17" i="82"/>
  <c r="K17" i="82" s="1"/>
  <c r="E16" i="82"/>
  <c r="E14" i="82"/>
  <c r="D12" i="82"/>
  <c r="D11" i="82"/>
  <c r="J9" i="82"/>
  <c r="K9" i="82" s="1"/>
  <c r="E8" i="82"/>
  <c r="H7" i="82"/>
  <c r="I7" i="82" s="1"/>
  <c r="J46" i="81"/>
  <c r="K46" i="81" s="1"/>
  <c r="J43" i="81"/>
  <c r="K43" i="81" s="1"/>
  <c r="J41" i="81"/>
  <c r="K41" i="81" s="1"/>
  <c r="D39" i="81"/>
  <c r="F37" i="81"/>
  <c r="J35" i="81"/>
  <c r="K35" i="81" s="1"/>
  <c r="G32" i="81"/>
  <c r="F29" i="81"/>
  <c r="J27" i="81"/>
  <c r="K27" i="81" s="1"/>
  <c r="E25" i="81"/>
  <c r="G24" i="81"/>
  <c r="H22" i="81"/>
  <c r="I22" i="81" s="1"/>
  <c r="J20" i="81"/>
  <c r="K20" i="81" s="1"/>
  <c r="H19" i="81"/>
  <c r="I19" i="81" s="1"/>
  <c r="E18" i="81"/>
  <c r="E15" i="81"/>
  <c r="F13" i="81"/>
  <c r="E10" i="81"/>
  <c r="J8" i="81"/>
  <c r="K8" i="81" s="1"/>
  <c r="D7" i="81"/>
  <c r="D11" i="86"/>
  <c r="F44" i="85"/>
  <c r="E40" i="85"/>
  <c r="G38" i="85"/>
  <c r="F37" i="85"/>
  <c r="F33" i="85"/>
  <c r="G31" i="85"/>
  <c r="D29" i="85"/>
  <c r="E24" i="85"/>
  <c r="G22" i="85"/>
  <c r="F21" i="85"/>
  <c r="D16" i="85"/>
  <c r="E14" i="85"/>
  <c r="G12" i="85"/>
  <c r="F8" i="85"/>
  <c r="F46" i="84"/>
  <c r="G43" i="84"/>
  <c r="E40" i="84"/>
  <c r="G38" i="84"/>
  <c r="F37" i="84"/>
  <c r="G34" i="84"/>
  <c r="D31" i="84"/>
  <c r="D29" i="84"/>
  <c r="D27" i="84"/>
  <c r="F24" i="84"/>
  <c r="F22" i="84"/>
  <c r="E20" i="84"/>
  <c r="D16" i="84"/>
  <c r="E14" i="84"/>
  <c r="G12" i="84"/>
  <c r="E8" i="84"/>
  <c r="G46" i="83"/>
  <c r="E45" i="83"/>
  <c r="E42" i="83"/>
  <c r="G40" i="83"/>
  <c r="E36" i="83"/>
  <c r="E34" i="83"/>
  <c r="G33" i="83"/>
  <c r="G27" i="83"/>
  <c r="G24" i="83"/>
  <c r="G19" i="83"/>
  <c r="D16" i="83"/>
  <c r="F12" i="83"/>
  <c r="D9" i="83"/>
  <c r="D7" i="83"/>
  <c r="J45" i="82"/>
  <c r="K45" i="82" s="1"/>
  <c r="D42" i="82"/>
  <c r="J41" i="82"/>
  <c r="K41" i="82" s="1"/>
  <c r="H38" i="82"/>
  <c r="I38" i="82" s="1"/>
  <c r="G35" i="82"/>
  <c r="G33" i="82"/>
  <c r="J32" i="82"/>
  <c r="K32" i="82" s="1"/>
  <c r="E29" i="82"/>
  <c r="F26" i="82"/>
  <c r="J24" i="82"/>
  <c r="K24" i="82" s="1"/>
  <c r="J20" i="82"/>
  <c r="K20" i="82" s="1"/>
  <c r="G19" i="82"/>
  <c r="E17" i="82"/>
  <c r="D16" i="82"/>
  <c r="E13" i="82"/>
  <c r="G12" i="82"/>
  <c r="J11" i="82"/>
  <c r="K11" i="82" s="1"/>
  <c r="E9" i="82"/>
  <c r="D8" i="82"/>
  <c r="E7" i="82"/>
  <c r="J45" i="81"/>
  <c r="K45" i="81" s="1"/>
  <c r="F42" i="81"/>
  <c r="G40" i="81"/>
  <c r="J39" i="81"/>
  <c r="K39" i="81" s="1"/>
  <c r="J36" i="81"/>
  <c r="K36" i="81" s="1"/>
  <c r="F34" i="81"/>
  <c r="J31" i="81"/>
  <c r="K31" i="81" s="1"/>
  <c r="J28" i="81"/>
  <c r="K28" i="81" s="1"/>
  <c r="F26" i="81"/>
  <c r="F25" i="81"/>
  <c r="H23" i="81"/>
  <c r="I23" i="81" s="1"/>
  <c r="F22" i="81"/>
  <c r="E20" i="81"/>
  <c r="E19" i="81"/>
  <c r="F17" i="81"/>
  <c r="J15" i="81"/>
  <c r="K15" i="81" s="1"/>
  <c r="G12" i="81"/>
  <c r="J9" i="81"/>
  <c r="K9" i="81" s="1"/>
  <c r="D8" i="81"/>
  <c r="J7" i="81"/>
  <c r="K7" i="81" s="1"/>
  <c r="G8" i="81"/>
  <c r="F10" i="81"/>
  <c r="F9" i="81"/>
  <c r="H7" i="81"/>
  <c r="I7" i="81" s="1"/>
  <c r="G11" i="81"/>
  <c r="J21" i="82"/>
  <c r="K21" i="82" s="1"/>
  <c r="E32" i="83"/>
  <c r="F20" i="85"/>
  <c r="G26" i="85"/>
  <c r="H32" i="81"/>
  <c r="I32" i="81" s="1"/>
  <c r="E14" i="83"/>
  <c r="H10" i="81"/>
  <c r="I10" i="81" s="1"/>
  <c r="F14" i="81"/>
  <c r="G19" i="81"/>
  <c r="H26" i="81"/>
  <c r="I26" i="81" s="1"/>
  <c r="F30" i="81"/>
  <c r="D35" i="81"/>
  <c r="D44" i="81"/>
  <c r="E12" i="82"/>
  <c r="G20" i="82"/>
  <c r="D27" i="82"/>
  <c r="E8" i="83"/>
  <c r="D20" i="83"/>
  <c r="E22" i="83"/>
  <c r="E40" i="83"/>
  <c r="D12" i="84"/>
  <c r="D28" i="84"/>
  <c r="D9" i="85"/>
  <c r="H16" i="81"/>
  <c r="I16" i="81" s="1"/>
  <c r="E11" i="81"/>
  <c r="D16" i="81"/>
  <c r="G23" i="81"/>
  <c r="H30" i="81"/>
  <c r="I30" i="81" s="1"/>
  <c r="E36" i="81"/>
  <c r="E45" i="81"/>
  <c r="E19" i="82"/>
  <c r="G29" i="82"/>
  <c r="H31" i="82"/>
  <c r="I31" i="82" s="1"/>
  <c r="G38" i="82"/>
  <c r="G39" i="82"/>
  <c r="D13" i="83"/>
  <c r="E20" i="83"/>
  <c r="E29" i="83"/>
  <c r="F10" i="84"/>
  <c r="F26" i="84"/>
  <c r="F12" i="85"/>
  <c r="G18" i="85"/>
  <c r="D28" i="85"/>
  <c r="H28" i="81"/>
  <c r="I28" i="81" s="1"/>
  <c r="H36" i="81"/>
  <c r="I36" i="81" s="1"/>
  <c r="J15" i="82"/>
  <c r="K15" i="82" s="1"/>
  <c r="D23" i="82"/>
  <c r="H27" i="82"/>
  <c r="I27" i="82" s="1"/>
  <c r="J43" i="82"/>
  <c r="K43" i="82" s="1"/>
  <c r="F24" i="83"/>
  <c r="G32" i="83"/>
  <c r="E38" i="83"/>
  <c r="D17" i="84"/>
  <c r="D33" i="84"/>
  <c r="G20" i="87"/>
  <c r="F45" i="87"/>
  <c r="F33" i="88"/>
  <c r="F30" i="89"/>
  <c r="G38" i="89"/>
  <c r="G24" i="85"/>
  <c r="D36" i="85"/>
  <c r="D44" i="85"/>
  <c r="G18" i="86"/>
  <c r="E27" i="86"/>
  <c r="D38" i="86"/>
  <c r="D7" i="87"/>
  <c r="G28" i="87"/>
  <c r="F10" i="88"/>
  <c r="D20" i="88"/>
  <c r="G26" i="88"/>
  <c r="F42" i="88"/>
  <c r="D8" i="89"/>
  <c r="F24" i="89"/>
  <c r="E37" i="89"/>
  <c r="G16" i="84"/>
  <c r="D41" i="84"/>
  <c r="E36" i="85"/>
  <c r="G15" i="81"/>
  <c r="E22" i="82"/>
  <c r="F10" i="85"/>
  <c r="E20" i="85"/>
  <c r="E26" i="85"/>
  <c r="F13" i="83"/>
  <c r="G28" i="83"/>
  <c r="D11" i="81"/>
  <c r="H15" i="81"/>
  <c r="I15" i="81" s="1"/>
  <c r="H20" i="81"/>
  <c r="I20" i="81" s="1"/>
  <c r="D27" i="81"/>
  <c r="H31" i="81"/>
  <c r="I31" i="81" s="1"/>
  <c r="D36" i="81"/>
  <c r="G7" i="82"/>
  <c r="J13" i="82"/>
  <c r="K13" i="82" s="1"/>
  <c r="E20" i="82"/>
  <c r="D35" i="82"/>
  <c r="E9" i="83"/>
  <c r="F21" i="83"/>
  <c r="D24" i="83"/>
  <c r="F44" i="83"/>
  <c r="F20" i="84"/>
  <c r="F36" i="84"/>
  <c r="F25" i="85"/>
  <c r="G31" i="81"/>
  <c r="E12" i="81"/>
  <c r="J17" i="81"/>
  <c r="K17" i="81" s="1"/>
  <c r="H24" i="81"/>
  <c r="I24" i="81" s="1"/>
  <c r="D31" i="81"/>
  <c r="D40" i="81"/>
  <c r="G11" i="82"/>
  <c r="H19" i="82"/>
  <c r="I19" i="82" s="1"/>
  <c r="G30" i="82"/>
  <c r="G31" i="82"/>
  <c r="D38" i="82"/>
  <c r="G46" i="82"/>
  <c r="F16" i="83"/>
  <c r="D25" i="83"/>
  <c r="G30" i="83"/>
  <c r="E10" i="84"/>
  <c r="E26" i="84"/>
  <c r="E12" i="85"/>
  <c r="E18" i="85"/>
  <c r="H18" i="81"/>
  <c r="I18" i="81" s="1"/>
  <c r="E31" i="81"/>
  <c r="E40" i="81"/>
  <c r="G15" i="82"/>
  <c r="H23" i="82"/>
  <c r="I23" i="82" s="1"/>
  <c r="J35" i="82"/>
  <c r="K35" i="82" s="1"/>
  <c r="E43" i="82"/>
  <c r="E24" i="83"/>
  <c r="F37" i="83"/>
  <c r="F9" i="84"/>
  <c r="E25" i="84"/>
  <c r="F17" i="85"/>
  <c r="D20" i="87"/>
  <c r="E45" i="87"/>
  <c r="D33" i="88"/>
  <c r="G30" i="89"/>
  <c r="E38" i="89"/>
  <c r="G32" i="85"/>
  <c r="G40" i="85"/>
  <c r="G10" i="86"/>
  <c r="E19" i="86"/>
  <c r="D30" i="86"/>
  <c r="G42" i="86"/>
  <c r="E9" i="87"/>
  <c r="D28" i="87"/>
  <c r="E10" i="88"/>
  <c r="E20" i="88"/>
  <c r="F36" i="88"/>
  <c r="E42" i="88"/>
  <c r="F13" i="89"/>
  <c r="D24" i="89"/>
  <c r="D37" i="89"/>
  <c r="G24" i="84"/>
  <c r="E42" i="84"/>
  <c r="G42" i="85"/>
  <c r="E14" i="86"/>
  <c r="E30" i="86"/>
  <c r="G45" i="86"/>
  <c r="E17" i="87"/>
  <c r="G36" i="87"/>
  <c r="D9" i="88"/>
  <c r="D41" i="88"/>
  <c r="H40" i="81"/>
  <c r="I40" i="81" s="1"/>
  <c r="H22" i="82"/>
  <c r="I22" i="82" s="1"/>
  <c r="G10" i="85"/>
  <c r="D20" i="85"/>
  <c r="H11" i="81"/>
  <c r="I11" i="81" s="1"/>
  <c r="E13" i="83"/>
  <c r="E7" i="81"/>
  <c r="D12" i="81"/>
  <c r="J16" i="81"/>
  <c r="K16" i="81" s="1"/>
  <c r="E23" i="81"/>
  <c r="D28" i="81"/>
  <c r="J32" i="81"/>
  <c r="K32" i="81" s="1"/>
  <c r="G39" i="81"/>
  <c r="H8" i="82"/>
  <c r="I8" i="82" s="1"/>
  <c r="H14" i="82"/>
  <c r="I14" i="82" s="1"/>
  <c r="E23" i="82"/>
  <c r="D43" i="82"/>
  <c r="E12" i="83"/>
  <c r="E21" i="83"/>
  <c r="G36" i="83"/>
  <c r="D44" i="83"/>
  <c r="D20" i="84"/>
  <c r="D36" i="84"/>
  <c r="D25" i="85"/>
  <c r="G7" i="81"/>
  <c r="H14" i="81"/>
  <c r="I14" i="81" s="1"/>
  <c r="F18" i="81"/>
  <c r="E27" i="81"/>
  <c r="D32" i="81"/>
  <c r="E43" i="81"/>
  <c r="H12" i="82"/>
  <c r="I12" i="82" s="1"/>
  <c r="E21" i="82"/>
  <c r="D30" i="82"/>
  <c r="J37" i="82"/>
  <c r="K37" i="82" s="1"/>
  <c r="J39" i="82"/>
  <c r="K39" i="82" s="1"/>
  <c r="H46" i="82"/>
  <c r="I46" i="82" s="1"/>
  <c r="E16" i="83"/>
  <c r="D28" i="83"/>
  <c r="E30" i="83"/>
  <c r="F18" i="84"/>
  <c r="F34" i="84"/>
  <c r="D12" i="85"/>
  <c r="F28" i="85"/>
  <c r="J21" i="81"/>
  <c r="K21" i="81" s="1"/>
  <c r="E32" i="81"/>
  <c r="G43" i="81"/>
  <c r="H15" i="82"/>
  <c r="I15" i="82" s="1"/>
  <c r="J27" i="82"/>
  <c r="K27" i="82" s="1"/>
  <c r="E35" i="82"/>
  <c r="H43" i="82"/>
  <c r="I43" i="82" s="1"/>
  <c r="E25" i="83"/>
  <c r="E37" i="83"/>
  <c r="D9" i="84"/>
  <c r="D25" i="84"/>
  <c r="D17" i="85"/>
  <c r="F31" i="87"/>
  <c r="F17" i="88"/>
  <c r="F14" i="89"/>
  <c r="E30" i="89"/>
  <c r="G8" i="85"/>
  <c r="D33" i="85"/>
  <c r="D41" i="85"/>
  <c r="E11" i="86"/>
  <c r="D22" i="86"/>
  <c r="G34" i="86"/>
  <c r="E43" i="86"/>
  <c r="E13" i="87"/>
  <c r="F37" i="87"/>
  <c r="G10" i="88"/>
  <c r="F26" i="88"/>
  <c r="D36" i="88"/>
  <c r="F21" i="82"/>
  <c r="F32" i="83"/>
  <c r="E10" i="85"/>
  <c r="F26" i="85"/>
  <c r="J12" i="81"/>
  <c r="K12" i="81" s="1"/>
  <c r="G14" i="83"/>
  <c r="E8" i="81"/>
  <c r="J13" i="81"/>
  <c r="K13" i="81" s="1"/>
  <c r="E17" i="81"/>
  <c r="E24" i="81"/>
  <c r="J29" i="81"/>
  <c r="K29" i="81" s="1"/>
  <c r="H34" i="81"/>
  <c r="I34" i="81" s="1"/>
  <c r="D43" i="81"/>
  <c r="E11" i="82"/>
  <c r="D15" i="82"/>
  <c r="J26" i="82"/>
  <c r="K26" i="82" s="1"/>
  <c r="F8" i="83"/>
  <c r="D17" i="83"/>
  <c r="G22" i="83"/>
  <c r="F40" i="83"/>
  <c r="F12" i="84"/>
  <c r="F28" i="84"/>
  <c r="E9" i="85"/>
  <c r="H12" i="81"/>
  <c r="I12" i="81" s="1"/>
  <c r="H8" i="81"/>
  <c r="I8" i="81" s="1"/>
  <c r="D15" i="81"/>
  <c r="E21" i="81"/>
  <c r="E28" i="81"/>
  <c r="E35" i="81"/>
  <c r="H44" i="81"/>
  <c r="I44" i="81" s="1"/>
  <c r="J19" i="82"/>
  <c r="K19" i="82" s="1"/>
  <c r="J29" i="82"/>
  <c r="K29" i="82" s="1"/>
  <c r="J31" i="82"/>
  <c r="K31" i="82" s="1"/>
  <c r="G37" i="82"/>
  <c r="H39" i="82"/>
  <c r="I39" i="82" s="1"/>
  <c r="G12" i="83"/>
  <c r="E17" i="83"/>
  <c r="F29" i="83"/>
  <c r="D32" i="83"/>
  <c r="E18" i="84"/>
  <c r="E34" i="84"/>
  <c r="F18" i="85"/>
  <c r="E28" i="85"/>
  <c r="G27" i="81"/>
  <c r="G35" i="81"/>
  <c r="G45" i="81"/>
  <c r="J23" i="82"/>
  <c r="K23" i="82" s="1"/>
  <c r="E27" i="82"/>
  <c r="H35" i="82"/>
  <c r="I35" i="82" s="1"/>
  <c r="G20" i="83"/>
  <c r="E28" i="83"/>
  <c r="G38" i="83"/>
  <c r="E17" i="84"/>
  <c r="F33" i="84"/>
  <c r="G44" i="84"/>
  <c r="D31" i="87"/>
  <c r="D17" i="88"/>
  <c r="E14" i="89"/>
  <c r="F38" i="89"/>
  <c r="G16" i="85"/>
  <c r="E34" i="85"/>
  <c r="E42" i="85"/>
  <c r="D14" i="86"/>
  <c r="G26" i="86"/>
  <c r="E35" i="86"/>
  <c r="F7" i="87"/>
  <c r="E23" i="87"/>
  <c r="E37" i="87"/>
  <c r="F20" i="88"/>
  <c r="E26" i="88"/>
  <c r="E36" i="88"/>
  <c r="F8" i="89"/>
  <c r="E16" i="89"/>
  <c r="D29" i="89"/>
  <c r="G8" i="84"/>
  <c r="G40" i="84"/>
  <c r="G34" i="85"/>
  <c r="E46" i="85"/>
  <c r="E22" i="86"/>
  <c r="E38" i="86"/>
  <c r="F15" i="87"/>
  <c r="E21" i="87"/>
  <c r="E36" i="87"/>
  <c r="D25" i="88"/>
  <c r="E46" i="88"/>
  <c r="G42" i="88"/>
  <c r="G32" i="84"/>
  <c r="D17" i="86"/>
  <c r="D46" i="86"/>
  <c r="D36" i="87"/>
  <c r="F46" i="88"/>
  <c r="F32" i="89"/>
  <c r="E40" i="89"/>
  <c r="G14" i="86"/>
  <c r="G38" i="86"/>
  <c r="D12" i="87"/>
  <c r="F39" i="87"/>
  <c r="D12" i="88"/>
  <c r="G18" i="88"/>
  <c r="F34" i="88"/>
  <c r="D44" i="88"/>
  <c r="E21" i="89"/>
  <c r="G28" i="89"/>
  <c r="E8" i="90"/>
  <c r="E24" i="90"/>
  <c r="E40" i="90"/>
  <c r="D12" i="91"/>
  <c r="G26" i="91"/>
  <c r="E38" i="91"/>
  <c r="E16" i="92"/>
  <c r="F29" i="92"/>
  <c r="D27" i="93"/>
  <c r="F42" i="93"/>
  <c r="F20" i="96"/>
  <c r="G26" i="96"/>
  <c r="D36" i="96"/>
  <c r="G32" i="90"/>
  <c r="D16" i="91"/>
  <c r="G38" i="91"/>
  <c r="G20" i="92"/>
  <c r="F38" i="92"/>
  <c r="D44" i="92"/>
  <c r="F20" i="93"/>
  <c r="G26" i="93"/>
  <c r="E41" i="93"/>
  <c r="D12" i="94"/>
  <c r="F42" i="94"/>
  <c r="D25" i="96"/>
  <c r="E14" i="91"/>
  <c r="F34" i="91"/>
  <c r="E8" i="92"/>
  <c r="D37" i="92"/>
  <c r="D9" i="93"/>
  <c r="D17" i="94"/>
  <c r="F28" i="96"/>
  <c r="G34" i="96"/>
  <c r="G27" i="87"/>
  <c r="G16" i="88"/>
  <c r="G10" i="89"/>
  <c r="G26" i="89"/>
  <c r="G42" i="89"/>
  <c r="G12" i="90"/>
  <c r="G20" i="90"/>
  <c r="G28" i="90"/>
  <c r="G36" i="90"/>
  <c r="G44" i="90"/>
  <c r="D13" i="91"/>
  <c r="F28" i="91"/>
  <c r="D36" i="91"/>
  <c r="D13" i="92"/>
  <c r="E18" i="92"/>
  <c r="F30" i="92"/>
  <c r="F40" i="92"/>
  <c r="F12" i="93"/>
  <c r="G18" i="93"/>
  <c r="D28" i="93"/>
  <c r="D44" i="93"/>
  <c r="F44" i="94"/>
  <c r="D17" i="96"/>
  <c r="G36" i="92"/>
  <c r="G8" i="94"/>
  <c r="G24" i="96"/>
  <c r="E44" i="96"/>
  <c r="G32" i="93"/>
  <c r="G24" i="94"/>
  <c r="G32" i="94"/>
  <c r="G40" i="94"/>
  <c r="D13" i="95"/>
  <c r="D21" i="95"/>
  <c r="D29" i="95"/>
  <c r="D37" i="95"/>
  <c r="G12" i="96"/>
  <c r="G46" i="96"/>
  <c r="G8" i="95"/>
  <c r="G40" i="95"/>
  <c r="F9" i="96"/>
  <c r="F29" i="96"/>
  <c r="D10" i="96"/>
  <c r="E15" i="96"/>
  <c r="G21" i="96"/>
  <c r="D26" i="96"/>
  <c r="E31" i="96"/>
  <c r="G37" i="96"/>
  <c r="D42" i="96"/>
  <c r="F11" i="96"/>
  <c r="F35" i="96"/>
  <c r="D45" i="96"/>
  <c r="G11" i="96"/>
  <c r="G23" i="96"/>
  <c r="G35" i="96"/>
  <c r="E45" i="96"/>
  <c r="F25" i="95"/>
  <c r="G9" i="95"/>
  <c r="D14" i="95"/>
  <c r="E19" i="95"/>
  <c r="G25" i="95"/>
  <c r="D30" i="95"/>
  <c r="E35" i="95"/>
  <c r="G41" i="95"/>
  <c r="D46" i="95"/>
  <c r="F31" i="95"/>
  <c r="F43" i="95"/>
  <c r="F27" i="95"/>
  <c r="E17" i="95"/>
  <c r="G31" i="95"/>
  <c r="E41" i="95"/>
  <c r="D11" i="94"/>
  <c r="D27" i="94"/>
  <c r="E7" i="94"/>
  <c r="G13" i="94"/>
  <c r="D18" i="94"/>
  <c r="E23" i="94"/>
  <c r="G29" i="94"/>
  <c r="D34" i="94"/>
  <c r="E39" i="94"/>
  <c r="G45" i="94"/>
  <c r="F35" i="94"/>
  <c r="D45" i="94"/>
  <c r="G11" i="94"/>
  <c r="E25" i="94"/>
  <c r="E41" i="94"/>
  <c r="F15" i="93"/>
  <c r="F17" i="93"/>
  <c r="F33" i="93"/>
  <c r="G9" i="93"/>
  <c r="D14" i="93"/>
  <c r="E19" i="93"/>
  <c r="G25" i="93"/>
  <c r="D30" i="93"/>
  <c r="E35" i="93"/>
  <c r="G41" i="93"/>
  <c r="D46" i="93"/>
  <c r="F39" i="93"/>
  <c r="F23" i="93"/>
  <c r="G23" i="93"/>
  <c r="G39" i="93"/>
  <c r="F11" i="92"/>
  <c r="F25" i="92"/>
  <c r="D39" i="92"/>
  <c r="E11" i="92"/>
  <c r="G17" i="92"/>
  <c r="D22" i="92"/>
  <c r="E27" i="92"/>
  <c r="G33" i="92"/>
  <c r="D38" i="92"/>
  <c r="E43" i="92"/>
  <c r="F19" i="92"/>
  <c r="F39" i="92"/>
  <c r="D13" i="89"/>
  <c r="D44" i="84"/>
  <c r="D25" i="86"/>
  <c r="D15" i="87"/>
  <c r="F9" i="88"/>
  <c r="G14" i="89"/>
  <c r="E32" i="89"/>
  <c r="D40" i="89"/>
  <c r="G22" i="86"/>
  <c r="G41" i="86"/>
  <c r="F23" i="87"/>
  <c r="D39" i="87"/>
  <c r="E12" i="88"/>
  <c r="F28" i="88"/>
  <c r="E34" i="88"/>
  <c r="E44" i="88"/>
  <c r="D21" i="89"/>
  <c r="G36" i="89"/>
  <c r="G14" i="90"/>
  <c r="G30" i="90"/>
  <c r="G8" i="91"/>
  <c r="F23" i="91"/>
  <c r="G32" i="91"/>
  <c r="D40" i="91"/>
  <c r="G18" i="92"/>
  <c r="D29" i="92"/>
  <c r="F27" i="93"/>
  <c r="E42" i="93"/>
  <c r="E20" i="96"/>
  <c r="E26" i="96"/>
  <c r="G8" i="90"/>
  <c r="G40" i="90"/>
  <c r="E24" i="91"/>
  <c r="E40" i="91"/>
  <c r="F32" i="92"/>
  <c r="G38" i="92"/>
  <c r="F10" i="93"/>
  <c r="E20" i="93"/>
  <c r="E26" i="93"/>
  <c r="D41" i="93"/>
  <c r="F18" i="94"/>
  <c r="G42" i="94"/>
  <c r="F12" i="91"/>
  <c r="F22" i="91"/>
  <c r="G34" i="91"/>
  <c r="F24" i="92"/>
  <c r="F42" i="92"/>
  <c r="E25" i="93"/>
  <c r="F18" i="96"/>
  <c r="E28" i="96"/>
  <c r="E34" i="96"/>
  <c r="G35" i="87"/>
  <c r="G24" i="88"/>
  <c r="E12" i="89"/>
  <c r="E28" i="89"/>
  <c r="E44" i="89"/>
  <c r="D13" i="90"/>
  <c r="D21" i="90"/>
  <c r="D29" i="90"/>
  <c r="D37" i="90"/>
  <c r="G46" i="90"/>
  <c r="E16" i="91"/>
  <c r="E28" i="91"/>
  <c r="F46" i="91"/>
  <c r="E14" i="92"/>
  <c r="D20" i="92"/>
  <c r="G30" i="92"/>
  <c r="E40" i="92"/>
  <c r="E12" i="93"/>
  <c r="E18" i="93"/>
  <c r="F36" i="93"/>
  <c r="F10" i="94"/>
  <c r="E44" i="94"/>
  <c r="F33" i="96"/>
  <c r="G8" i="93"/>
  <c r="G16" i="94"/>
  <c r="G32" i="96"/>
  <c r="E46" i="96"/>
  <c r="G40" i="93"/>
  <c r="D25" i="94"/>
  <c r="D33" i="94"/>
  <c r="E46" i="94"/>
  <c r="E14" i="95"/>
  <c r="E22" i="95"/>
  <c r="E30" i="95"/>
  <c r="E38" i="95"/>
  <c r="D13" i="96"/>
  <c r="G20" i="94"/>
  <c r="G16" i="95"/>
  <c r="G8" i="96"/>
  <c r="D15" i="96"/>
  <c r="F37" i="96"/>
  <c r="E11" i="96"/>
  <c r="G17" i="96"/>
  <c r="D22" i="96"/>
  <c r="E27" i="96"/>
  <c r="G33" i="96"/>
  <c r="D38" i="96"/>
  <c r="E43" i="96"/>
  <c r="F19" i="96"/>
  <c r="F39" i="96"/>
  <c r="F7" i="96"/>
  <c r="E13" i="96"/>
  <c r="G27" i="96"/>
  <c r="G39" i="96"/>
  <c r="D11" i="95"/>
  <c r="F29" i="95"/>
  <c r="D10" i="95"/>
  <c r="E15" i="95"/>
  <c r="G21" i="95"/>
  <c r="D26" i="95"/>
  <c r="E31" i="95"/>
  <c r="G37" i="95"/>
  <c r="D42" i="95"/>
  <c r="F7" i="95"/>
  <c r="F35" i="95"/>
  <c r="D45" i="95"/>
  <c r="G7" i="95"/>
  <c r="G19" i="95"/>
  <c r="G35" i="95"/>
  <c r="G43" i="95"/>
  <c r="D15" i="94"/>
  <c r="D31" i="94"/>
  <c r="G9" i="94"/>
  <c r="D14" i="94"/>
  <c r="E19" i="94"/>
  <c r="G25" i="94"/>
  <c r="D30" i="94"/>
  <c r="E35" i="94"/>
  <c r="G41" i="94"/>
  <c r="D46" i="94"/>
  <c r="F39" i="94"/>
  <c r="F15" i="94"/>
  <c r="E13" i="94"/>
  <c r="E29" i="94"/>
  <c r="G43" i="94"/>
  <c r="D7" i="93"/>
  <c r="F21" i="93"/>
  <c r="F37" i="93"/>
  <c r="D10" i="93"/>
  <c r="E15" i="93"/>
  <c r="G21" i="93"/>
  <c r="D26" i="93"/>
  <c r="E31" i="93"/>
  <c r="G37" i="93"/>
  <c r="D42" i="93"/>
  <c r="F11" i="93"/>
  <c r="F43" i="93"/>
  <c r="G11" i="93"/>
  <c r="G27" i="93"/>
  <c r="G43" i="93"/>
  <c r="D7" i="92"/>
  <c r="D27" i="92"/>
  <c r="E7" i="92"/>
  <c r="G13" i="92"/>
  <c r="D18" i="92"/>
  <c r="E23" i="92"/>
  <c r="G29" i="92"/>
  <c r="D34" i="92"/>
  <c r="E39" i="92"/>
  <c r="G45" i="92"/>
  <c r="F23" i="92"/>
  <c r="D41" i="92"/>
  <c r="F27" i="92"/>
  <c r="E17" i="92"/>
  <c r="E33" i="92"/>
  <c r="E45" i="92"/>
  <c r="D19" i="91"/>
  <c r="D35" i="91"/>
  <c r="D10" i="91"/>
  <c r="E29" i="89"/>
  <c r="E44" i="85"/>
  <c r="D33" i="86"/>
  <c r="E20" i="87"/>
  <c r="F25" i="88"/>
  <c r="F22" i="89"/>
  <c r="D32" i="89"/>
  <c r="G36" i="85"/>
  <c r="G30" i="86"/>
  <c r="E46" i="86"/>
  <c r="D23" i="87"/>
  <c r="E39" i="87"/>
  <c r="F18" i="88"/>
  <c r="D28" i="88"/>
  <c r="G34" i="88"/>
  <c r="F16" i="89"/>
  <c r="G12" i="89"/>
  <c r="G44" i="89"/>
  <c r="E16" i="90"/>
  <c r="E32" i="90"/>
  <c r="D9" i="91"/>
  <c r="D24" i="91"/>
  <c r="D33" i="91"/>
  <c r="D8" i="92"/>
  <c r="E20" i="92"/>
  <c r="E17" i="93"/>
  <c r="F34" i="93"/>
  <c r="E9" i="94"/>
  <c r="D20" i="96"/>
  <c r="F36" i="96"/>
  <c r="G16" i="90"/>
  <c r="G10" i="91"/>
  <c r="F36" i="91"/>
  <c r="F14" i="92"/>
  <c r="E32" i="92"/>
  <c r="E38" i="92"/>
  <c r="G10" i="93"/>
  <c r="D20" i="93"/>
  <c r="E33" i="93"/>
  <c r="F12" i="94"/>
  <c r="G18" i="94"/>
  <c r="E42" i="94"/>
  <c r="G12" i="91"/>
  <c r="E22" i="91"/>
  <c r="G40" i="91"/>
  <c r="E24" i="92"/>
  <c r="E42" i="92"/>
  <c r="D25" i="93"/>
  <c r="G18" i="96"/>
  <c r="D28" i="96"/>
  <c r="G11" i="87"/>
  <c r="E44" i="87"/>
  <c r="G32" i="88"/>
  <c r="G18" i="89"/>
  <c r="G34" i="89"/>
  <c r="E46" i="89"/>
  <c r="E14" i="90"/>
  <c r="E22" i="90"/>
  <c r="E30" i="90"/>
  <c r="E38" i="90"/>
  <c r="E8" i="91"/>
  <c r="F21" i="91"/>
  <c r="G30" i="91"/>
  <c r="G46" i="91"/>
  <c r="G16" i="92"/>
  <c r="F22" i="92"/>
  <c r="E30" i="92"/>
  <c r="D40" i="92"/>
  <c r="D12" i="93"/>
  <c r="G20" i="93"/>
  <c r="D36" i="93"/>
  <c r="G10" i="94"/>
  <c r="D44" i="94"/>
  <c r="D33" i="96"/>
  <c r="G16" i="93"/>
  <c r="G44" i="95"/>
  <c r="G40" i="96"/>
  <c r="G20" i="91"/>
  <c r="F19" i="94"/>
  <c r="E26" i="94"/>
  <c r="E34" i="94"/>
  <c r="D8" i="95"/>
  <c r="D16" i="95"/>
  <c r="D24" i="95"/>
  <c r="D32" i="95"/>
  <c r="D40" i="95"/>
  <c r="E14" i="96"/>
  <c r="G28" i="94"/>
  <c r="G24" i="95"/>
  <c r="E42" i="96"/>
  <c r="D19" i="96"/>
  <c r="E7" i="96"/>
  <c r="G13" i="96"/>
  <c r="D18" i="96"/>
  <c r="E23" i="96"/>
  <c r="G29" i="96"/>
  <c r="D34" i="96"/>
  <c r="E39" i="96"/>
  <c r="G45" i="96"/>
  <c r="F27" i="96"/>
  <c r="D41" i="96"/>
  <c r="F23" i="96"/>
  <c r="E17" i="96"/>
  <c r="G31" i="96"/>
  <c r="E41" i="96"/>
  <c r="D15" i="95"/>
  <c r="F33" i="95"/>
  <c r="E11" i="95"/>
  <c r="G17" i="95"/>
  <c r="D22" i="95"/>
  <c r="E27" i="95"/>
  <c r="G33" i="95"/>
  <c r="D38" i="95"/>
  <c r="E43" i="95"/>
  <c r="F11" i="95"/>
  <c r="F39" i="95"/>
  <c r="F15" i="95"/>
  <c r="E9" i="95"/>
  <c r="G23" i="95"/>
  <c r="E37" i="95"/>
  <c r="E45" i="95"/>
  <c r="D19" i="94"/>
  <c r="D35" i="94"/>
  <c r="D10" i="94"/>
  <c r="E15" i="94"/>
  <c r="G21" i="94"/>
  <c r="D26" i="94"/>
  <c r="E31" i="94"/>
  <c r="G37" i="94"/>
  <c r="D42" i="94"/>
  <c r="F23" i="94"/>
  <c r="D41" i="94"/>
  <c r="F27" i="94"/>
  <c r="E17" i="94"/>
  <c r="E33" i="94"/>
  <c r="E45" i="94"/>
  <c r="F9" i="93"/>
  <c r="F25" i="93"/>
  <c r="F41" i="93"/>
  <c r="E11" i="93"/>
  <c r="G17" i="93"/>
  <c r="D22" i="93"/>
  <c r="E27" i="93"/>
  <c r="G33" i="93"/>
  <c r="D38" i="93"/>
  <c r="E43" i="93"/>
  <c r="F31" i="93"/>
  <c r="D45" i="93"/>
  <c r="G15" i="93"/>
  <c r="G31" i="93"/>
  <c r="E45" i="93"/>
  <c r="H16" i="82"/>
  <c r="I16" i="82" s="1"/>
  <c r="D9" i="86"/>
  <c r="D41" i="86"/>
  <c r="E31" i="87"/>
  <c r="F41" i="88"/>
  <c r="E22" i="89"/>
  <c r="F40" i="89"/>
  <c r="G44" i="85"/>
  <c r="G33" i="86"/>
  <c r="G12" i="87"/>
  <c r="G31" i="87"/>
  <c r="F12" i="88"/>
  <c r="E18" i="88"/>
  <c r="E28" i="88"/>
  <c r="F44" i="88"/>
  <c r="D16" i="89"/>
  <c r="G20" i="89"/>
  <c r="G46" i="89"/>
  <c r="G22" i="90"/>
  <c r="G38" i="90"/>
  <c r="E10" i="91"/>
  <c r="F26" i="91"/>
  <c r="D37" i="91"/>
  <c r="F16" i="92"/>
  <c r="D24" i="92"/>
  <c r="D17" i="93"/>
  <c r="E34" i="93"/>
  <c r="D9" i="94"/>
  <c r="F26" i="96"/>
  <c r="E36" i="96"/>
  <c r="G24" i="90"/>
  <c r="F16" i="91"/>
  <c r="E36" i="91"/>
  <c r="G14" i="92"/>
  <c r="D32" i="92"/>
  <c r="F44" i="92"/>
  <c r="E10" i="93"/>
  <c r="F26" i="93"/>
  <c r="D33" i="93"/>
  <c r="E12" i="94"/>
  <c r="E18" i="94"/>
  <c r="E25" i="96"/>
  <c r="F14" i="91"/>
  <c r="G24" i="91"/>
  <c r="F8" i="92"/>
  <c r="F37" i="92"/>
  <c r="E9" i="93"/>
  <c r="F17" i="94"/>
  <c r="E18" i="96"/>
  <c r="F34" i="96"/>
  <c r="G19" i="87"/>
  <c r="G8" i="88"/>
  <c r="G40" i="88"/>
  <c r="E20" i="89"/>
  <c r="E36" i="89"/>
  <c r="D8" i="90"/>
  <c r="D16" i="90"/>
  <c r="D24" i="90"/>
  <c r="D32" i="90"/>
  <c r="D40" i="90"/>
  <c r="F13" i="91"/>
  <c r="D21" i="91"/>
  <c r="E32" i="91"/>
  <c r="G12" i="92"/>
  <c r="D17" i="92"/>
  <c r="G22" i="92"/>
  <c r="G32" i="92"/>
  <c r="E44" i="92"/>
  <c r="F18" i="93"/>
  <c r="F28" i="93"/>
  <c r="F44" i="93"/>
  <c r="E10" i="94"/>
  <c r="F17" i="96"/>
  <c r="G28" i="92"/>
  <c r="G24" i="93"/>
  <c r="G16" i="96"/>
  <c r="G42" i="96"/>
  <c r="G44" i="91"/>
  <c r="D20" i="94"/>
  <c r="D28" i="94"/>
  <c r="D36" i="94"/>
  <c r="G12" i="95"/>
  <c r="G20" i="95"/>
  <c r="G28" i="95"/>
  <c r="G36" i="95"/>
  <c r="D8" i="96"/>
  <c r="G44" i="96"/>
  <c r="G36" i="94"/>
  <c r="G32" i="95"/>
  <c r="D44" i="96"/>
  <c r="F25" i="96"/>
  <c r="G9" i="96"/>
  <c r="D14" i="96"/>
  <c r="E19" i="96"/>
  <c r="G25" i="96"/>
  <c r="D30" i="96"/>
  <c r="E35" i="96"/>
  <c r="G41" i="96"/>
  <c r="D46" i="96"/>
  <c r="F31" i="96"/>
  <c r="F43" i="96"/>
  <c r="G7" i="96"/>
  <c r="E21" i="96"/>
  <c r="E33" i="96"/>
  <c r="G43" i="96"/>
  <c r="F21" i="95"/>
  <c r="E7" i="95"/>
  <c r="G13" i="95"/>
  <c r="D18" i="95"/>
  <c r="E23" i="95"/>
  <c r="G29" i="95"/>
  <c r="D34" i="95"/>
  <c r="E39" i="95"/>
  <c r="G45" i="95"/>
  <c r="F23" i="95"/>
  <c r="D41" i="95"/>
  <c r="F19" i="95"/>
  <c r="E13" i="95"/>
  <c r="G27" i="95"/>
  <c r="G39" i="95"/>
  <c r="F9" i="94"/>
  <c r="D23" i="94"/>
  <c r="D39" i="94"/>
  <c r="E11" i="94"/>
  <c r="G17" i="94"/>
  <c r="D22" i="94"/>
  <c r="E27" i="94"/>
  <c r="G33" i="94"/>
  <c r="D38" i="94"/>
  <c r="E43" i="94"/>
  <c r="F31" i="94"/>
  <c r="F43" i="94"/>
  <c r="G7" i="94"/>
  <c r="E21" i="94"/>
  <c r="E37" i="94"/>
  <c r="F7" i="94"/>
  <c r="F13" i="93"/>
  <c r="F29" i="93"/>
  <c r="E7" i="93"/>
  <c r="G13" i="93"/>
  <c r="D18" i="93"/>
  <c r="E23" i="93"/>
  <c r="G29" i="93"/>
  <c r="D34" i="93"/>
  <c r="E39" i="93"/>
  <c r="G45" i="93"/>
  <c r="F35" i="93"/>
  <c r="F7" i="93"/>
  <c r="G19" i="93"/>
  <c r="G35" i="93"/>
  <c r="F19" i="93"/>
  <c r="F21" i="92"/>
  <c r="D35" i="92"/>
  <c r="D10" i="92"/>
  <c r="E15" i="92"/>
  <c r="G21" i="92"/>
  <c r="D26" i="92"/>
  <c r="E31" i="92"/>
  <c r="G37" i="92"/>
  <c r="D42" i="92"/>
  <c r="F7" i="92"/>
  <c r="F35" i="92"/>
  <c r="D45" i="92"/>
  <c r="G11" i="92"/>
  <c r="G23" i="92"/>
  <c r="E41" i="92"/>
  <c r="D11" i="91"/>
  <c r="D27" i="91"/>
  <c r="E7" i="91"/>
  <c r="G13" i="91"/>
  <c r="D15" i="92"/>
  <c r="E19" i="92"/>
  <c r="G41" i="92"/>
  <c r="F15" i="92"/>
  <c r="E29" i="92"/>
  <c r="D15" i="91"/>
  <c r="G9" i="91"/>
  <c r="G17" i="91"/>
  <c r="D22" i="91"/>
  <c r="E27" i="91"/>
  <c r="G33" i="91"/>
  <c r="D38" i="91"/>
  <c r="E43" i="91"/>
  <c r="F27" i="91"/>
  <c r="D41" i="91"/>
  <c r="F19" i="91"/>
  <c r="E17" i="91"/>
  <c r="E33" i="91"/>
  <c r="E45" i="91"/>
  <c r="F21" i="90"/>
  <c r="D35" i="90"/>
  <c r="D10" i="90"/>
  <c r="E15" i="90"/>
  <c r="G21" i="90"/>
  <c r="D26" i="90"/>
  <c r="E31" i="90"/>
  <c r="G37" i="90"/>
  <c r="D42" i="90"/>
  <c r="F11" i="90"/>
  <c r="F43" i="90"/>
  <c r="F27" i="90"/>
  <c r="G15" i="90"/>
  <c r="E33" i="90"/>
  <c r="E45" i="90"/>
  <c r="F19" i="89"/>
  <c r="D15" i="89"/>
  <c r="F33" i="89"/>
  <c r="G9" i="89"/>
  <c r="D14" i="89"/>
  <c r="E19" i="89"/>
  <c r="G25" i="89"/>
  <c r="D30" i="89"/>
  <c r="E35" i="89"/>
  <c r="G41" i="89"/>
  <c r="D46" i="89"/>
  <c r="F43" i="89"/>
  <c r="G15" i="89"/>
  <c r="G27" i="89"/>
  <c r="G43" i="89"/>
  <c r="D11" i="88"/>
  <c r="D27" i="88"/>
  <c r="D43" i="88"/>
  <c r="E11" i="88"/>
  <c r="G17" i="88"/>
  <c r="D22" i="88"/>
  <c r="E27" i="88"/>
  <c r="G33" i="88"/>
  <c r="D38" i="88"/>
  <c r="E43" i="88"/>
  <c r="F27" i="88"/>
  <c r="D45" i="88"/>
  <c r="G7" i="88"/>
  <c r="E21" i="88"/>
  <c r="E33" i="88"/>
  <c r="F10" i="87"/>
  <c r="F29" i="87"/>
  <c r="D10" i="87"/>
  <c r="D22" i="87"/>
  <c r="D30" i="87"/>
  <c r="F40" i="87"/>
  <c r="F44" i="87"/>
  <c r="G18" i="87"/>
  <c r="F12" i="87"/>
  <c r="D18" i="87"/>
  <c r="G33" i="87"/>
  <c r="E14" i="87"/>
  <c r="E30" i="87"/>
  <c r="E38" i="87"/>
  <c r="E46" i="87"/>
  <c r="F46" i="87"/>
  <c r="F11" i="86"/>
  <c r="G40" i="86"/>
  <c r="G8" i="86"/>
  <c r="G20" i="86"/>
  <c r="F31" i="86"/>
  <c r="F43" i="86"/>
  <c r="E9" i="86"/>
  <c r="G15" i="86"/>
  <c r="D20" i="86"/>
  <c r="E25" i="86"/>
  <c r="G31" i="86"/>
  <c r="D36" i="86"/>
  <c r="E41" i="86"/>
  <c r="F16" i="86"/>
  <c r="F40" i="86"/>
  <c r="F9" i="85"/>
  <c r="D31" i="85"/>
  <c r="E7" i="85"/>
  <c r="G13" i="85"/>
  <c r="D18" i="85"/>
  <c r="E23" i="85"/>
  <c r="G29" i="85"/>
  <c r="D34" i="85"/>
  <c r="E39" i="85"/>
  <c r="G45" i="85"/>
  <c r="F43" i="85"/>
  <c r="F31" i="85"/>
  <c r="E17" i="85"/>
  <c r="E29" i="85"/>
  <c r="E45" i="85"/>
  <c r="D7" i="84"/>
  <c r="D19" i="84"/>
  <c r="F29" i="84"/>
  <c r="E7" i="84"/>
  <c r="G13" i="84"/>
  <c r="D18" i="84"/>
  <c r="E23" i="84"/>
  <c r="G29" i="84"/>
  <c r="D34" i="84"/>
  <c r="E39" i="84"/>
  <c r="G45" i="84"/>
  <c r="F39" i="84"/>
  <c r="F31" i="84"/>
  <c r="G15" i="84"/>
  <c r="E37" i="84"/>
  <c r="F10" i="83"/>
  <c r="G23" i="83"/>
  <c r="G10" i="83"/>
  <c r="D19" i="83"/>
  <c r="F33" i="83"/>
  <c r="G42" i="83"/>
  <c r="E11" i="83"/>
  <c r="D18" i="83"/>
  <c r="E23" i="83"/>
  <c r="D30" i="83"/>
  <c r="G37" i="83"/>
  <c r="D42" i="83"/>
  <c r="F27" i="83"/>
  <c r="F19" i="83"/>
  <c r="F38" i="83"/>
  <c r="F8" i="82"/>
  <c r="D14" i="82"/>
  <c r="J18" i="82"/>
  <c r="K18" i="82" s="1"/>
  <c r="E24" i="82"/>
  <c r="H9" i="82"/>
  <c r="I9" i="82" s="1"/>
  <c r="H13" i="82"/>
  <c r="I13" i="82" s="1"/>
  <c r="H17" i="82"/>
  <c r="I17" i="82" s="1"/>
  <c r="H21" i="82"/>
  <c r="I21" i="82" s="1"/>
  <c r="E28" i="82"/>
  <c r="E32" i="82"/>
  <c r="E36" i="82"/>
  <c r="E40" i="82"/>
  <c r="J40" i="82"/>
  <c r="K40" i="82" s="1"/>
  <c r="G22" i="82"/>
  <c r="F44" i="82"/>
  <c r="F15" i="82"/>
  <c r="H25" i="82"/>
  <c r="I25" i="82" s="1"/>
  <c r="E30" i="82"/>
  <c r="E34" i="82"/>
  <c r="E38" i="82"/>
  <c r="E42" i="82"/>
  <c r="H45" i="82"/>
  <c r="I45" i="82" s="1"/>
  <c r="F34" i="82"/>
  <c r="F42" i="82"/>
  <c r="F46" i="82"/>
  <c r="F33" i="82"/>
  <c r="F8" i="81"/>
  <c r="D14" i="81"/>
  <c r="J18" i="81"/>
  <c r="K18" i="81" s="1"/>
  <c r="F24" i="81"/>
  <c r="D31" i="92"/>
  <c r="G25" i="92"/>
  <c r="D46" i="92"/>
  <c r="E9" i="92"/>
  <c r="E37" i="92"/>
  <c r="D23" i="91"/>
  <c r="E11" i="91"/>
  <c r="D18" i="91"/>
  <c r="E23" i="91"/>
  <c r="G29" i="91"/>
  <c r="D34" i="91"/>
  <c r="E39" i="91"/>
  <c r="G45" i="91"/>
  <c r="F31" i="91"/>
  <c r="F43" i="91"/>
  <c r="E9" i="91"/>
  <c r="E21" i="91"/>
  <c r="E37" i="91"/>
  <c r="F7" i="90"/>
  <c r="D27" i="90"/>
  <c r="F41" i="90"/>
  <c r="E11" i="90"/>
  <c r="G17" i="90"/>
  <c r="D22" i="90"/>
  <c r="E27" i="90"/>
  <c r="G33" i="90"/>
  <c r="D38" i="90"/>
  <c r="E43" i="90"/>
  <c r="F31" i="90"/>
  <c r="D45" i="90"/>
  <c r="G7" i="90"/>
  <c r="G19" i="90"/>
  <c r="E37" i="90"/>
  <c r="F15" i="90"/>
  <c r="F27" i="89"/>
  <c r="F21" i="89"/>
  <c r="F37" i="89"/>
  <c r="D10" i="89"/>
  <c r="E15" i="89"/>
  <c r="G21" i="89"/>
  <c r="D26" i="89"/>
  <c r="E31" i="89"/>
  <c r="G37" i="89"/>
  <c r="D42" i="89"/>
  <c r="F31" i="89"/>
  <c r="D45" i="89"/>
  <c r="E17" i="89"/>
  <c r="G31" i="89"/>
  <c r="E45" i="89"/>
  <c r="D15" i="88"/>
  <c r="D31" i="88"/>
  <c r="E7" i="88"/>
  <c r="G13" i="88"/>
  <c r="D18" i="88"/>
  <c r="E23" i="88"/>
  <c r="G29" i="88"/>
  <c r="D34" i="88"/>
  <c r="E39" i="88"/>
  <c r="G45" i="88"/>
  <c r="F35" i="88"/>
  <c r="F11" i="88"/>
  <c r="E9" i="88"/>
  <c r="G23" i="88"/>
  <c r="E37" i="88"/>
  <c r="F26" i="87"/>
  <c r="G30" i="87"/>
  <c r="F16" i="87"/>
  <c r="D26" i="87"/>
  <c r="F36" i="87"/>
  <c r="G41" i="87"/>
  <c r="G45" i="87"/>
  <c r="F25" i="87"/>
  <c r="G13" i="87"/>
  <c r="F24" i="87"/>
  <c r="D34" i="87"/>
  <c r="E18" i="87"/>
  <c r="D33" i="87"/>
  <c r="D41" i="87"/>
  <c r="F22" i="87"/>
  <c r="F12" i="86"/>
  <c r="F15" i="86"/>
  <c r="F8" i="86"/>
  <c r="G12" i="86"/>
  <c r="F23" i="86"/>
  <c r="G32" i="86"/>
  <c r="G44" i="86"/>
  <c r="G11" i="86"/>
  <c r="D16" i="86"/>
  <c r="E21" i="86"/>
  <c r="G27" i="86"/>
  <c r="D32" i="86"/>
  <c r="E37" i="86"/>
  <c r="G43" i="86"/>
  <c r="F24" i="86"/>
  <c r="F7" i="85"/>
  <c r="D15" i="85"/>
  <c r="D35" i="85"/>
  <c r="G9" i="85"/>
  <c r="D14" i="85"/>
  <c r="E19" i="85"/>
  <c r="G25" i="85"/>
  <c r="D30" i="85"/>
  <c r="E35" i="85"/>
  <c r="G41" i="85"/>
  <c r="D46" i="85"/>
  <c r="D45" i="85"/>
  <c r="F35" i="85"/>
  <c r="G19" i="85"/>
  <c r="E33" i="85"/>
  <c r="F19" i="85"/>
  <c r="D11" i="84"/>
  <c r="F21" i="84"/>
  <c r="D35" i="84"/>
  <c r="G9" i="84"/>
  <c r="D14" i="84"/>
  <c r="E19" i="84"/>
  <c r="G25" i="84"/>
  <c r="D30" i="84"/>
  <c r="E35" i="84"/>
  <c r="G41" i="84"/>
  <c r="D46" i="84"/>
  <c r="F43" i="84"/>
  <c r="G7" i="84"/>
  <c r="G27" i="84"/>
  <c r="E41" i="84"/>
  <c r="F14" i="83"/>
  <c r="F30" i="83"/>
  <c r="D11" i="83"/>
  <c r="F25" i="83"/>
  <c r="G34" i="83"/>
  <c r="D43" i="83"/>
  <c r="G13" i="83"/>
  <c r="E19" i="83"/>
  <c r="D26" i="83"/>
  <c r="E31" i="83"/>
  <c r="D38" i="83"/>
  <c r="E43" i="83"/>
  <c r="F39" i="83"/>
  <c r="F23" i="83"/>
  <c r="G39" i="83"/>
  <c r="D10" i="82"/>
  <c r="J14" i="82"/>
  <c r="K14" i="82" s="1"/>
  <c r="F20" i="82"/>
  <c r="G24" i="82"/>
  <c r="D9" i="82"/>
  <c r="D13" i="82"/>
  <c r="D17" i="82"/>
  <c r="D21" i="82"/>
  <c r="H28" i="82"/>
  <c r="I28" i="82" s="1"/>
  <c r="H32" i="82"/>
  <c r="I32" i="82" s="1"/>
  <c r="H36" i="82"/>
  <c r="I36" i="82" s="1"/>
  <c r="H40" i="82"/>
  <c r="I40" i="82" s="1"/>
  <c r="G10" i="82"/>
  <c r="G26" i="82"/>
  <c r="J44" i="82"/>
  <c r="K44" i="82" s="1"/>
  <c r="F19" i="82"/>
  <c r="F27" i="82"/>
  <c r="F31" i="82"/>
  <c r="F35" i="82"/>
  <c r="F39" i="82"/>
  <c r="F43" i="82"/>
  <c r="E46" i="82"/>
  <c r="J34" i="82"/>
  <c r="K34" i="82" s="1"/>
  <c r="J42" i="82"/>
  <c r="K42" i="82" s="1"/>
  <c r="J46" i="82"/>
  <c r="K46" i="82" s="1"/>
  <c r="F37" i="82"/>
  <c r="D10" i="81"/>
  <c r="J14" i="81"/>
  <c r="K14" i="81" s="1"/>
  <c r="F20" i="81"/>
  <c r="D26" i="81"/>
  <c r="J30" i="81"/>
  <c r="K30" i="81" s="1"/>
  <c r="F36" i="81"/>
  <c r="D42" i="81"/>
  <c r="D46" i="81"/>
  <c r="G9" i="92"/>
  <c r="D30" i="92"/>
  <c r="F31" i="92"/>
  <c r="E13" i="92"/>
  <c r="G43" i="92"/>
  <c r="D31" i="91"/>
  <c r="D14" i="91"/>
  <c r="E19" i="91"/>
  <c r="G25" i="91"/>
  <c r="D30" i="91"/>
  <c r="E35" i="91"/>
  <c r="G41" i="91"/>
  <c r="D46" i="91"/>
  <c r="F35" i="91"/>
  <c r="D45" i="91"/>
  <c r="E13" i="91"/>
  <c r="E25" i="91"/>
  <c r="E41" i="91"/>
  <c r="D11" i="90"/>
  <c r="F29" i="90"/>
  <c r="E7" i="90"/>
  <c r="G13" i="90"/>
  <c r="D18" i="90"/>
  <c r="E23" i="90"/>
  <c r="G29" i="90"/>
  <c r="D34" i="90"/>
  <c r="E39" i="90"/>
  <c r="G45" i="90"/>
  <c r="F35" i="90"/>
  <c r="F19" i="90"/>
  <c r="E9" i="90"/>
  <c r="G23" i="90"/>
  <c r="G39" i="90"/>
  <c r="F7" i="89"/>
  <c r="D7" i="89"/>
  <c r="F25" i="89"/>
  <c r="F41" i="89"/>
  <c r="E11" i="89"/>
  <c r="G17" i="89"/>
  <c r="D22" i="89"/>
  <c r="E27" i="89"/>
  <c r="G33" i="89"/>
  <c r="D38" i="89"/>
  <c r="E43" i="89"/>
  <c r="F35" i="89"/>
  <c r="E9" i="89"/>
  <c r="G19" i="89"/>
  <c r="G35" i="89"/>
  <c r="F23" i="89"/>
  <c r="D19" i="88"/>
  <c r="D35" i="88"/>
  <c r="G9" i="88"/>
  <c r="D14" i="88"/>
  <c r="E19" i="88"/>
  <c r="G25" i="88"/>
  <c r="D30" i="88"/>
  <c r="E35" i="88"/>
  <c r="G41" i="88"/>
  <c r="D46" i="88"/>
  <c r="F39" i="88"/>
  <c r="F19" i="88"/>
  <c r="E13" i="88"/>
  <c r="E25" i="88"/>
  <c r="E41" i="88"/>
  <c r="F13" i="87"/>
  <c r="F8" i="87"/>
  <c r="F20" i="87"/>
  <c r="F28" i="87"/>
  <c r="G37" i="87"/>
  <c r="D42" i="87"/>
  <c r="D46" i="87"/>
  <c r="G26" i="87"/>
  <c r="D14" i="87"/>
  <c r="G25" i="87"/>
  <c r="D9" i="87"/>
  <c r="D21" i="87"/>
  <c r="E34" i="87"/>
  <c r="E42" i="87"/>
  <c r="F38" i="87"/>
  <c r="F20" i="86"/>
  <c r="G24" i="86"/>
  <c r="F28" i="86"/>
  <c r="G16" i="86"/>
  <c r="F27" i="86"/>
  <c r="F35" i="86"/>
  <c r="G7" i="86"/>
  <c r="D12" i="86"/>
  <c r="E17" i="86"/>
  <c r="G23" i="86"/>
  <c r="D28" i="86"/>
  <c r="E33" i="86"/>
  <c r="G39" i="86"/>
  <c r="D44" i="86"/>
  <c r="F32" i="86"/>
  <c r="F23" i="85"/>
  <c r="D23" i="85"/>
  <c r="D39" i="85"/>
  <c r="D10" i="85"/>
  <c r="E15" i="85"/>
  <c r="G21" i="85"/>
  <c r="D26" i="85"/>
  <c r="E31" i="85"/>
  <c r="G37" i="85"/>
  <c r="D42" i="85"/>
  <c r="F15" i="85"/>
  <c r="F11" i="85"/>
  <c r="G11" i="85"/>
  <c r="E21" i="85"/>
  <c r="E37" i="85"/>
  <c r="F19" i="84"/>
  <c r="F13" i="84"/>
  <c r="D23" i="84"/>
  <c r="D39" i="84"/>
  <c r="D10" i="84"/>
  <c r="E15" i="84"/>
  <c r="G21" i="84"/>
  <c r="D26" i="84"/>
  <c r="E31" i="84"/>
  <c r="G37" i="84"/>
  <c r="D42" i="84"/>
  <c r="F15" i="84"/>
  <c r="D45" i="84"/>
  <c r="E9" i="84"/>
  <c r="G31" i="84"/>
  <c r="E45" i="84"/>
  <c r="G15" i="83"/>
  <c r="G31" i="83"/>
  <c r="F17" i="83"/>
  <c r="G26" i="83"/>
  <c r="D35" i="83"/>
  <c r="F45" i="83"/>
  <c r="D14" i="83"/>
  <c r="G21" i="83"/>
  <c r="E27" i="83"/>
  <c r="D34" i="83"/>
  <c r="E39" i="83"/>
  <c r="G45" i="83"/>
  <c r="F43" i="83"/>
  <c r="F35" i="83"/>
  <c r="F15" i="83"/>
  <c r="J10" i="82"/>
  <c r="K10" i="82" s="1"/>
  <c r="F16" i="82"/>
  <c r="D22" i="82"/>
  <c r="H24" i="82"/>
  <c r="I24" i="82" s="1"/>
  <c r="G9" i="82"/>
  <c r="G13" i="82"/>
  <c r="G17" i="82"/>
  <c r="G21" i="82"/>
  <c r="D28" i="82"/>
  <c r="D32" i="82"/>
  <c r="D36" i="82"/>
  <c r="D40" i="82"/>
  <c r="G14" i="82"/>
  <c r="E26" i="82"/>
  <c r="F7" i="82"/>
  <c r="F23" i="82"/>
  <c r="D29" i="82"/>
  <c r="D33" i="82"/>
  <c r="D14" i="92"/>
  <c r="E35" i="92"/>
  <c r="F43" i="92"/>
  <c r="G19" i="92"/>
  <c r="D7" i="91"/>
  <c r="D39" i="91"/>
  <c r="E15" i="91"/>
  <c r="G21" i="91"/>
  <c r="D26" i="91"/>
  <c r="E31" i="91"/>
  <c r="G37" i="91"/>
  <c r="D42" i="91"/>
  <c r="F11" i="91"/>
  <c r="F39" i="91"/>
  <c r="F7" i="91"/>
  <c r="G15" i="91"/>
  <c r="E29" i="91"/>
  <c r="G43" i="91"/>
  <c r="F17" i="90"/>
  <c r="D31" i="90"/>
  <c r="G9" i="90"/>
  <c r="D14" i="90"/>
  <c r="E19" i="90"/>
  <c r="G25" i="90"/>
  <c r="D30" i="90"/>
  <c r="E35" i="90"/>
  <c r="G41" i="90"/>
  <c r="D46" i="90"/>
  <c r="F39" i="90"/>
  <c r="F23" i="90"/>
  <c r="E13" i="90"/>
  <c r="E25" i="90"/>
  <c r="G43" i="90"/>
  <c r="F11" i="89"/>
  <c r="D11" i="89"/>
  <c r="F29" i="89"/>
  <c r="E7" i="89"/>
  <c r="G13" i="89"/>
  <c r="D18" i="89"/>
  <c r="E23" i="89"/>
  <c r="G29" i="89"/>
  <c r="D34" i="89"/>
  <c r="E39" i="89"/>
  <c r="G45" i="89"/>
  <c r="F39" i="89"/>
  <c r="E13" i="89"/>
  <c r="G23" i="89"/>
  <c r="G39" i="89"/>
  <c r="D7" i="88"/>
  <c r="D23" i="88"/>
  <c r="D39" i="88"/>
  <c r="D10" i="88"/>
  <c r="E15" i="88"/>
  <c r="G21" i="88"/>
  <c r="D26" i="88"/>
  <c r="E31" i="88"/>
  <c r="G37" i="88"/>
  <c r="D42" i="88"/>
  <c r="F15" i="88"/>
  <c r="F43" i="88"/>
  <c r="F31" i="88"/>
  <c r="E17" i="88"/>
  <c r="E29" i="88"/>
  <c r="E45" i="88"/>
  <c r="G14" i="87"/>
  <c r="G9" i="87"/>
  <c r="G21" i="87"/>
  <c r="G29" i="87"/>
  <c r="D38" i="87"/>
  <c r="E43" i="87"/>
  <c r="F17" i="87"/>
  <c r="G34" i="87"/>
  <c r="G17" i="87"/>
  <c r="F32" i="87"/>
  <c r="E10" i="87"/>
  <c r="E22" i="87"/>
  <c r="D37" i="87"/>
  <c r="D45" i="87"/>
  <c r="F42" i="87"/>
  <c r="F44" i="86"/>
  <c r="F39" i="86"/>
  <c r="F7" i="86"/>
  <c r="F19" i="86"/>
  <c r="G28" i="86"/>
  <c r="G36" i="86"/>
  <c r="D8" i="86"/>
  <c r="E13" i="86"/>
  <c r="G19" i="86"/>
  <c r="D24" i="86"/>
  <c r="E29" i="86"/>
  <c r="G35" i="86"/>
  <c r="D40" i="86"/>
  <c r="F46" i="86"/>
  <c r="F36" i="86"/>
  <c r="D7" i="85"/>
  <c r="D27" i="85"/>
  <c r="D43" i="85"/>
  <c r="E11" i="85"/>
  <c r="G17" i="85"/>
  <c r="D22" i="85"/>
  <c r="E27" i="85"/>
  <c r="G33" i="85"/>
  <c r="D38" i="85"/>
  <c r="E43" i="85"/>
  <c r="F39" i="85"/>
  <c r="F27" i="85"/>
  <c r="E13" i="85"/>
  <c r="E25" i="85"/>
  <c r="E41" i="85"/>
  <c r="F23" i="84"/>
  <c r="F17" i="84"/>
  <c r="F25" i="84"/>
  <c r="D43" i="84"/>
  <c r="E11" i="84"/>
  <c r="G17" i="84"/>
  <c r="D22" i="84"/>
  <c r="E27" i="84"/>
  <c r="G33" i="84"/>
  <c r="D38" i="84"/>
  <c r="E43" i="84"/>
  <c r="F35" i="84"/>
  <c r="F27" i="84"/>
  <c r="G11" i="84"/>
  <c r="E33" i="84"/>
  <c r="F31" i="83"/>
  <c r="F22" i="83"/>
  <c r="F9" i="83"/>
  <c r="G18" i="83"/>
  <c r="D27" i="83"/>
  <c r="F41" i="83"/>
  <c r="E7" i="83"/>
  <c r="E15" i="83"/>
  <c r="D22" i="83"/>
  <c r="G29" i="83"/>
  <c r="E35" i="83"/>
  <c r="G41" i="83"/>
  <c r="D46" i="83"/>
  <c r="F7" i="83"/>
  <c r="G11" i="83"/>
  <c r="G7" i="83"/>
  <c r="F12" i="82"/>
  <c r="D18" i="82"/>
  <c r="J22" i="82"/>
  <c r="K22" i="82" s="1"/>
  <c r="D26" i="82"/>
  <c r="F10" i="82"/>
  <c r="F14" i="82"/>
  <c r="F18" i="82"/>
  <c r="F22" i="82"/>
  <c r="G28" i="82"/>
  <c r="G32" i="82"/>
  <c r="G36" i="82"/>
  <c r="G40" i="82"/>
  <c r="G18" i="82"/>
  <c r="H26" i="82"/>
  <c r="I26" i="82" s="1"/>
  <c r="F11" i="82"/>
  <c r="D25" i="82"/>
  <c r="H29" i="82"/>
  <c r="I29" i="82" s="1"/>
  <c r="H33" i="82"/>
  <c r="I33" i="82" s="1"/>
  <c r="H37" i="82"/>
  <c r="I37" i="82" s="1"/>
  <c r="H41" i="82"/>
  <c r="I41" i="82" s="1"/>
  <c r="D45" i="82"/>
  <c r="J30" i="82"/>
  <c r="K30" i="82" s="1"/>
  <c r="J38" i="82"/>
  <c r="K38" i="82" s="1"/>
  <c r="H44" i="82"/>
  <c r="I44" i="82" s="1"/>
  <c r="F29" i="82"/>
  <c r="F45" i="82"/>
  <c r="F12" i="81"/>
  <c r="D18" i="81"/>
  <c r="J22" i="81"/>
  <c r="K22" i="81" s="1"/>
  <c r="F28" i="81"/>
  <c r="D34" i="81"/>
  <c r="E42" i="81"/>
  <c r="E46" i="81"/>
  <c r="D17" i="81"/>
  <c r="G25" i="81"/>
  <c r="H33" i="81"/>
  <c r="I33" i="81" s="1"/>
  <c r="D37" i="81"/>
  <c r="D37" i="82"/>
  <c r="F38" i="82"/>
  <c r="H42" i="81"/>
  <c r="I42" i="81" s="1"/>
  <c r="D29" i="81"/>
  <c r="G9" i="81"/>
  <c r="G14" i="81"/>
  <c r="D38" i="81"/>
  <c r="J40" i="81"/>
  <c r="K40" i="81" s="1"/>
  <c r="F23" i="81"/>
  <c r="G44" i="81"/>
  <c r="D41" i="82"/>
  <c r="D44" i="82"/>
  <c r="F16" i="81"/>
  <c r="F32" i="81"/>
  <c r="G46" i="81"/>
  <c r="H25" i="81"/>
  <c r="I25" i="81" s="1"/>
  <c r="G29" i="81"/>
  <c r="G37" i="81"/>
  <c r="H13" i="81"/>
  <c r="I13" i="81" s="1"/>
  <c r="D21" i="81"/>
  <c r="G18" i="81"/>
  <c r="G34" i="81"/>
  <c r="J38" i="81"/>
  <c r="K38" i="81" s="1"/>
  <c r="E37" i="81"/>
  <c r="G41" i="81"/>
  <c r="F11" i="81"/>
  <c r="F27" i="81"/>
  <c r="D41" i="81"/>
  <c r="D45" i="81"/>
  <c r="H46" i="81"/>
  <c r="I46" i="81" s="1"/>
  <c r="D33" i="81"/>
  <c r="D13" i="81"/>
  <c r="G21" i="81"/>
  <c r="E38" i="81"/>
  <c r="J37" i="81"/>
  <c r="K37" i="81" s="1"/>
  <c r="F15" i="81"/>
  <c r="H41" i="81"/>
  <c r="I41" i="81" s="1"/>
  <c r="H45" i="81"/>
  <c r="I45" i="81" s="1"/>
  <c r="G44" i="82"/>
  <c r="F25" i="82"/>
  <c r="D22" i="81"/>
  <c r="J34" i="81"/>
  <c r="K34" i="81" s="1"/>
  <c r="D25" i="81"/>
  <c r="H9" i="81"/>
  <c r="I9" i="81" s="1"/>
  <c r="G22" i="81"/>
  <c r="F46" i="81"/>
  <c r="F44" i="81"/>
  <c r="F31" i="81"/>
  <c r="F45" i="81"/>
  <c r="F30" i="82"/>
  <c r="F41" i="82"/>
  <c r="J26" i="81"/>
  <c r="K26" i="81" s="1"/>
  <c r="G42" i="81"/>
  <c r="H17" i="81"/>
  <c r="I17" i="81" s="1"/>
  <c r="H29" i="81"/>
  <c r="I29" i="81" s="1"/>
  <c r="G33" i="81"/>
  <c r="D9" i="81"/>
  <c r="G13" i="81"/>
  <c r="G10" i="81"/>
  <c r="G26" i="81"/>
  <c r="H38" i="81"/>
  <c r="I38" i="81" s="1"/>
  <c r="E33" i="81"/>
  <c r="F40" i="81"/>
  <c r="J44" i="81"/>
  <c r="K44" i="81" s="1"/>
  <c r="F19" i="81"/>
  <c r="F35" i="81"/>
  <c r="F43" i="81"/>
  <c r="F41" i="81"/>
  <c r="J10" i="81"/>
  <c r="K10" i="81" s="1"/>
  <c r="D30" i="81"/>
  <c r="G17" i="81"/>
  <c r="H37" i="81"/>
  <c r="I37" i="81" s="1"/>
  <c r="H21" i="81"/>
  <c r="I21" i="81" s="1"/>
  <c r="G30" i="81"/>
  <c r="J33" i="81"/>
  <c r="K33" i="81" s="1"/>
  <c r="F7" i="81"/>
  <c r="F39" i="81"/>
  <c r="E44" i="80"/>
  <c r="E30" i="80"/>
  <c r="E22" i="80"/>
  <c r="J9" i="80"/>
  <c r="K9" i="80" s="1"/>
  <c r="J43" i="80"/>
  <c r="K43" i="80" s="1"/>
  <c r="J39" i="80"/>
  <c r="K39" i="80" s="1"/>
  <c r="D35" i="80"/>
  <c r="G32" i="80"/>
  <c r="E29" i="80"/>
  <c r="E26" i="80"/>
  <c r="G24" i="80"/>
  <c r="F21" i="80"/>
  <c r="E18" i="80"/>
  <c r="J15" i="80"/>
  <c r="K15" i="80" s="1"/>
  <c r="J11" i="80"/>
  <c r="K11" i="80" s="1"/>
  <c r="E8" i="80"/>
  <c r="E10" i="80"/>
  <c r="G36" i="80"/>
  <c r="J27" i="80"/>
  <c r="K27" i="80" s="1"/>
  <c r="G12" i="80"/>
  <c r="G46" i="80"/>
  <c r="F42" i="80"/>
  <c r="E38" i="80"/>
  <c r="J35" i="80"/>
  <c r="K35" i="80" s="1"/>
  <c r="D31" i="80"/>
  <c r="J29" i="80"/>
  <c r="K29" i="80" s="1"/>
  <c r="E25" i="80"/>
  <c r="E23" i="80"/>
  <c r="D20" i="80"/>
  <c r="E17" i="80"/>
  <c r="E14" i="80"/>
  <c r="G8" i="80"/>
  <c r="F33" i="80"/>
  <c r="J19" i="80"/>
  <c r="K19" i="80" s="1"/>
  <c r="J45" i="80"/>
  <c r="K45" i="80" s="1"/>
  <c r="F41" i="80"/>
  <c r="J37" i="80"/>
  <c r="K37" i="80" s="1"/>
  <c r="E34" i="80"/>
  <c r="J31" i="80"/>
  <c r="K31" i="80" s="1"/>
  <c r="G28" i="80"/>
  <c r="J25" i="80"/>
  <c r="K25" i="80" s="1"/>
  <c r="J23" i="80"/>
  <c r="K23" i="80" s="1"/>
  <c r="G20" i="80"/>
  <c r="G16" i="80"/>
  <c r="J13" i="80"/>
  <c r="K13" i="80" s="1"/>
  <c r="E9" i="80"/>
  <c r="J7" i="80"/>
  <c r="K7" i="80" s="1"/>
  <c r="E40" i="80"/>
  <c r="E24" i="80"/>
  <c r="D15" i="80"/>
  <c r="H19" i="80"/>
  <c r="I19" i="80" s="1"/>
  <c r="H15" i="80"/>
  <c r="I15" i="80" s="1"/>
  <c r="H31" i="80"/>
  <c r="I31" i="80" s="1"/>
  <c r="G7" i="80"/>
  <c r="E32" i="80"/>
  <c r="G39" i="80"/>
  <c r="G35" i="80"/>
  <c r="H43" i="80"/>
  <c r="I43" i="80" s="1"/>
  <c r="J17" i="80"/>
  <c r="K17" i="80" s="1"/>
  <c r="F9" i="80"/>
  <c r="E16" i="80"/>
  <c r="H23" i="80"/>
  <c r="I23" i="80" s="1"/>
  <c r="E31" i="80"/>
  <c r="F37" i="80"/>
  <c r="G42" i="80"/>
  <c r="D7" i="80"/>
  <c r="D8" i="80"/>
  <c r="J16" i="80"/>
  <c r="K16" i="80" s="1"/>
  <c r="E28" i="80"/>
  <c r="G14" i="80"/>
  <c r="F8" i="80"/>
  <c r="D22" i="80"/>
  <c r="J30" i="80"/>
  <c r="K30" i="80" s="1"/>
  <c r="D9" i="80"/>
  <c r="H13" i="80"/>
  <c r="I13" i="80" s="1"/>
  <c r="H16" i="80"/>
  <c r="I16" i="80" s="1"/>
  <c r="F18" i="80"/>
  <c r="G21" i="80"/>
  <c r="D25" i="80"/>
  <c r="H29" i="80"/>
  <c r="I29" i="80" s="1"/>
  <c r="H32" i="80"/>
  <c r="I32" i="80" s="1"/>
  <c r="F34" i="80"/>
  <c r="G37" i="80"/>
  <c r="G22" i="80"/>
  <c r="G38" i="80"/>
  <c r="H30" i="80"/>
  <c r="I30" i="80" s="1"/>
  <c r="H42" i="80"/>
  <c r="I42" i="80" s="1"/>
  <c r="D10" i="80"/>
  <c r="J18" i="80"/>
  <c r="K18" i="80" s="1"/>
  <c r="F28" i="80"/>
  <c r="D38" i="80"/>
  <c r="F40" i="80"/>
  <c r="F44" i="80"/>
  <c r="H46" i="80"/>
  <c r="I46" i="80" s="1"/>
  <c r="F19" i="80"/>
  <c r="F35" i="80"/>
  <c r="D45" i="80"/>
  <c r="J46" i="80"/>
  <c r="K46" i="80" s="1"/>
  <c r="F7" i="80"/>
  <c r="F39" i="80"/>
  <c r="F45" i="80"/>
  <c r="F11" i="80"/>
  <c r="E13" i="80"/>
  <c r="D19" i="80"/>
  <c r="D32" i="80"/>
  <c r="D16" i="80"/>
  <c r="E36" i="80"/>
  <c r="G43" i="80"/>
  <c r="J36" i="80"/>
  <c r="K36" i="80" s="1"/>
  <c r="D44" i="80"/>
  <c r="J24" i="80"/>
  <c r="K24" i="80" s="1"/>
  <c r="D11" i="80"/>
  <c r="G19" i="80"/>
  <c r="F25" i="80"/>
  <c r="J32" i="80"/>
  <c r="K32" i="80" s="1"/>
  <c r="D39" i="80"/>
  <c r="D43" i="80"/>
  <c r="J12" i="80"/>
  <c r="K12" i="80" s="1"/>
  <c r="E11" i="80"/>
  <c r="D23" i="80"/>
  <c r="G31" i="80"/>
  <c r="H10" i="80"/>
  <c r="I10" i="80" s="1"/>
  <c r="D14" i="80"/>
  <c r="J22" i="80"/>
  <c r="K22" i="80" s="1"/>
  <c r="F32" i="80"/>
  <c r="G9" i="80"/>
  <c r="D13" i="80"/>
  <c r="H17" i="80"/>
  <c r="I17" i="80" s="1"/>
  <c r="H20" i="80"/>
  <c r="I20" i="80" s="1"/>
  <c r="F22" i="80"/>
  <c r="G25" i="80"/>
  <c r="D29" i="80"/>
  <c r="H33" i="80"/>
  <c r="I33" i="80" s="1"/>
  <c r="H36" i="80"/>
  <c r="I36" i="80" s="1"/>
  <c r="F38" i="80"/>
  <c r="G26" i="80"/>
  <c r="G10" i="80"/>
  <c r="H34" i="80"/>
  <c r="I34" i="80" s="1"/>
  <c r="D42" i="80"/>
  <c r="J10" i="80"/>
  <c r="K10" i="80" s="1"/>
  <c r="F20" i="80"/>
  <c r="D34" i="80"/>
  <c r="J38" i="80"/>
  <c r="K38" i="80" s="1"/>
  <c r="H41" i="80"/>
  <c r="I41" i="80" s="1"/>
  <c r="J44" i="80"/>
  <c r="K44" i="80" s="1"/>
  <c r="F23" i="80"/>
  <c r="H45" i="80"/>
  <c r="I45" i="80" s="1"/>
  <c r="F27" i="80"/>
  <c r="E46" i="80"/>
  <c r="E7" i="80"/>
  <c r="E20" i="80"/>
  <c r="E35" i="80"/>
  <c r="F17" i="80"/>
  <c r="G11" i="80"/>
  <c r="J8" i="80"/>
  <c r="K8" i="80" s="1"/>
  <c r="E37" i="80"/>
  <c r="G27" i="80"/>
  <c r="H27" i="80"/>
  <c r="I27" i="80" s="1"/>
  <c r="D12" i="80"/>
  <c r="J20" i="80"/>
  <c r="K20" i="80" s="1"/>
  <c r="D27" i="80"/>
  <c r="E33" i="80"/>
  <c r="D40" i="80"/>
  <c r="H44" i="80"/>
  <c r="I44" i="80" s="1"/>
  <c r="J28" i="80"/>
  <c r="K28" i="80" s="1"/>
  <c r="E12" i="80"/>
  <c r="D24" i="80"/>
  <c r="E39" i="80"/>
  <c r="H18" i="80"/>
  <c r="I18" i="80" s="1"/>
  <c r="J14" i="80"/>
  <c r="K14" i="80" s="1"/>
  <c r="F24" i="80"/>
  <c r="H8" i="80"/>
  <c r="I8" i="80" s="1"/>
  <c r="F10" i="80"/>
  <c r="G13" i="80"/>
  <c r="D17" i="80"/>
  <c r="H21" i="80"/>
  <c r="I21" i="80" s="1"/>
  <c r="H24" i="80"/>
  <c r="I24" i="80" s="1"/>
  <c r="F26" i="80"/>
  <c r="G29" i="80"/>
  <c r="D33" i="80"/>
  <c r="H37" i="80"/>
  <c r="I37" i="80" s="1"/>
  <c r="H40" i="80"/>
  <c r="I40" i="80" s="1"/>
  <c r="G30" i="80"/>
  <c r="H14" i="80"/>
  <c r="I14" i="80" s="1"/>
  <c r="H38" i="80"/>
  <c r="I38" i="80" s="1"/>
  <c r="J42" i="80"/>
  <c r="K42" i="80" s="1"/>
  <c r="F12" i="80"/>
  <c r="D26" i="80"/>
  <c r="J34" i="80"/>
  <c r="K34" i="80" s="1"/>
  <c r="G40" i="80"/>
  <c r="D41" i="80"/>
  <c r="G45" i="80"/>
  <c r="F43" i="80"/>
  <c r="F13" i="80"/>
  <c r="F29" i="80"/>
  <c r="D36" i="80"/>
  <c r="E19" i="80"/>
  <c r="J21" i="80"/>
  <c r="K21" i="80" s="1"/>
  <c r="G23" i="80"/>
  <c r="H39" i="80"/>
  <c r="I39" i="80" s="1"/>
  <c r="H11" i="80"/>
  <c r="I11" i="80" s="1"/>
  <c r="H7" i="80"/>
  <c r="I7" i="80" s="1"/>
  <c r="E15" i="80"/>
  <c r="E21" i="80"/>
  <c r="D28" i="80"/>
  <c r="H35" i="80"/>
  <c r="I35" i="80" s="1"/>
  <c r="E41" i="80"/>
  <c r="E45" i="80"/>
  <c r="J33" i="80"/>
  <c r="K33" i="80" s="1"/>
  <c r="G15" i="80"/>
  <c r="E27" i="80"/>
  <c r="E43" i="80"/>
  <c r="H26" i="80"/>
  <c r="I26" i="80" s="1"/>
  <c r="F16" i="80"/>
  <c r="D30" i="80"/>
  <c r="H9" i="80"/>
  <c r="I9" i="80" s="1"/>
  <c r="H12" i="80"/>
  <c r="I12" i="80" s="1"/>
  <c r="F14" i="80"/>
  <c r="G17" i="80"/>
  <c r="D21" i="80"/>
  <c r="H25" i="80"/>
  <c r="I25" i="80" s="1"/>
  <c r="H28" i="80"/>
  <c r="I28" i="80" s="1"/>
  <c r="F30" i="80"/>
  <c r="G33" i="80"/>
  <c r="D37" i="80"/>
  <c r="J41" i="80"/>
  <c r="K41" i="80" s="1"/>
  <c r="G34" i="80"/>
  <c r="H22" i="80"/>
  <c r="I22" i="80" s="1"/>
  <c r="E42" i="80"/>
  <c r="G18" i="80"/>
  <c r="D18" i="80"/>
  <c r="J26" i="80"/>
  <c r="K26" i="80" s="1"/>
  <c r="F36" i="80"/>
  <c r="J40" i="80"/>
  <c r="K40" i="80" s="1"/>
  <c r="G41" i="80"/>
  <c r="D46" i="80"/>
  <c r="F15" i="80"/>
  <c r="F31" i="80"/>
  <c r="G44" i="80"/>
  <c r="F46" i="80"/>
  <c r="B64" i="79"/>
  <c r="F60" i="79"/>
  <c r="C45" i="79"/>
  <c r="C43" i="79"/>
  <c r="C46" i="79"/>
  <c r="C44" i="79"/>
  <c r="G45" i="79"/>
  <c r="H45" i="79" s="1"/>
  <c r="F61" i="79"/>
  <c r="G44" i="79"/>
  <c r="H44" i="79" s="1"/>
  <c r="F59" i="79"/>
  <c r="G46" i="79"/>
  <c r="H46" i="79" s="1"/>
  <c r="G43" i="79"/>
  <c r="H43" i="79" s="1"/>
  <c r="H22" i="79"/>
  <c r="I34" i="79"/>
  <c r="H38" i="79"/>
  <c r="K29" i="79"/>
  <c r="H36" i="79"/>
  <c r="I24" i="79"/>
  <c r="H29" i="79"/>
  <c r="K30" i="79"/>
  <c r="J35" i="79"/>
  <c r="H30" i="79"/>
  <c r="J22" i="79"/>
  <c r="K34" i="79"/>
  <c r="J38" i="79"/>
  <c r="I33" i="79"/>
  <c r="K24" i="79"/>
  <c r="J29" i="79"/>
  <c r="K35" i="79"/>
  <c r="K25" i="79"/>
  <c r="B10" i="79"/>
  <c r="D10" i="79" s="1"/>
  <c r="H23" i="79"/>
  <c r="I35" i="79"/>
  <c r="H39" i="79"/>
  <c r="J30" i="79"/>
  <c r="H21" i="79"/>
  <c r="H37" i="79"/>
  <c r="I25" i="79"/>
  <c r="I38" i="79"/>
  <c r="K31" i="79"/>
  <c r="J36" i="79"/>
  <c r="I26" i="79"/>
  <c r="H31" i="79"/>
  <c r="J23" i="79"/>
  <c r="J39" i="79"/>
  <c r="H35" i="79"/>
  <c r="K38" i="79"/>
  <c r="B14" i="79"/>
  <c r="D14" i="79" s="1"/>
  <c r="H24" i="79"/>
  <c r="I36" i="79"/>
  <c r="K26" i="79"/>
  <c r="J31" i="79"/>
  <c r="I31" i="79"/>
  <c r="I22" i="79"/>
  <c r="H26" i="79"/>
  <c r="I39" i="79"/>
  <c r="K33" i="79"/>
  <c r="J37" i="79"/>
  <c r="I28" i="79"/>
  <c r="H33" i="79"/>
  <c r="J24" i="79"/>
  <c r="K36" i="79"/>
  <c r="K22" i="79"/>
  <c r="J26" i="79"/>
  <c r="K39" i="79"/>
  <c r="H25" i="79"/>
  <c r="I37" i="79"/>
  <c r="K28" i="79"/>
  <c r="J33" i="79"/>
  <c r="H34" i="79"/>
  <c r="I23" i="79"/>
  <c r="H28" i="79"/>
  <c r="J21" i="79"/>
  <c r="J34" i="79"/>
  <c r="I29" i="79"/>
  <c r="K21" i="79"/>
  <c r="J25" i="79"/>
  <c r="K37" i="79"/>
  <c r="I30" i="79"/>
  <c r="K23" i="79"/>
  <c r="J28" i="79"/>
  <c r="I76" i="17"/>
  <c r="I53" i="17"/>
  <c r="I35" i="17"/>
  <c r="J35" i="17" s="1"/>
  <c r="I50" i="17"/>
  <c r="I66" i="17"/>
  <c r="I43" i="17"/>
  <c r="J43" i="17" s="1"/>
  <c r="I64" i="17"/>
  <c r="I42" i="17"/>
  <c r="I45" i="17"/>
  <c r="I72" i="17"/>
  <c r="I49" i="17"/>
  <c r="I37" i="17"/>
  <c r="I40" i="17"/>
  <c r="I61" i="17"/>
  <c r="I38" i="17"/>
  <c r="I60" i="17"/>
  <c r="I77" i="17"/>
  <c r="J77" i="17" s="1"/>
  <c r="I36" i="17"/>
  <c r="J36" i="17" s="1"/>
  <c r="I67" i="17"/>
  <c r="I44" i="17"/>
  <c r="I73" i="17"/>
  <c r="I75" i="17"/>
  <c r="I52" i="17"/>
  <c r="I74" i="17"/>
  <c r="I51" i="17"/>
  <c r="I68" i="17"/>
  <c r="I62" i="17"/>
  <c r="I39" i="17"/>
  <c r="J39" i="17" s="1"/>
  <c r="I63" i="17"/>
  <c r="I71" i="17"/>
  <c r="I48" i="17"/>
  <c r="I69" i="17"/>
  <c r="I47" i="17"/>
  <c r="I59" i="17"/>
  <c r="B104" i="17"/>
  <c r="H68" i="17"/>
  <c r="H77" i="17"/>
  <c r="H72" i="17"/>
  <c r="H62" i="17"/>
  <c r="H74" i="17"/>
  <c r="H63" i="17"/>
  <c r="H71" i="17"/>
  <c r="H61" i="17"/>
  <c r="H59" i="17"/>
  <c r="H73" i="17"/>
  <c r="H64" i="17"/>
  <c r="H67" i="17"/>
  <c r="H60" i="17"/>
  <c r="H69" i="17"/>
  <c r="H75" i="17"/>
  <c r="H66" i="17"/>
  <c r="H76" i="17"/>
  <c r="H35" i="17"/>
  <c r="H39" i="17"/>
  <c r="H38" i="17"/>
  <c r="H37" i="17"/>
  <c r="H45" i="17"/>
  <c r="H53" i="17"/>
  <c r="H51" i="17"/>
  <c r="F99" i="17"/>
  <c r="H50" i="17"/>
  <c r="H40" i="17"/>
  <c r="H52" i="17"/>
  <c r="F86" i="17"/>
  <c r="H86" i="17" s="1"/>
  <c r="H36" i="17"/>
  <c r="H49" i="17"/>
  <c r="H44" i="17"/>
  <c r="H43" i="17"/>
  <c r="H42" i="17"/>
  <c r="F100" i="17"/>
  <c r="H48" i="17"/>
  <c r="H47" i="17"/>
  <c r="F101" i="17"/>
  <c r="F87" i="17"/>
  <c r="H87" i="17" s="1"/>
  <c r="C86" i="17"/>
  <c r="B17" i="17"/>
  <c r="D17" i="17" s="1"/>
  <c r="C88" i="17"/>
  <c r="C87" i="17"/>
  <c r="F89" i="17"/>
  <c r="H89" i="17" s="1"/>
  <c r="B11" i="17"/>
  <c r="D11" i="17" s="1"/>
  <c r="F88" i="17"/>
  <c r="H88" i="17" s="1"/>
  <c r="C89" i="17"/>
  <c r="L30" i="79" l="1"/>
  <c r="L22" i="79"/>
  <c r="L37" i="79"/>
  <c r="L34" i="79"/>
  <c r="L25" i="79"/>
  <c r="L35" i="79"/>
  <c r="L39" i="79"/>
  <c r="L28" i="79"/>
  <c r="L33" i="79"/>
  <c r="L21" i="79"/>
  <c r="L23" i="79"/>
  <c r="L24" i="79"/>
  <c r="L36" i="79"/>
  <c r="L26" i="79"/>
  <c r="L31" i="79"/>
  <c r="L29" i="79"/>
  <c r="L38" i="79"/>
  <c r="B12" i="17"/>
  <c r="B18" i="17"/>
  <c r="J52" i="17"/>
  <c r="J51" i="17"/>
  <c r="J38" i="17"/>
  <c r="J66" i="17"/>
  <c r="J67" i="17"/>
  <c r="J61" i="17"/>
  <c r="J62" i="17"/>
  <c r="J49" i="17"/>
  <c r="J53" i="17"/>
  <c r="J75" i="17"/>
  <c r="J64" i="17"/>
  <c r="J71" i="17"/>
  <c r="J72" i="17"/>
  <c r="J50" i="17"/>
  <c r="J45" i="17"/>
  <c r="J69" i="17"/>
  <c r="J73" i="17"/>
  <c r="J63" i="17"/>
  <c r="J76" i="17"/>
  <c r="J60" i="17"/>
  <c r="J59" i="17"/>
  <c r="J74" i="17"/>
  <c r="J68" i="17"/>
  <c r="J37" i="17"/>
  <c r="J48" i="17"/>
  <c r="J42" i="17"/>
  <c r="J44" i="17"/>
  <c r="J40" i="17"/>
  <c r="J47" i="17"/>
</calcChain>
</file>

<file path=xl/comments1.xml><?xml version="1.0" encoding="utf-8"?>
<comments xmlns="http://schemas.openxmlformats.org/spreadsheetml/2006/main">
  <authors>
    <author>Din</author>
  </authors>
  <commentList>
    <comment ref="E5" authorId="0">
      <text>
        <r>
          <rPr>
            <b/>
            <sz val="9"/>
            <color indexed="81"/>
            <rFont val="Tahoma"/>
            <family val="2"/>
          </rPr>
          <t xml:space="preserve">Din: </t>
        </r>
        <r>
          <rPr>
            <sz val="9"/>
            <color indexed="81"/>
            <rFont val="Tahoma"/>
            <family val="2"/>
          </rPr>
          <t>diisi nip atau nup wali kelas jika tidak ada beri tanda - (strip)</t>
        </r>
      </text>
    </comment>
  </commentList>
</comments>
</file>

<file path=xl/comments2.xml><?xml version="1.0" encoding="utf-8"?>
<comments xmlns="http://schemas.openxmlformats.org/spreadsheetml/2006/main">
  <authors>
    <author>user</author>
  </authors>
  <commentList>
    <comment ref="F8" authorId="0">
      <text>
        <r>
          <rPr>
            <sz val="9"/>
            <color indexed="81"/>
            <rFont val="Tahoma"/>
            <family val="2"/>
          </rPr>
          <t>Diisi nilai dengan angka 10 -100</t>
        </r>
      </text>
    </comment>
    <comment ref="W8" authorId="0">
      <text>
        <r>
          <rPr>
            <sz val="9"/>
            <color indexed="81"/>
            <rFont val="Tahoma"/>
            <family val="2"/>
          </rPr>
          <t xml:space="preserve">Diisi dengan huruf Kapital
</t>
        </r>
      </text>
    </comment>
    <comment ref="X8" authorId="0">
      <text>
        <r>
          <rPr>
            <sz val="9"/>
            <color indexed="81"/>
            <rFont val="Tahoma"/>
            <family val="2"/>
          </rPr>
          <t xml:space="preserve">Diisi dengan huruf Kapital
</t>
        </r>
      </text>
    </comment>
    <comment ref="AC8" authorId="0">
      <text>
        <r>
          <rPr>
            <sz val="8"/>
            <color indexed="81"/>
            <rFont val="Calibri"/>
            <family val="2"/>
            <scheme val="minor"/>
          </rPr>
          <t>diisi predikat</t>
        </r>
      </text>
    </comment>
    <comment ref="F9" authorId="0">
      <text>
        <r>
          <rPr>
            <sz val="9"/>
            <color indexed="81"/>
            <rFont val="Tahoma"/>
            <family val="2"/>
          </rPr>
          <t>Diisi nilai dengan angka 10 -100</t>
        </r>
      </text>
    </comment>
    <comment ref="W12" authorId="0">
      <text>
        <r>
          <rPr>
            <sz val="9"/>
            <color indexed="81"/>
            <rFont val="Tahoma"/>
            <family val="2"/>
          </rPr>
          <t xml:space="preserve">Diisi dengan huruf Kapital
</t>
        </r>
      </text>
    </comment>
    <comment ref="X12" authorId="0">
      <text>
        <r>
          <rPr>
            <sz val="9"/>
            <color indexed="81"/>
            <rFont val="Tahoma"/>
            <family val="2"/>
          </rPr>
          <t xml:space="preserve">Diisi dengan huruf Kapital
</t>
        </r>
      </text>
    </comment>
    <comment ref="AC12" authorId="0">
      <text>
        <r>
          <rPr>
            <sz val="8"/>
            <color indexed="81"/>
            <rFont val="Calibri"/>
            <family val="2"/>
            <scheme val="minor"/>
          </rPr>
          <t>diisi predikat</t>
        </r>
      </text>
    </comment>
    <comment ref="W16" authorId="0">
      <text>
        <r>
          <rPr>
            <sz val="9"/>
            <color indexed="81"/>
            <rFont val="Tahoma"/>
            <family val="2"/>
          </rPr>
          <t xml:space="preserve">Diisi dengan huruf Kapital
</t>
        </r>
      </text>
    </comment>
    <comment ref="X16" authorId="0">
      <text>
        <r>
          <rPr>
            <sz val="9"/>
            <color indexed="81"/>
            <rFont val="Tahoma"/>
            <family val="2"/>
          </rPr>
          <t xml:space="preserve">Diisi dengan huruf Kapital
</t>
        </r>
      </text>
    </comment>
    <comment ref="AC16" authorId="0">
      <text>
        <r>
          <rPr>
            <sz val="8"/>
            <color indexed="81"/>
            <rFont val="Calibri"/>
            <family val="2"/>
            <scheme val="minor"/>
          </rPr>
          <t>diisi predikat</t>
        </r>
      </text>
    </comment>
    <comment ref="W20" authorId="0">
      <text>
        <r>
          <rPr>
            <sz val="9"/>
            <color indexed="81"/>
            <rFont val="Tahoma"/>
            <family val="2"/>
          </rPr>
          <t xml:space="preserve">Diisi dengan huruf Kapital
</t>
        </r>
      </text>
    </comment>
    <comment ref="X20" authorId="0">
      <text>
        <r>
          <rPr>
            <sz val="9"/>
            <color indexed="81"/>
            <rFont val="Tahoma"/>
            <family val="2"/>
          </rPr>
          <t xml:space="preserve">Diisi dengan huruf Kapital
</t>
        </r>
      </text>
    </comment>
    <comment ref="AC20" authorId="0">
      <text>
        <r>
          <rPr>
            <sz val="8"/>
            <color indexed="81"/>
            <rFont val="Calibri"/>
            <family val="2"/>
            <scheme val="minor"/>
          </rPr>
          <t>diisi predikat</t>
        </r>
      </text>
    </comment>
    <comment ref="W24" authorId="0">
      <text>
        <r>
          <rPr>
            <sz val="9"/>
            <color indexed="81"/>
            <rFont val="Tahoma"/>
            <family val="2"/>
          </rPr>
          <t xml:space="preserve">Diisi dengan huruf Kapital
</t>
        </r>
      </text>
    </comment>
    <comment ref="X24" authorId="0">
      <text>
        <r>
          <rPr>
            <sz val="9"/>
            <color indexed="81"/>
            <rFont val="Tahoma"/>
            <family val="2"/>
          </rPr>
          <t xml:space="preserve">Diisi dengan huruf Kapital
</t>
        </r>
      </text>
    </comment>
    <comment ref="AC24" authorId="0">
      <text>
        <r>
          <rPr>
            <sz val="8"/>
            <color indexed="81"/>
            <rFont val="Calibri"/>
            <family val="2"/>
            <scheme val="minor"/>
          </rPr>
          <t>diisi predikat</t>
        </r>
      </text>
    </comment>
    <comment ref="W28" authorId="0">
      <text>
        <r>
          <rPr>
            <sz val="9"/>
            <color indexed="81"/>
            <rFont val="Tahoma"/>
            <family val="2"/>
          </rPr>
          <t xml:space="preserve">Diisi dengan huruf Kapital
</t>
        </r>
      </text>
    </comment>
    <comment ref="X28" authorId="0">
      <text>
        <r>
          <rPr>
            <sz val="9"/>
            <color indexed="81"/>
            <rFont val="Tahoma"/>
            <family val="2"/>
          </rPr>
          <t xml:space="preserve">Diisi dengan huruf Kapital
</t>
        </r>
      </text>
    </comment>
    <comment ref="AC28" authorId="0">
      <text>
        <r>
          <rPr>
            <sz val="8"/>
            <color indexed="81"/>
            <rFont val="Calibri"/>
            <family val="2"/>
            <scheme val="minor"/>
          </rPr>
          <t>diisi predikat</t>
        </r>
      </text>
    </comment>
    <comment ref="W32" authorId="0">
      <text>
        <r>
          <rPr>
            <sz val="9"/>
            <color indexed="81"/>
            <rFont val="Tahoma"/>
            <family val="2"/>
          </rPr>
          <t xml:space="preserve">Diisi dengan huruf Kapital
</t>
        </r>
      </text>
    </comment>
    <comment ref="X32" authorId="0">
      <text>
        <r>
          <rPr>
            <sz val="9"/>
            <color indexed="81"/>
            <rFont val="Tahoma"/>
            <family val="2"/>
          </rPr>
          <t xml:space="preserve">Diisi dengan huruf Kapital
</t>
        </r>
      </text>
    </comment>
    <comment ref="AC32" authorId="0">
      <text>
        <r>
          <rPr>
            <sz val="8"/>
            <color indexed="81"/>
            <rFont val="Calibri"/>
            <family val="2"/>
            <scheme val="minor"/>
          </rPr>
          <t>diisi predikat</t>
        </r>
      </text>
    </comment>
    <comment ref="W36" authorId="0">
      <text>
        <r>
          <rPr>
            <sz val="9"/>
            <color indexed="81"/>
            <rFont val="Tahoma"/>
            <family val="2"/>
          </rPr>
          <t xml:space="preserve">Diisi dengan huruf Kapital
</t>
        </r>
      </text>
    </comment>
    <comment ref="X36" authorId="0">
      <text>
        <r>
          <rPr>
            <sz val="9"/>
            <color indexed="81"/>
            <rFont val="Tahoma"/>
            <family val="2"/>
          </rPr>
          <t xml:space="preserve">Diisi dengan huruf Kapital
</t>
        </r>
      </text>
    </comment>
    <comment ref="AC36" authorId="0">
      <text>
        <r>
          <rPr>
            <sz val="8"/>
            <color indexed="81"/>
            <rFont val="Calibri"/>
            <family val="2"/>
            <scheme val="minor"/>
          </rPr>
          <t>diisi predikat</t>
        </r>
      </text>
    </comment>
    <comment ref="W40" authorId="0">
      <text>
        <r>
          <rPr>
            <sz val="9"/>
            <color indexed="81"/>
            <rFont val="Tahoma"/>
            <family val="2"/>
          </rPr>
          <t xml:space="preserve">Diisi dengan huruf Kapital
</t>
        </r>
      </text>
    </comment>
    <comment ref="X40" authorId="0">
      <text>
        <r>
          <rPr>
            <sz val="9"/>
            <color indexed="81"/>
            <rFont val="Tahoma"/>
            <family val="2"/>
          </rPr>
          <t xml:space="preserve">Diisi dengan huruf Kapital
</t>
        </r>
      </text>
    </comment>
    <comment ref="AC40" authorId="0">
      <text>
        <r>
          <rPr>
            <sz val="8"/>
            <color indexed="81"/>
            <rFont val="Calibri"/>
            <family val="2"/>
            <scheme val="minor"/>
          </rPr>
          <t>diisi predikat</t>
        </r>
      </text>
    </comment>
    <comment ref="W44" authorId="0">
      <text>
        <r>
          <rPr>
            <sz val="9"/>
            <color indexed="81"/>
            <rFont val="Tahoma"/>
            <family val="2"/>
          </rPr>
          <t xml:space="preserve">Diisi dengan huruf Kapital
</t>
        </r>
      </text>
    </comment>
    <comment ref="X44" authorId="0">
      <text>
        <r>
          <rPr>
            <sz val="9"/>
            <color indexed="81"/>
            <rFont val="Tahoma"/>
            <family val="2"/>
          </rPr>
          <t xml:space="preserve">Diisi dengan huruf Kapital
</t>
        </r>
      </text>
    </comment>
    <comment ref="AC44" authorId="0">
      <text>
        <r>
          <rPr>
            <sz val="8"/>
            <color indexed="81"/>
            <rFont val="Calibri"/>
            <family val="2"/>
            <scheme val="minor"/>
          </rPr>
          <t>diisi predikat</t>
        </r>
      </text>
    </comment>
    <comment ref="W48" authorId="0">
      <text>
        <r>
          <rPr>
            <sz val="9"/>
            <color indexed="81"/>
            <rFont val="Tahoma"/>
            <family val="2"/>
          </rPr>
          <t xml:space="preserve">Diisi dengan huruf Kapital
</t>
        </r>
      </text>
    </comment>
    <comment ref="X48" authorId="0">
      <text>
        <r>
          <rPr>
            <sz val="9"/>
            <color indexed="81"/>
            <rFont val="Tahoma"/>
            <family val="2"/>
          </rPr>
          <t xml:space="preserve">Diisi dengan huruf Kapital
</t>
        </r>
      </text>
    </comment>
    <comment ref="AC48" authorId="0">
      <text>
        <r>
          <rPr>
            <sz val="8"/>
            <color indexed="81"/>
            <rFont val="Calibri"/>
            <family val="2"/>
            <scheme val="minor"/>
          </rPr>
          <t>diisi predikat</t>
        </r>
      </text>
    </comment>
    <comment ref="W52" authorId="0">
      <text>
        <r>
          <rPr>
            <sz val="9"/>
            <color indexed="81"/>
            <rFont val="Tahoma"/>
            <family val="2"/>
          </rPr>
          <t xml:space="preserve">Diisi dengan huruf Kapital
</t>
        </r>
      </text>
    </comment>
    <comment ref="X52" authorId="0">
      <text>
        <r>
          <rPr>
            <sz val="9"/>
            <color indexed="81"/>
            <rFont val="Tahoma"/>
            <family val="2"/>
          </rPr>
          <t xml:space="preserve">Diisi dengan huruf Kapital
</t>
        </r>
      </text>
    </comment>
    <comment ref="AC52" authorId="0">
      <text>
        <r>
          <rPr>
            <sz val="8"/>
            <color indexed="81"/>
            <rFont val="Calibri"/>
            <family val="2"/>
            <scheme val="minor"/>
          </rPr>
          <t>diisi predikat</t>
        </r>
      </text>
    </comment>
    <comment ref="W56" authorId="0">
      <text>
        <r>
          <rPr>
            <sz val="9"/>
            <color indexed="81"/>
            <rFont val="Tahoma"/>
            <family val="2"/>
          </rPr>
          <t xml:space="preserve">Diisi dengan huruf Kapital
</t>
        </r>
      </text>
    </comment>
    <comment ref="X56" authorId="0">
      <text>
        <r>
          <rPr>
            <sz val="9"/>
            <color indexed="81"/>
            <rFont val="Tahoma"/>
            <family val="2"/>
          </rPr>
          <t xml:space="preserve">Diisi dengan huruf Kapital
</t>
        </r>
      </text>
    </comment>
    <comment ref="AC56" authorId="0">
      <text>
        <r>
          <rPr>
            <sz val="8"/>
            <color indexed="81"/>
            <rFont val="Calibri"/>
            <family val="2"/>
            <scheme val="minor"/>
          </rPr>
          <t>diisi predikat</t>
        </r>
      </text>
    </comment>
    <comment ref="W60" authorId="0">
      <text>
        <r>
          <rPr>
            <sz val="9"/>
            <color indexed="81"/>
            <rFont val="Tahoma"/>
            <family val="2"/>
          </rPr>
          <t xml:space="preserve">Diisi dengan huruf Kapital
</t>
        </r>
      </text>
    </comment>
    <comment ref="X60" authorId="0">
      <text>
        <r>
          <rPr>
            <sz val="9"/>
            <color indexed="81"/>
            <rFont val="Tahoma"/>
            <family val="2"/>
          </rPr>
          <t xml:space="preserve">Diisi dengan huruf Kapital
</t>
        </r>
      </text>
    </comment>
    <comment ref="AC60" authorId="0">
      <text>
        <r>
          <rPr>
            <sz val="8"/>
            <color indexed="81"/>
            <rFont val="Calibri"/>
            <family val="2"/>
            <scheme val="minor"/>
          </rPr>
          <t>diisi predikat</t>
        </r>
      </text>
    </comment>
    <comment ref="W64" authorId="0">
      <text>
        <r>
          <rPr>
            <sz val="9"/>
            <color indexed="81"/>
            <rFont val="Tahoma"/>
            <family val="2"/>
          </rPr>
          <t xml:space="preserve">Diisi dengan huruf Kapital
</t>
        </r>
      </text>
    </comment>
    <comment ref="X64" authorId="0">
      <text>
        <r>
          <rPr>
            <sz val="9"/>
            <color indexed="81"/>
            <rFont val="Tahoma"/>
            <family val="2"/>
          </rPr>
          <t xml:space="preserve">Diisi dengan huruf Kapital
</t>
        </r>
      </text>
    </comment>
    <comment ref="AC64" authorId="0">
      <text>
        <r>
          <rPr>
            <sz val="8"/>
            <color indexed="81"/>
            <rFont val="Calibri"/>
            <family val="2"/>
            <scheme val="minor"/>
          </rPr>
          <t>diisi predikat</t>
        </r>
      </text>
    </comment>
    <comment ref="W68" authorId="0">
      <text>
        <r>
          <rPr>
            <sz val="9"/>
            <color indexed="81"/>
            <rFont val="Tahoma"/>
            <family val="2"/>
          </rPr>
          <t xml:space="preserve">Diisi dengan huruf Kapital
</t>
        </r>
      </text>
    </comment>
    <comment ref="X68" authorId="0">
      <text>
        <r>
          <rPr>
            <sz val="9"/>
            <color indexed="81"/>
            <rFont val="Tahoma"/>
            <family val="2"/>
          </rPr>
          <t xml:space="preserve">Diisi dengan huruf Kapital
</t>
        </r>
      </text>
    </comment>
    <comment ref="AC68" authorId="0">
      <text>
        <r>
          <rPr>
            <sz val="8"/>
            <color indexed="81"/>
            <rFont val="Calibri"/>
            <family val="2"/>
            <scheme val="minor"/>
          </rPr>
          <t>diisi predikat</t>
        </r>
      </text>
    </comment>
    <comment ref="W72" authorId="0">
      <text>
        <r>
          <rPr>
            <sz val="9"/>
            <color indexed="81"/>
            <rFont val="Tahoma"/>
            <family val="2"/>
          </rPr>
          <t xml:space="preserve">Diisi dengan huruf Kapital
</t>
        </r>
      </text>
    </comment>
    <comment ref="X72" authorId="0">
      <text>
        <r>
          <rPr>
            <sz val="9"/>
            <color indexed="81"/>
            <rFont val="Tahoma"/>
            <family val="2"/>
          </rPr>
          <t xml:space="preserve">Diisi dengan huruf Kapital
</t>
        </r>
      </text>
    </comment>
    <comment ref="AC72" authorId="0">
      <text>
        <r>
          <rPr>
            <sz val="8"/>
            <color indexed="81"/>
            <rFont val="Calibri"/>
            <family val="2"/>
            <scheme val="minor"/>
          </rPr>
          <t>diisi predikat</t>
        </r>
      </text>
    </comment>
    <comment ref="W76" authorId="0">
      <text>
        <r>
          <rPr>
            <sz val="9"/>
            <color indexed="81"/>
            <rFont val="Tahoma"/>
            <family val="2"/>
          </rPr>
          <t xml:space="preserve">Diisi dengan huruf Kapital
</t>
        </r>
      </text>
    </comment>
    <comment ref="X76" authorId="0">
      <text>
        <r>
          <rPr>
            <sz val="9"/>
            <color indexed="81"/>
            <rFont val="Tahoma"/>
            <family val="2"/>
          </rPr>
          <t xml:space="preserve">Diisi dengan huruf Kapital
</t>
        </r>
      </text>
    </comment>
    <comment ref="AC76" authorId="0">
      <text>
        <r>
          <rPr>
            <sz val="8"/>
            <color indexed="81"/>
            <rFont val="Calibri"/>
            <family val="2"/>
            <scheme val="minor"/>
          </rPr>
          <t>diisi predikat</t>
        </r>
      </text>
    </comment>
    <comment ref="W80" authorId="0">
      <text>
        <r>
          <rPr>
            <sz val="9"/>
            <color indexed="81"/>
            <rFont val="Tahoma"/>
            <family val="2"/>
          </rPr>
          <t xml:space="preserve">Diisi dengan huruf Kapital
</t>
        </r>
      </text>
    </comment>
    <comment ref="X80" authorId="0">
      <text>
        <r>
          <rPr>
            <sz val="9"/>
            <color indexed="81"/>
            <rFont val="Tahoma"/>
            <family val="2"/>
          </rPr>
          <t xml:space="preserve">Diisi dengan huruf Kapital
</t>
        </r>
      </text>
    </comment>
    <comment ref="AC80" authorId="0">
      <text>
        <r>
          <rPr>
            <sz val="8"/>
            <color indexed="81"/>
            <rFont val="Calibri"/>
            <family val="2"/>
            <scheme val="minor"/>
          </rPr>
          <t>diisi predikat</t>
        </r>
      </text>
    </comment>
    <comment ref="W84" authorId="0">
      <text>
        <r>
          <rPr>
            <sz val="9"/>
            <color indexed="81"/>
            <rFont val="Tahoma"/>
            <family val="2"/>
          </rPr>
          <t xml:space="preserve">Diisi dengan huruf Kapital
</t>
        </r>
      </text>
    </comment>
    <comment ref="X84" authorId="0">
      <text>
        <r>
          <rPr>
            <sz val="9"/>
            <color indexed="81"/>
            <rFont val="Tahoma"/>
            <family val="2"/>
          </rPr>
          <t xml:space="preserve">Diisi dengan huruf Kapital
</t>
        </r>
      </text>
    </comment>
    <comment ref="AC84" authorId="0">
      <text>
        <r>
          <rPr>
            <sz val="8"/>
            <color indexed="81"/>
            <rFont val="Calibri"/>
            <family val="2"/>
            <scheme val="minor"/>
          </rPr>
          <t>diisi predikat</t>
        </r>
      </text>
    </comment>
    <comment ref="W88" authorId="0">
      <text>
        <r>
          <rPr>
            <sz val="9"/>
            <color indexed="81"/>
            <rFont val="Tahoma"/>
            <family val="2"/>
          </rPr>
          <t xml:space="preserve">Diisi dengan huruf Kapital
</t>
        </r>
      </text>
    </comment>
    <comment ref="X88" authorId="0">
      <text>
        <r>
          <rPr>
            <sz val="9"/>
            <color indexed="81"/>
            <rFont val="Tahoma"/>
            <family val="2"/>
          </rPr>
          <t xml:space="preserve">Diisi dengan huruf Kapital
</t>
        </r>
      </text>
    </comment>
    <comment ref="AC88" authorId="0">
      <text>
        <r>
          <rPr>
            <sz val="8"/>
            <color indexed="81"/>
            <rFont val="Calibri"/>
            <family val="2"/>
            <scheme val="minor"/>
          </rPr>
          <t>diisi predikat</t>
        </r>
      </text>
    </comment>
    <comment ref="W92" authorId="0">
      <text>
        <r>
          <rPr>
            <sz val="9"/>
            <color indexed="81"/>
            <rFont val="Tahoma"/>
            <family val="2"/>
          </rPr>
          <t xml:space="preserve">Diisi dengan huruf Kapital
</t>
        </r>
      </text>
    </comment>
    <comment ref="X92" authorId="0">
      <text>
        <r>
          <rPr>
            <sz val="9"/>
            <color indexed="81"/>
            <rFont val="Tahoma"/>
            <family val="2"/>
          </rPr>
          <t xml:space="preserve">Diisi dengan huruf Kapital
</t>
        </r>
      </text>
    </comment>
    <comment ref="AC92" authorId="0">
      <text>
        <r>
          <rPr>
            <sz val="8"/>
            <color indexed="81"/>
            <rFont val="Calibri"/>
            <family val="2"/>
            <scheme val="minor"/>
          </rPr>
          <t>diisi predikat</t>
        </r>
      </text>
    </comment>
    <comment ref="W96" authorId="0">
      <text>
        <r>
          <rPr>
            <sz val="9"/>
            <color indexed="81"/>
            <rFont val="Tahoma"/>
            <family val="2"/>
          </rPr>
          <t xml:space="preserve">Diisi dengan huruf Kapital
</t>
        </r>
      </text>
    </comment>
    <comment ref="X96" authorId="0">
      <text>
        <r>
          <rPr>
            <sz val="9"/>
            <color indexed="81"/>
            <rFont val="Tahoma"/>
            <family val="2"/>
          </rPr>
          <t xml:space="preserve">Diisi dengan huruf Kapital
</t>
        </r>
      </text>
    </comment>
    <comment ref="AC96" authorId="0">
      <text>
        <r>
          <rPr>
            <sz val="8"/>
            <color indexed="81"/>
            <rFont val="Calibri"/>
            <family val="2"/>
            <scheme val="minor"/>
          </rPr>
          <t>diisi predikat</t>
        </r>
      </text>
    </comment>
    <comment ref="W100" authorId="0">
      <text>
        <r>
          <rPr>
            <sz val="9"/>
            <color indexed="81"/>
            <rFont val="Tahoma"/>
            <family val="2"/>
          </rPr>
          <t xml:space="preserve">Diisi dengan huruf Kapital
</t>
        </r>
      </text>
    </comment>
    <comment ref="X100" authorId="0">
      <text>
        <r>
          <rPr>
            <sz val="9"/>
            <color indexed="81"/>
            <rFont val="Tahoma"/>
            <family val="2"/>
          </rPr>
          <t xml:space="preserve">Diisi dengan huruf Kapital
</t>
        </r>
      </text>
    </comment>
    <comment ref="AC100" authorId="0">
      <text>
        <r>
          <rPr>
            <sz val="8"/>
            <color indexed="81"/>
            <rFont val="Calibri"/>
            <family val="2"/>
            <scheme val="minor"/>
          </rPr>
          <t>diisi predikat</t>
        </r>
      </text>
    </comment>
    <comment ref="W104" authorId="0">
      <text>
        <r>
          <rPr>
            <sz val="9"/>
            <color indexed="81"/>
            <rFont val="Tahoma"/>
            <family val="2"/>
          </rPr>
          <t xml:space="preserve">Diisi dengan huruf Kapital
</t>
        </r>
      </text>
    </comment>
    <comment ref="X104" authorId="0">
      <text>
        <r>
          <rPr>
            <sz val="9"/>
            <color indexed="81"/>
            <rFont val="Tahoma"/>
            <family val="2"/>
          </rPr>
          <t xml:space="preserve">Diisi dengan huruf Kapital
</t>
        </r>
      </text>
    </comment>
    <comment ref="AC104" authorId="0">
      <text>
        <r>
          <rPr>
            <sz val="8"/>
            <color indexed="81"/>
            <rFont val="Calibri"/>
            <family val="2"/>
            <scheme val="minor"/>
          </rPr>
          <t>diisi predikat</t>
        </r>
      </text>
    </comment>
    <comment ref="W108" authorId="0">
      <text>
        <r>
          <rPr>
            <sz val="9"/>
            <color indexed="81"/>
            <rFont val="Tahoma"/>
            <family val="2"/>
          </rPr>
          <t xml:space="preserve">Diisi dengan huruf Kapital
</t>
        </r>
      </text>
    </comment>
    <comment ref="X108" authorId="0">
      <text>
        <r>
          <rPr>
            <sz val="9"/>
            <color indexed="81"/>
            <rFont val="Tahoma"/>
            <family val="2"/>
          </rPr>
          <t xml:space="preserve">Diisi dengan huruf Kapital
</t>
        </r>
      </text>
    </comment>
    <comment ref="AC108" authorId="0">
      <text>
        <r>
          <rPr>
            <sz val="8"/>
            <color indexed="81"/>
            <rFont val="Calibri"/>
            <family val="2"/>
            <scheme val="minor"/>
          </rPr>
          <t>diisi predikat</t>
        </r>
      </text>
    </comment>
    <comment ref="W112" authorId="0">
      <text>
        <r>
          <rPr>
            <sz val="9"/>
            <color indexed="81"/>
            <rFont val="Tahoma"/>
            <family val="2"/>
          </rPr>
          <t xml:space="preserve">Diisi dengan huruf Kapital
</t>
        </r>
      </text>
    </comment>
    <comment ref="X112" authorId="0">
      <text>
        <r>
          <rPr>
            <sz val="9"/>
            <color indexed="81"/>
            <rFont val="Tahoma"/>
            <family val="2"/>
          </rPr>
          <t xml:space="preserve">Diisi dengan huruf Kapital
</t>
        </r>
      </text>
    </comment>
    <comment ref="AC112" authorId="0">
      <text>
        <r>
          <rPr>
            <sz val="8"/>
            <color indexed="81"/>
            <rFont val="Calibri"/>
            <family val="2"/>
            <scheme val="minor"/>
          </rPr>
          <t>diisi predikat</t>
        </r>
      </text>
    </comment>
    <comment ref="W116" authorId="0">
      <text>
        <r>
          <rPr>
            <sz val="9"/>
            <color indexed="81"/>
            <rFont val="Tahoma"/>
            <family val="2"/>
          </rPr>
          <t xml:space="preserve">Diisi dengan huruf Kapital
</t>
        </r>
      </text>
    </comment>
    <comment ref="X116" authorId="0">
      <text>
        <r>
          <rPr>
            <sz val="9"/>
            <color indexed="81"/>
            <rFont val="Tahoma"/>
            <family val="2"/>
          </rPr>
          <t xml:space="preserve">Diisi dengan huruf Kapital
</t>
        </r>
      </text>
    </comment>
    <comment ref="AC116" authorId="0">
      <text>
        <r>
          <rPr>
            <sz val="8"/>
            <color indexed="81"/>
            <rFont val="Calibri"/>
            <family val="2"/>
            <scheme val="minor"/>
          </rPr>
          <t>diisi predikat</t>
        </r>
      </text>
    </comment>
    <comment ref="W120" authorId="0">
      <text>
        <r>
          <rPr>
            <sz val="9"/>
            <color indexed="81"/>
            <rFont val="Tahoma"/>
            <family val="2"/>
          </rPr>
          <t xml:space="preserve">Diisi dengan huruf Kapital
</t>
        </r>
      </text>
    </comment>
    <comment ref="X120" authorId="0">
      <text>
        <r>
          <rPr>
            <sz val="9"/>
            <color indexed="81"/>
            <rFont val="Tahoma"/>
            <family val="2"/>
          </rPr>
          <t xml:space="preserve">Diisi dengan huruf Kapital
</t>
        </r>
      </text>
    </comment>
    <comment ref="AC120" authorId="0">
      <text>
        <r>
          <rPr>
            <sz val="8"/>
            <color indexed="81"/>
            <rFont val="Calibri"/>
            <family val="2"/>
            <scheme val="minor"/>
          </rPr>
          <t>diisi predikat</t>
        </r>
      </text>
    </comment>
    <comment ref="W124" authorId="0">
      <text>
        <r>
          <rPr>
            <sz val="9"/>
            <color indexed="81"/>
            <rFont val="Tahoma"/>
            <family val="2"/>
          </rPr>
          <t xml:space="preserve">Diisi dengan huruf Kapital
</t>
        </r>
      </text>
    </comment>
    <comment ref="X124" authorId="0">
      <text>
        <r>
          <rPr>
            <sz val="9"/>
            <color indexed="81"/>
            <rFont val="Tahoma"/>
            <family val="2"/>
          </rPr>
          <t xml:space="preserve">Diisi dengan huruf Kapital
</t>
        </r>
      </text>
    </comment>
    <comment ref="AC124" authorId="0">
      <text>
        <r>
          <rPr>
            <sz val="8"/>
            <color indexed="81"/>
            <rFont val="Calibri"/>
            <family val="2"/>
            <scheme val="minor"/>
          </rPr>
          <t>diisi predikat</t>
        </r>
      </text>
    </comment>
    <comment ref="W128" authorId="0">
      <text>
        <r>
          <rPr>
            <sz val="9"/>
            <color indexed="81"/>
            <rFont val="Tahoma"/>
            <family val="2"/>
          </rPr>
          <t xml:space="preserve">Diisi dengan huruf Kapital
</t>
        </r>
      </text>
    </comment>
    <comment ref="X128" authorId="0">
      <text>
        <r>
          <rPr>
            <sz val="9"/>
            <color indexed="81"/>
            <rFont val="Tahoma"/>
            <family val="2"/>
          </rPr>
          <t xml:space="preserve">Diisi dengan huruf Kapital
</t>
        </r>
      </text>
    </comment>
    <comment ref="AC128" authorId="0">
      <text>
        <r>
          <rPr>
            <sz val="8"/>
            <color indexed="81"/>
            <rFont val="Calibri"/>
            <family val="2"/>
            <scheme val="minor"/>
          </rPr>
          <t>diisi predikat</t>
        </r>
      </text>
    </comment>
    <comment ref="W132" authorId="0">
      <text>
        <r>
          <rPr>
            <sz val="9"/>
            <color indexed="81"/>
            <rFont val="Tahoma"/>
            <family val="2"/>
          </rPr>
          <t xml:space="preserve">Diisi dengan huruf Kapital
</t>
        </r>
      </text>
    </comment>
    <comment ref="X132" authorId="0">
      <text>
        <r>
          <rPr>
            <sz val="9"/>
            <color indexed="81"/>
            <rFont val="Tahoma"/>
            <family val="2"/>
          </rPr>
          <t xml:space="preserve">Diisi dengan huruf Kapital
</t>
        </r>
      </text>
    </comment>
    <comment ref="AC132" authorId="0">
      <text>
        <r>
          <rPr>
            <sz val="8"/>
            <color indexed="81"/>
            <rFont val="Calibri"/>
            <family val="2"/>
            <scheme val="minor"/>
          </rPr>
          <t>diisi predikat</t>
        </r>
      </text>
    </comment>
    <comment ref="W136" authorId="0">
      <text>
        <r>
          <rPr>
            <sz val="9"/>
            <color indexed="81"/>
            <rFont val="Tahoma"/>
            <family val="2"/>
          </rPr>
          <t xml:space="preserve">Diisi dengan huruf Kapital
</t>
        </r>
      </text>
    </comment>
    <comment ref="X136" authorId="0">
      <text>
        <r>
          <rPr>
            <sz val="9"/>
            <color indexed="81"/>
            <rFont val="Tahoma"/>
            <family val="2"/>
          </rPr>
          <t xml:space="preserve">Diisi dengan huruf Kapital
</t>
        </r>
      </text>
    </comment>
    <comment ref="AC136" authorId="0">
      <text>
        <r>
          <rPr>
            <sz val="8"/>
            <color indexed="81"/>
            <rFont val="Calibri"/>
            <family val="2"/>
            <scheme val="minor"/>
          </rPr>
          <t>diisi predikat</t>
        </r>
      </text>
    </comment>
    <comment ref="W140" authorId="0">
      <text>
        <r>
          <rPr>
            <sz val="9"/>
            <color indexed="81"/>
            <rFont val="Tahoma"/>
            <family val="2"/>
          </rPr>
          <t xml:space="preserve">Diisi dengan huruf Kapital
</t>
        </r>
      </text>
    </comment>
    <comment ref="X140" authorId="0">
      <text>
        <r>
          <rPr>
            <sz val="9"/>
            <color indexed="81"/>
            <rFont val="Tahoma"/>
            <family val="2"/>
          </rPr>
          <t xml:space="preserve">Diisi dengan huruf Kapital
</t>
        </r>
      </text>
    </comment>
    <comment ref="AC140" authorId="0">
      <text>
        <r>
          <rPr>
            <sz val="8"/>
            <color indexed="81"/>
            <rFont val="Calibri"/>
            <family val="2"/>
            <scheme val="minor"/>
          </rPr>
          <t>diisi predikat</t>
        </r>
      </text>
    </comment>
    <comment ref="W144" authorId="0">
      <text>
        <r>
          <rPr>
            <sz val="9"/>
            <color indexed="81"/>
            <rFont val="Tahoma"/>
            <family val="2"/>
          </rPr>
          <t xml:space="preserve">Diisi dengan huruf Kapital
</t>
        </r>
      </text>
    </comment>
    <comment ref="X144" authorId="0">
      <text>
        <r>
          <rPr>
            <sz val="9"/>
            <color indexed="81"/>
            <rFont val="Tahoma"/>
            <family val="2"/>
          </rPr>
          <t xml:space="preserve">Diisi dengan huruf Kapital
</t>
        </r>
      </text>
    </comment>
    <comment ref="AC144" authorId="0">
      <text>
        <r>
          <rPr>
            <sz val="8"/>
            <color indexed="81"/>
            <rFont val="Calibri"/>
            <family val="2"/>
            <scheme val="minor"/>
          </rPr>
          <t>diisi predikat</t>
        </r>
      </text>
    </comment>
    <comment ref="W148" authorId="0">
      <text>
        <r>
          <rPr>
            <sz val="9"/>
            <color indexed="81"/>
            <rFont val="Tahoma"/>
            <family val="2"/>
          </rPr>
          <t xml:space="preserve">Diisi dengan huruf Kapital
</t>
        </r>
      </text>
    </comment>
    <comment ref="X148" authorId="0">
      <text>
        <r>
          <rPr>
            <sz val="9"/>
            <color indexed="81"/>
            <rFont val="Tahoma"/>
            <family val="2"/>
          </rPr>
          <t xml:space="preserve">Diisi dengan huruf Kapital
</t>
        </r>
      </text>
    </comment>
    <comment ref="AC148" authorId="0">
      <text>
        <r>
          <rPr>
            <sz val="8"/>
            <color indexed="81"/>
            <rFont val="Calibri"/>
            <family val="2"/>
            <scheme val="minor"/>
          </rPr>
          <t>diisi predikat</t>
        </r>
      </text>
    </comment>
    <comment ref="W152" authorId="0">
      <text>
        <r>
          <rPr>
            <sz val="9"/>
            <color indexed="81"/>
            <rFont val="Tahoma"/>
            <family val="2"/>
          </rPr>
          <t xml:space="preserve">Diisi dengan huruf Kapital
</t>
        </r>
      </text>
    </comment>
    <comment ref="X152" authorId="0">
      <text>
        <r>
          <rPr>
            <sz val="9"/>
            <color indexed="81"/>
            <rFont val="Tahoma"/>
            <family val="2"/>
          </rPr>
          <t xml:space="preserve">Diisi dengan huruf Kapital
</t>
        </r>
      </text>
    </comment>
    <comment ref="AC152" authorId="0">
      <text>
        <r>
          <rPr>
            <sz val="8"/>
            <color indexed="81"/>
            <rFont val="Calibri"/>
            <family val="2"/>
            <scheme val="minor"/>
          </rPr>
          <t>diisi predikat</t>
        </r>
      </text>
    </comment>
    <comment ref="W156" authorId="0">
      <text>
        <r>
          <rPr>
            <sz val="9"/>
            <color indexed="81"/>
            <rFont val="Tahoma"/>
            <family val="2"/>
          </rPr>
          <t xml:space="preserve">Diisi dengan huruf Kapital
</t>
        </r>
      </text>
    </comment>
    <comment ref="X156" authorId="0">
      <text>
        <r>
          <rPr>
            <sz val="9"/>
            <color indexed="81"/>
            <rFont val="Tahoma"/>
            <family val="2"/>
          </rPr>
          <t xml:space="preserve">Diisi dengan huruf Kapital
</t>
        </r>
      </text>
    </comment>
    <comment ref="AC156" authorId="0">
      <text>
        <r>
          <rPr>
            <sz val="8"/>
            <color indexed="81"/>
            <rFont val="Calibri"/>
            <family val="2"/>
            <scheme val="minor"/>
          </rPr>
          <t>diisi predikat</t>
        </r>
      </text>
    </comment>
    <comment ref="W160" authorId="0">
      <text>
        <r>
          <rPr>
            <sz val="9"/>
            <color indexed="81"/>
            <rFont val="Tahoma"/>
            <family val="2"/>
          </rPr>
          <t xml:space="preserve">Diisi dengan huruf Kapital
</t>
        </r>
      </text>
    </comment>
    <comment ref="X160" authorId="0">
      <text>
        <r>
          <rPr>
            <sz val="9"/>
            <color indexed="81"/>
            <rFont val="Tahoma"/>
            <family val="2"/>
          </rPr>
          <t xml:space="preserve">Diisi dengan huruf Kapital
</t>
        </r>
      </text>
    </comment>
    <comment ref="AC160" authorId="0">
      <text>
        <r>
          <rPr>
            <sz val="8"/>
            <color indexed="81"/>
            <rFont val="Calibri"/>
            <family val="2"/>
            <scheme val="minor"/>
          </rPr>
          <t>diisi predikat</t>
        </r>
      </text>
    </comment>
    <comment ref="W164" authorId="0">
      <text>
        <r>
          <rPr>
            <sz val="9"/>
            <color indexed="81"/>
            <rFont val="Tahoma"/>
            <family val="2"/>
          </rPr>
          <t xml:space="preserve">Diisi dengan huruf Kapital
</t>
        </r>
      </text>
    </comment>
    <comment ref="X164" authorId="0">
      <text>
        <r>
          <rPr>
            <sz val="9"/>
            <color indexed="81"/>
            <rFont val="Tahoma"/>
            <family val="2"/>
          </rPr>
          <t xml:space="preserve">Diisi dengan huruf Kapital
</t>
        </r>
      </text>
    </comment>
    <comment ref="AC164" authorId="0">
      <text>
        <r>
          <rPr>
            <sz val="8"/>
            <color indexed="81"/>
            <rFont val="Calibri"/>
            <family val="2"/>
            <scheme val="minor"/>
          </rPr>
          <t>diisi predikat</t>
        </r>
      </text>
    </comment>
  </commentList>
</comments>
</file>

<file path=xl/sharedStrings.xml><?xml version="1.0" encoding="utf-8"?>
<sst xmlns="http://schemas.openxmlformats.org/spreadsheetml/2006/main" count="2936" uniqueCount="498">
  <si>
    <t>Sakit</t>
  </si>
  <si>
    <t>Kepala Sekolah,</t>
  </si>
  <si>
    <t>Wali Kelas,</t>
  </si>
  <si>
    <t>:</t>
  </si>
  <si>
    <t>Predikat</t>
  </si>
  <si>
    <t>Matematika</t>
  </si>
  <si>
    <t>B</t>
  </si>
  <si>
    <t>A</t>
  </si>
  <si>
    <t>Pengetahuan</t>
  </si>
  <si>
    <t>NO.</t>
  </si>
  <si>
    <t>NIS</t>
  </si>
  <si>
    <t>Bahasa Inggris</t>
  </si>
  <si>
    <t>Seni Budaya</t>
  </si>
  <si>
    <t>Semester</t>
  </si>
  <si>
    <t>Nama Peserta Didik</t>
  </si>
  <si>
    <t>Pendidikan Agama dan Budi Pekerti</t>
  </si>
  <si>
    <t>Prakarya dan Kewirausahaan</t>
  </si>
  <si>
    <t>Izin</t>
  </si>
  <si>
    <t>C</t>
  </si>
  <si>
    <t>D</t>
  </si>
  <si>
    <t>Pendidikan Pancasila dan Kewarganegaraan</t>
  </si>
  <si>
    <t>Bahasa Indonesia</t>
  </si>
  <si>
    <t>Score Nilai</t>
  </si>
  <si>
    <t>Predik</t>
  </si>
  <si>
    <t>Nilai Kompetensi</t>
  </si>
  <si>
    <t>Keterampilan</t>
  </si>
  <si>
    <t>D+</t>
  </si>
  <si>
    <t>C-</t>
  </si>
  <si>
    <t>C+</t>
  </si>
  <si>
    <t>B-</t>
  </si>
  <si>
    <t>B+</t>
  </si>
  <si>
    <t>A-</t>
  </si>
  <si>
    <t>DON'T TOUCH &amp; DELETE</t>
  </si>
  <si>
    <t>by Fathur Rachim</t>
  </si>
  <si>
    <t>fr.rachim@gmail.com</t>
  </si>
  <si>
    <t>BIODATA SISWA</t>
  </si>
  <si>
    <t>-</t>
  </si>
  <si>
    <t>Dra. Hj. Happy Mariana, M.Si</t>
  </si>
  <si>
    <t>SMA PASUNDAN BANJARAN</t>
  </si>
  <si>
    <t>Mengetahui;</t>
  </si>
  <si>
    <t>LAPORAN HASIL BELAJAR PESERTA DIDIK</t>
  </si>
  <si>
    <t>NAMA PESERTA DIDIK</t>
  </si>
  <si>
    <t>Semester :</t>
  </si>
  <si>
    <t>Tahun Pelajaran :</t>
  </si>
  <si>
    <t>Sekolah :</t>
  </si>
  <si>
    <t>Semester  :</t>
  </si>
  <si>
    <t>Orang Tua / Wali,</t>
  </si>
  <si>
    <t>Tahun Pelajaran</t>
  </si>
  <si>
    <t>Pendidikan Jasmani, Olah Raga dan Kesehatan</t>
  </si>
  <si>
    <t>Bahasa Sunda</t>
  </si>
  <si>
    <t>Kelas / Peminatan :</t>
  </si>
  <si>
    <t>Baca Tulis Qur'an</t>
  </si>
  <si>
    <t>Leggerx1</t>
  </si>
  <si>
    <t>Alpa</t>
  </si>
  <si>
    <t>KODE</t>
  </si>
  <si>
    <t>JANGAN DIRUBAH</t>
  </si>
  <si>
    <t>NAMA WALI KELAS:</t>
  </si>
  <si>
    <t>RATAAN AKHIR</t>
  </si>
  <si>
    <t>RATAAN ( P &amp; K )</t>
  </si>
  <si>
    <t>Kelas</t>
  </si>
  <si>
    <t>NISN</t>
  </si>
  <si>
    <t>CAPAIAN HASIL BELAJAR</t>
  </si>
  <si>
    <t>1. Sikap Spiritual</t>
  </si>
  <si>
    <t>2. Sikap Sosial</t>
  </si>
  <si>
    <t>Deskripsi</t>
  </si>
  <si>
    <t>Nilai</t>
  </si>
  <si>
    <t>KKM</t>
  </si>
  <si>
    <t>Umum A</t>
  </si>
  <si>
    <t>Umum B</t>
  </si>
  <si>
    <t>Peminatan</t>
  </si>
  <si>
    <t>Ciri K</t>
  </si>
  <si>
    <t>Lintas Minat</t>
  </si>
  <si>
    <t>PREDIKAT</t>
  </si>
  <si>
    <t>URUTAN / RANK</t>
  </si>
  <si>
    <t>PENGETAHUAN</t>
  </si>
  <si>
    <t>NIP/NUP/NUPTK:</t>
  </si>
  <si>
    <t>NO. URT</t>
  </si>
  <si>
    <t>TEMPAT, TGL LAHIR</t>
  </si>
  <si>
    <t>Jenis Kelamin</t>
  </si>
  <si>
    <t>AGAMA</t>
  </si>
  <si>
    <t>STATUS DI KELUARGA</t>
  </si>
  <si>
    <t>ANAK KE-</t>
  </si>
  <si>
    <t>ALAMAT PESERTA DIDIK</t>
  </si>
  <si>
    <t>NO TLP RUMAH</t>
  </si>
  <si>
    <t>ASAL SEKOLAH</t>
  </si>
  <si>
    <t>DITERIMA</t>
  </si>
  <si>
    <t>DATA ORANG TUA PESERTA DIDIK</t>
  </si>
  <si>
    <t>PEKERJAAN ORANGTUA</t>
  </si>
  <si>
    <t>WALI PESERTA DIDIK</t>
  </si>
  <si>
    <t>DI KELAS</t>
  </si>
  <si>
    <t>PADA TGL</t>
  </si>
  <si>
    <t>NM AYAH</t>
  </si>
  <si>
    <t>NM IBU</t>
  </si>
  <si>
    <t>ALAMAT</t>
  </si>
  <si>
    <t>NO. TLP/HP</t>
  </si>
  <si>
    <t>AYAH</t>
  </si>
  <si>
    <t>IBU</t>
  </si>
  <si>
    <t>NM WALI</t>
  </si>
  <si>
    <t>PEKERJAAN</t>
  </si>
  <si>
    <t>Laki-laki</t>
  </si>
  <si>
    <t xml:space="preserve">Banjaran </t>
  </si>
  <si>
    <t>022</t>
  </si>
  <si>
    <t>081</t>
  </si>
  <si>
    <t>PNS</t>
  </si>
  <si>
    <t>085</t>
  </si>
  <si>
    <t>1.</t>
  </si>
  <si>
    <t>Nama Lengkap Peserta Didik</t>
  </si>
  <si>
    <t>2.</t>
  </si>
  <si>
    <t>a. N I S</t>
  </si>
  <si>
    <t>b. N I S N</t>
  </si>
  <si>
    <t>3.</t>
  </si>
  <si>
    <t>Tempat, Tanggal Lahir</t>
  </si>
  <si>
    <t>4.</t>
  </si>
  <si>
    <t>5.</t>
  </si>
  <si>
    <t>Agama</t>
  </si>
  <si>
    <t>6.</t>
  </si>
  <si>
    <t>Status dalam Keluarga</t>
  </si>
  <si>
    <t>7.</t>
  </si>
  <si>
    <t>Anak ke-</t>
  </si>
  <si>
    <t>8.</t>
  </si>
  <si>
    <t>Alamat Peserta Didik</t>
  </si>
  <si>
    <t>9.</t>
  </si>
  <si>
    <t>Nomor Telepon Rumah</t>
  </si>
  <si>
    <t>10.</t>
  </si>
  <si>
    <t>Sekolah Asal (SLTP)</t>
  </si>
  <si>
    <t>11.</t>
  </si>
  <si>
    <t>Diterima di sekolah ini;</t>
  </si>
  <si>
    <t>a. Di Kelas</t>
  </si>
  <si>
    <t>12.</t>
  </si>
  <si>
    <t>Orang tua;</t>
  </si>
  <si>
    <t>a. Nama Ayah</t>
  </si>
  <si>
    <t>b. Nama Ibu</t>
  </si>
  <si>
    <t>c. Alamat</t>
  </si>
  <si>
    <t>d. Nomor Telepon/HP</t>
  </si>
  <si>
    <t>13.</t>
  </si>
  <si>
    <t>Pekerjaan Orang tua;</t>
  </si>
  <si>
    <t>a. Ayah</t>
  </si>
  <si>
    <t>b. Ibu</t>
  </si>
  <si>
    <t>14.</t>
  </si>
  <si>
    <t>Wali Peserta Didik;</t>
  </si>
  <si>
    <t>a. Nama Wali</t>
  </si>
  <si>
    <t>b. Nomor Telepon/HP</t>
  </si>
  <si>
    <t>d. Pekerjaan</t>
  </si>
  <si>
    <t>NIP. 19580515 198603 2 008</t>
  </si>
  <si>
    <t>Nama Kegiatan</t>
  </si>
  <si>
    <t>Jenis Kegiatan</t>
  </si>
  <si>
    <t>KETERAMPILAN</t>
  </si>
  <si>
    <t>MAPEL</t>
  </si>
  <si>
    <t>Rapor merupakan ringkasan hasil penilaian terhadap seluruh aktivitas pembelajaran yang dilakukan peserta didik dalam satu semester. Rapor dipergunakan selama peserta didik mengikuti seluruh program pembelajaran di Sekolah Menengah Atas yang bersangkutan. Berikut ini petunjuk untuk mengisi rapor:</t>
  </si>
  <si>
    <t>PETUNJUK UMUM PENGISIAN RAPOR</t>
  </si>
  <si>
    <t>Pred_P</t>
  </si>
  <si>
    <t>Pred_K</t>
  </si>
  <si>
    <t>Spiritual</t>
  </si>
  <si>
    <t>Sosial</t>
  </si>
  <si>
    <t>DESKRIPSI ( DI TIK ULANG SESUAI DARI GURU MAPEL MASING2 )</t>
  </si>
  <si>
    <t>DESKRIPSI WALI KELAS (Boleh diganti / disesuaikan)</t>
  </si>
  <si>
    <t>...............................................</t>
  </si>
  <si>
    <t>DESKRIPSI EKSTRAKURIKULER</t>
  </si>
  <si>
    <t>Absensi</t>
  </si>
  <si>
    <t>Ekstrakurikuler</t>
  </si>
  <si>
    <t>Indeks Nilai</t>
  </si>
  <si>
    <t>Sejarah Indonesia</t>
  </si>
  <si>
    <t>DATA PRESTASI - CATATAN WALI KELAS</t>
  </si>
  <si>
    <t>PRESTASI</t>
  </si>
  <si>
    <t>Keterangan</t>
  </si>
  <si>
    <t>Catatan Wali Kelas</t>
  </si>
  <si>
    <t>Selalu bersyukur dan selalu berdoa sebelum melakukan kegiatan, memiliki toleran pada agama yang berbeda, serta memiliki ketaatan beribadah.</t>
  </si>
  <si>
    <t>Selalu bersyukur dan selalu berdoa sebelum melakukan kegiatan, memiliki toleran pada agama yang berbeda, ketaatan beribadah mulai berkembang.</t>
  </si>
  <si>
    <t>Selalu bersyukur dan selalu berdoa sebelum melakukan kegiatan, memiliki toleran pada agama yang berbeda, ketaatan beribadah perlu ditingkatkan.</t>
  </si>
  <si>
    <t>Memiliki sikap santun, disiplin, tanggung jawab, dan kepedulian yang sangat baik.</t>
  </si>
  <si>
    <t>Memiliki sikap santun, disiplin, tanggung jawab yang baik, sikap kepedulian mulai meningkat.</t>
  </si>
  <si>
    <t>Memiliki sikap santun, disiplin, dan tanggung jawab yang baik, sikap kepedulian perlu ditingkatkan.</t>
  </si>
  <si>
    <t xml:space="preserve">  Sakit</t>
  </si>
  <si>
    <t xml:space="preserve">  Izin</t>
  </si>
  <si>
    <t xml:space="preserve">  Tanpa Keterangan</t>
  </si>
  <si>
    <t>hari</t>
  </si>
  <si>
    <t>--</t>
  </si>
  <si>
    <t>Pend. Kepramukaan</t>
  </si>
  <si>
    <t>Selalu bersyukur dan selalu berdoa sebelum melakukan kegiatan, memiliki toleran pada agama yang berbeda, namun ketaatan beribadah perlu ditingkatkan lagi.</t>
  </si>
  <si>
    <t>Memiliki sikap santun, disiplin, dan tanggung jawab cukup baik, namun sikap kepedulian perlu ditingkatkan.</t>
  </si>
  <si>
    <t>Predikat P_K</t>
  </si>
  <si>
    <t>Mata Pelajaran</t>
  </si>
  <si>
    <t>Kegiatan Ekstrakurikuler</t>
  </si>
  <si>
    <t>Nama Sekolah</t>
  </si>
  <si>
    <t>Alamat</t>
  </si>
  <si>
    <t>SMA Pasundan Banjaran</t>
  </si>
  <si>
    <t>Jl. Stasiun Timur No. 63 Banjaran</t>
  </si>
  <si>
    <t>Nomor Induk / NISN</t>
  </si>
  <si>
    <t>No.</t>
  </si>
  <si>
    <t>KETERANGAN PINDAH SEKOLAH</t>
  </si>
  <si>
    <t>Nomor Induk</t>
  </si>
  <si>
    <t>K e l u a r</t>
  </si>
  <si>
    <t>Tanggal</t>
  </si>
  <si>
    <t>Kelas yang Ditinggalkan</t>
  </si>
  <si>
    <t>Sebab - sebab Keluar atau Atas Permintaan (Tertulis)</t>
  </si>
  <si>
    <t>Tanda tangan Kepala Sekolah, Stempel Sekolah dan Tanda Tangan Orang Tua / Wali</t>
  </si>
  <si>
    <t>.......................,...........</t>
  </si>
  <si>
    <t>...............................</t>
  </si>
  <si>
    <t>NIP</t>
  </si>
  <si>
    <t>Orang Tua/ Wali</t>
  </si>
  <si>
    <t>................................</t>
  </si>
  <si>
    <t>M a s u k</t>
  </si>
  <si>
    <t>Nama Peserta didik</t>
  </si>
  <si>
    <t>.................,...........</t>
  </si>
  <si>
    <t>Kepala Sekolah</t>
  </si>
  <si>
    <t>a. Tanggal</t>
  </si>
  <si>
    <t>..................................</t>
  </si>
  <si>
    <t>b. Di Kelas</t>
  </si>
  <si>
    <t>NIP.</t>
  </si>
  <si>
    <t>c. Tanggal</t>
  </si>
  <si>
    <t>d. Di Kelas</t>
  </si>
  <si>
    <t>e. Tanggal</t>
  </si>
  <si>
    <t>f. Di Kelas</t>
  </si>
  <si>
    <t>Keterangan :</t>
  </si>
  <si>
    <t>NISN = Nomor Induk Siswa Nasional</t>
  </si>
  <si>
    <t>NIS    = Nomor Induk Siswa</t>
  </si>
  <si>
    <t>IDENTITAS PESERTA DIDIK</t>
  </si>
  <si>
    <t>Nama Peserta didik :</t>
  </si>
  <si>
    <t>Nomor Induk Peserta didik:</t>
  </si>
  <si>
    <t>Nomor Induk Peserta didik Nasional:</t>
  </si>
  <si>
    <t>Anak Kandung</t>
  </si>
  <si>
    <t>Islam</t>
  </si>
  <si>
    <t>SMP N X Banjaran</t>
  </si>
  <si>
    <t>X</t>
  </si>
  <si>
    <t>OON</t>
  </si>
  <si>
    <t>IIN</t>
  </si>
  <si>
    <t>Banjarnegra</t>
  </si>
  <si>
    <t>IRT</t>
  </si>
  <si>
    <t>UUN</t>
  </si>
  <si>
    <t>Babakan Pasundan</t>
  </si>
  <si>
    <t>Dagang</t>
  </si>
  <si>
    <t>Banjarnegara, 8 Mei 1999</t>
  </si>
  <si>
    <t>b. Pada tanggal</t>
  </si>
  <si>
    <t>18 Juli 2016</t>
  </si>
  <si>
    <r>
      <t>Memasukan data prestasi, catatan wali kelas untuk peserta didik pada Sheet</t>
    </r>
    <r>
      <rPr>
        <b/>
        <sz val="11"/>
        <rFont val="Times New Roman"/>
        <family val="1"/>
      </rPr>
      <t xml:space="preserve"> CatatPrestasi</t>
    </r>
  </si>
  <si>
    <t>Rapor sudak link dengan Biodata, Leger, dan CatatPrestasi</t>
  </si>
  <si>
    <t>Identitas Sekolah diisi dengan data yang sesuai dengan keberadaan Sekolah Menengah Atas.</t>
  </si>
  <si>
    <t>Keterangan tentang diri Peserta didik diisi lengkap.</t>
  </si>
  <si>
    <t>Rapor harus dilengkapi dengan pas foto berwarna (3 x 4).</t>
  </si>
  <si>
    <t>Deskripsi sikap spiritual dan sikap sosial ditulis menggunakan kalimat positif yang memotivasi untuk butir-butir nilai sikap yang sangat baik dan/atau kurang baik.</t>
  </si>
  <si>
    <t>Kolom KKM diisi dengan KKM mata pelajaran untuk pengetahuan dan keterampilan.</t>
  </si>
  <si>
    <t>Kolom predikat pada pengetahuan dan keterampilan diisi berdasarkan interval predikat (D – A).</t>
  </si>
  <si>
    <t>Kolom deskripsi pada pengetahuan dan keterampilan ditulis dengan singkat menggunakan kalimat positif untuk capaian tertinggi dan kalimat yang memotivasi untuk capaian terendah.</t>
  </si>
  <si>
    <t>Kolom nilai pada ekstrakurikuler diisi dengan sangat baik, baik, cukup, kurang, yang kriterianya ditetapkan oleh satuan pendidikan. Kolom deskripsi diisi dengan penjelasan sikap dan kecakapan yang dicapai.</t>
  </si>
  <si>
    <t>Kolom jenis kegiatan diisi dengan kegiatan yang diikuti oleh peserta didik dalam bidang akademik dan non akademik pada kegiatan yang berkaitan dengan satuan pendidikan pada semester berjalan. Contoh: Olimpiade Biologi, Paduan Suara, Paskibra.</t>
  </si>
  <si>
    <t>Kolom keterangan pada prestasi diisi dengan tingkat wilayah. Contoh: Juara II Tingkat Kabupaten Subang, Juara I Tingkat Provinsi Jawa Barat, Anggota Pasukan Pengibar Bendera tingkat Nasional.</t>
  </si>
  <si>
    <t>Ketidakhadiran diisi dengan data akumulasi ketidakhadiran peserta didik karena sakit, izin, atau tanpa keterangan selama satu semester.</t>
  </si>
  <si>
    <t>Catatan wali kelas diisi dengan saran-saran bagi peserta didik dan orang tua untuk diperhatikan.</t>
  </si>
  <si>
    <t>Tanggapan orang tua/wali adalah komentar atas pencapaian hasil belajar peserta didik.</t>
  </si>
  <si>
    <r>
      <t>Memasukan /</t>
    </r>
    <r>
      <rPr>
        <b/>
        <sz val="11"/>
        <rFont val="Times New Roman"/>
        <family val="1"/>
      </rPr>
      <t xml:space="preserve"> entri</t>
    </r>
    <r>
      <rPr>
        <sz val="11"/>
        <rFont val="Times New Roman"/>
        <family val="1"/>
      </rPr>
      <t xml:space="preserve"> / memperbaiki data Kelas, nama_nip Wali Kelas, serta </t>
    </r>
    <r>
      <rPr>
        <b/>
        <sz val="11"/>
        <rFont val="Times New Roman"/>
        <family val="1"/>
      </rPr>
      <t>data</t>
    </r>
    <r>
      <rPr>
        <sz val="11"/>
        <rFont val="Times New Roman"/>
        <family val="1"/>
      </rPr>
      <t xml:space="preserve"> </t>
    </r>
    <r>
      <rPr>
        <b/>
        <sz val="11"/>
        <rFont val="Times New Roman"/>
        <family val="1"/>
      </rPr>
      <t>Peserta didik selengkap mungkin</t>
    </r>
    <r>
      <rPr>
        <sz val="11"/>
        <rFont val="Times New Roman"/>
        <family val="1"/>
      </rPr>
      <t xml:space="preserve"> pada Sheet </t>
    </r>
    <r>
      <rPr>
        <b/>
        <sz val="11"/>
        <rFont val="Times New Roman"/>
        <family val="1"/>
      </rPr>
      <t>Biodata</t>
    </r>
  </si>
  <si>
    <r>
      <t xml:space="preserve">Memasukan </t>
    </r>
    <r>
      <rPr>
        <b/>
        <sz val="11"/>
        <rFont val="Times New Roman"/>
        <family val="1"/>
      </rPr>
      <t>Nilai</t>
    </r>
    <r>
      <rPr>
        <sz val="11"/>
        <rFont val="Times New Roman"/>
        <family val="1"/>
      </rPr>
      <t xml:space="preserve"> Pengetahuan, Keterampilan, </t>
    </r>
    <r>
      <rPr>
        <b/>
        <sz val="11"/>
        <rFont val="Times New Roman"/>
        <family val="1"/>
      </rPr>
      <t>Predikat</t>
    </r>
    <r>
      <rPr>
        <sz val="11"/>
        <rFont val="Times New Roman"/>
        <family val="1"/>
      </rPr>
      <t xml:space="preserve"> Sikap, </t>
    </r>
    <r>
      <rPr>
        <b/>
        <sz val="11"/>
        <rFont val="Times New Roman"/>
        <family val="1"/>
      </rPr>
      <t>Absensi</t>
    </r>
    <r>
      <rPr>
        <sz val="11"/>
        <rFont val="Times New Roman"/>
        <family val="1"/>
      </rPr>
      <t xml:space="preserve">, dan </t>
    </r>
    <r>
      <rPr>
        <b/>
        <sz val="11"/>
        <rFont val="Times New Roman"/>
        <family val="1"/>
      </rPr>
      <t>Nama</t>
    </r>
    <r>
      <rPr>
        <sz val="11"/>
        <rFont val="Times New Roman"/>
        <family val="1"/>
      </rPr>
      <t xml:space="preserve"> Kegiatan </t>
    </r>
    <r>
      <rPr>
        <b/>
        <sz val="11"/>
        <rFont val="Times New Roman"/>
        <family val="1"/>
      </rPr>
      <t>EkstraKurikuler</t>
    </r>
    <r>
      <rPr>
        <sz val="11"/>
        <rFont val="Times New Roman"/>
        <family val="1"/>
      </rPr>
      <t xml:space="preserve"> serta predikatnya pada Sheet </t>
    </r>
    <r>
      <rPr>
        <b/>
        <sz val="11"/>
        <rFont val="Times New Roman"/>
        <family val="1"/>
      </rPr>
      <t>LEGER</t>
    </r>
  </si>
  <si>
    <r>
      <rPr>
        <b/>
        <i/>
        <u/>
        <sz val="11"/>
        <rFont val="Times New Roman"/>
        <family val="1"/>
      </rPr>
      <t>Keterangan</t>
    </r>
    <r>
      <rPr>
        <b/>
        <i/>
        <sz val="11"/>
        <rFont val="Times New Roman"/>
        <family val="1"/>
      </rPr>
      <t>:</t>
    </r>
    <r>
      <rPr>
        <b/>
        <i/>
        <sz val="11"/>
        <color rgb="FFFF0000"/>
        <rFont val="Times New Roman"/>
        <family val="1"/>
      </rPr>
      <t xml:space="preserve"> Untuk membuka sheet yang </t>
    </r>
    <r>
      <rPr>
        <b/>
        <i/>
        <sz val="11"/>
        <rFont val="Times New Roman"/>
        <family val="1"/>
      </rPr>
      <t>ter Protect</t>
    </r>
    <r>
      <rPr>
        <b/>
        <i/>
        <sz val="11"/>
        <color rgb="FFFF0000"/>
        <rFont val="Times New Roman"/>
        <family val="1"/>
      </rPr>
      <t xml:space="preserve">, klik kanan pada sheet tsb. dan pilih dan klik </t>
    </r>
    <r>
      <rPr>
        <b/>
        <i/>
        <sz val="11"/>
        <rFont val="Times New Roman"/>
        <family val="1"/>
      </rPr>
      <t>Unprotect Sheet</t>
    </r>
  </si>
  <si>
    <t xml:space="preserve">PETUNJUK KHUSUS MENGISI APLIKASI RAPOR INI  </t>
  </si>
  <si>
    <t xml:space="preserve"> [) ! |\| [) ! |\| $</t>
  </si>
  <si>
    <t>Kolom nilai pada pengetahuan dan keterampilan ditulis dalam bentuk bilangan bulat pada skala 10 - 100</t>
  </si>
  <si>
    <t>Cukup aktif mengikuti kegiatan</t>
  </si>
  <si>
    <t xml:space="preserve">Sangat Baik, aktif dalam kepengurusan dan mengikuti berbagai kegiatan </t>
  </si>
  <si>
    <t xml:space="preserve">Baik, aktif dalam kepengurusan dan mengikuti kegiatan </t>
  </si>
  <si>
    <t>Kurang aktif dalam mengikuti kegiatan</t>
  </si>
  <si>
    <t>P</t>
  </si>
  <si>
    <t xml:space="preserve">K </t>
  </si>
  <si>
    <t xml:space="preserve">   Kelompok A (Umum)</t>
  </si>
  <si>
    <t xml:space="preserve">   Kelompok B (Umum)</t>
  </si>
  <si>
    <t xml:space="preserve">   Kelompok C (Peminatan)</t>
  </si>
  <si>
    <t>D = Kurang</t>
  </si>
  <si>
    <t>C = Cukup</t>
  </si>
  <si>
    <t>B = Baik</t>
  </si>
  <si>
    <t>A = Sangat Baik</t>
  </si>
  <si>
    <t>&lt; 70</t>
  </si>
  <si>
    <t>A. S i k a p</t>
  </si>
  <si>
    <t>SIKAP</t>
  </si>
  <si>
    <t>ASPEK MAPEL</t>
  </si>
  <si>
    <t>Untuk Titit mangsa Raport diisi pada Leger (bagian Bawah)</t>
  </si>
  <si>
    <t>B i o l o g i</t>
  </si>
  <si>
    <t>G e o g r a f i</t>
  </si>
  <si>
    <t>Masuk di Sekolah ini ;</t>
  </si>
  <si>
    <t>2016 / 2017</t>
  </si>
  <si>
    <t>Tingkatkan Prestasi dan minta pengayaan !</t>
  </si>
  <si>
    <t>Pertahankan Prestasimu  !</t>
  </si>
  <si>
    <t>Belajarlah lebih rajin dan minta pengayaan !</t>
  </si>
  <si>
    <t>Perlu berlatih untuk meningkatkan kompetensi dan remedial mapel yang belum tuntas !</t>
  </si>
  <si>
    <t>Terus berlatih untuk lebih baik dan remedial mapel yang belum tuntas!</t>
  </si>
  <si>
    <t>Luangkan waktu untuk belajar, hadir di kelas, rajin ke sekolah, &amp; perbaiki mapel yang belum tuntas !</t>
  </si>
  <si>
    <t>Anda harus merubah pola belajar, rajin sekolah, dan remedial mapel yang belum tuntas !</t>
  </si>
  <si>
    <t>Anda harus berlatih secara maksimal dan remedial mapel yang kurang !</t>
  </si>
  <si>
    <t>SB</t>
  </si>
  <si>
    <t>C. Keterampilan</t>
  </si>
  <si>
    <t>B. Pengetahuan</t>
  </si>
  <si>
    <t>No</t>
  </si>
  <si>
    <t>D. Ekstra Kurikuler</t>
  </si>
  <si>
    <t>E. Prestasi</t>
  </si>
  <si>
    <t>F. Ketidakhadiran</t>
  </si>
  <si>
    <t>G. Catatan Wali Kelas</t>
  </si>
  <si>
    <t>H. Tanggapan Orang tua / Wali</t>
  </si>
  <si>
    <t>K</t>
  </si>
  <si>
    <t>Naik / Tidak Naik</t>
  </si>
  <si>
    <t>Kenaikan Kelas</t>
  </si>
  <si>
    <t>Catatan WK &amp; Kenaikan Kelas</t>
  </si>
  <si>
    <t>KENAIKAN KELAS</t>
  </si>
  <si>
    <t>CATATAN Wali-Kelas</t>
  </si>
  <si>
    <t>Keterangan Kenaikan Kelas :</t>
  </si>
  <si>
    <t>Sikap</t>
  </si>
  <si>
    <t>SPIRITUAL</t>
  </si>
  <si>
    <t>SOSIAL</t>
  </si>
  <si>
    <r>
      <t xml:space="preserve">70 </t>
    </r>
    <r>
      <rPr>
        <sz val="11"/>
        <rFont val="Calibri"/>
        <family val="2"/>
      </rPr>
      <t>- 79</t>
    </r>
  </si>
  <si>
    <t>80 - 89</t>
  </si>
  <si>
    <t>90 - 100</t>
  </si>
  <si>
    <r>
      <t xml:space="preserve">Ketuntasan Belajar Minimal = </t>
    </r>
    <r>
      <rPr>
        <b/>
        <sz val="11"/>
        <rFont val="Times New Roman"/>
        <family val="1"/>
      </rPr>
      <t>70</t>
    </r>
  </si>
  <si>
    <t>Tabel interval predikat berdasarkan KKM / KBM.</t>
  </si>
  <si>
    <t>B. Pengetahuan dan Keterampilan</t>
  </si>
  <si>
    <t>Ketuntasan</t>
  </si>
  <si>
    <t>......................................</t>
  </si>
  <si>
    <t>C. Ekstra Kurikuler</t>
  </si>
  <si>
    <t>D. Prestasi</t>
  </si>
  <si>
    <t>E. Ketidakhadiran</t>
  </si>
  <si>
    <t>F. Catatan Wali Kelas</t>
  </si>
  <si>
    <t>G. Tanggapan Orang tua / Wali</t>
  </si>
  <si>
    <t>Rank</t>
  </si>
  <si>
    <t>Rank :</t>
  </si>
  <si>
    <t>KKM:</t>
  </si>
  <si>
    <t>MAPEL:</t>
  </si>
  <si>
    <t>SEMESTER:</t>
  </si>
  <si>
    <t>KELAS :</t>
  </si>
  <si>
    <t>NO</t>
  </si>
  <si>
    <t>NAMA</t>
  </si>
  <si>
    <t>SPIRIT</t>
  </si>
  <si>
    <t>DESKRIPSI</t>
  </si>
  <si>
    <t>Deskripsi SPIRITUAL</t>
  </si>
  <si>
    <t>Deskripsi SOSIAL</t>
  </si>
  <si>
    <t>Tidak Naik Kelas</t>
  </si>
  <si>
    <t>Naik dengan Remedial</t>
  </si>
  <si>
    <t>2 / Genap</t>
  </si>
  <si>
    <t>2018/2019</t>
  </si>
  <si>
    <t>Mencetak Rapor manual per Peserta didik ( ukuran kertas A4 ).</t>
  </si>
  <si>
    <t>Sikap spiritual dan sikap sosial diisi dengan predikat (SB = Sangat Baik, B = Baik, C = Cukup, atau K = Kurang) dan dilengkapi dengan deskripsi berdasarkan rangkuman hasil penilaian sikap dari guru mata pelajaran, guru BK, dan wali kelas.</t>
  </si>
  <si>
    <t>036</t>
  </si>
  <si>
    <t>A36</t>
  </si>
  <si>
    <t>037</t>
  </si>
  <si>
    <t>A37</t>
  </si>
  <si>
    <t>038</t>
  </si>
  <si>
    <t>A38</t>
  </si>
  <si>
    <t>039</t>
  </si>
  <si>
    <t>A39</t>
  </si>
  <si>
    <t>040</t>
  </si>
  <si>
    <t>A40</t>
  </si>
  <si>
    <t>Urutan ke-</t>
  </si>
  <si>
    <t>NIP. -</t>
  </si>
  <si>
    <t>NIP. --</t>
  </si>
  <si>
    <t>Naik ke Kelas XI MIPA</t>
  </si>
  <si>
    <t>Telah menguasai seluruh kompetensi dasar pengetahuan dengan Sangat baik</t>
  </si>
  <si>
    <t>Telah menguasai seluruh kompetensi dasar keterampilan dengan Sangat baik</t>
  </si>
  <si>
    <t>Telah menguasai sebagian besar kompetensi dasar pengetahuan dengan Baik</t>
  </si>
  <si>
    <t>Sudah menguasai sebagian besar kompetensi dasar keterampilan dengan Baik</t>
  </si>
  <si>
    <t>Cukup telah menguasai beberapa kompetensi dasar pengetahuan</t>
  </si>
  <si>
    <t>Cukup menguasai beberapa kompetensi dasar keterampilan</t>
  </si>
  <si>
    <t>Baru menguasai sebagian kecil kompetensi dasar pengetahuan dan perlu bimbingan</t>
  </si>
  <si>
    <t>Baru menguasai sebagian kecil kompetensi dasar keterampilan dan perlu latihan</t>
  </si>
  <si>
    <t>Sebutan</t>
  </si>
  <si>
    <t>Sangat Baik</t>
  </si>
  <si>
    <t>Baik</t>
  </si>
  <si>
    <t>Cukup</t>
  </si>
  <si>
    <t>Kurang</t>
  </si>
  <si>
    <t>S o s i o l o g i</t>
  </si>
  <si>
    <t>E k o n o m i</t>
  </si>
  <si>
    <t>S e j a r a h</t>
  </si>
  <si>
    <t xml:space="preserve"> X / IPS_5 </t>
  </si>
  <si>
    <t>181910008</t>
  </si>
  <si>
    <t>ADITA TRI KURNIA PUTRI</t>
  </si>
  <si>
    <t>181910011</t>
  </si>
  <si>
    <t xml:space="preserve">ADNES KOMALA DEWI </t>
  </si>
  <si>
    <t>181910014</t>
  </si>
  <si>
    <t>AGUNG BUDI PRASTAWA</t>
  </si>
  <si>
    <t>181910045</t>
  </si>
  <si>
    <t>ARYA DYTA WIGUNA</t>
  </si>
  <si>
    <t>181910054</t>
  </si>
  <si>
    <t>AZRIEL TAMA SANTIAJI</t>
  </si>
  <si>
    <t>181910055</t>
  </si>
  <si>
    <t>AZZUHRI HAUDI</t>
  </si>
  <si>
    <t>181910056</t>
  </si>
  <si>
    <t>BAYU BATARA SURYA PUTRA</t>
  </si>
  <si>
    <t>181910069</t>
  </si>
  <si>
    <t>DANDY ERVAN PRATAMA</t>
  </si>
  <si>
    <t>181910085</t>
  </si>
  <si>
    <t>DENISA ASTI RAHMAWATI</t>
  </si>
  <si>
    <t>181910093</t>
  </si>
  <si>
    <t>DIAN RAMDHAN SAPTIAN</t>
  </si>
  <si>
    <t>181910103</t>
  </si>
  <si>
    <t>DIVYA ADHIANI NURDIN</t>
  </si>
  <si>
    <t>181910104</t>
  </si>
  <si>
    <t>DWIKI DERMAWAN</t>
  </si>
  <si>
    <t>181910118</t>
  </si>
  <si>
    <t>ENCEP CANDRA</t>
  </si>
  <si>
    <t>181910128</t>
  </si>
  <si>
    <t>FAIZAL EGI</t>
  </si>
  <si>
    <t>181910133</t>
  </si>
  <si>
    <t>FAUZI DHALFADLIL AZHANI</t>
  </si>
  <si>
    <t>181910161</t>
  </si>
  <si>
    <t>HILMAN PUTRA PAMUNGKAS</t>
  </si>
  <si>
    <t>181910165</t>
  </si>
  <si>
    <t>IHSYA FADILLAH MUSLIM</t>
  </si>
  <si>
    <t>181910185</t>
  </si>
  <si>
    <t>JIHAD AKBAR</t>
  </si>
  <si>
    <t>181910226</t>
  </si>
  <si>
    <t>MUHAMAD IZZAZUL FIKRIAN</t>
  </si>
  <si>
    <t>181910433</t>
  </si>
  <si>
    <t>MUHAMAD RIZAL</t>
  </si>
  <si>
    <t>181910240</t>
  </si>
  <si>
    <t>NESHA RAUDHATUL ZANNAH</t>
  </si>
  <si>
    <t>181910262</t>
  </si>
  <si>
    <t>PUTRI ANGGRAENI</t>
  </si>
  <si>
    <t>181910266</t>
  </si>
  <si>
    <t>PUTRI WULANDARI</t>
  </si>
  <si>
    <t>181910272</t>
  </si>
  <si>
    <t>RAFLY GYMNASTIAR</t>
  </si>
  <si>
    <t>181910280</t>
  </si>
  <si>
    <t>REFIANA</t>
  </si>
  <si>
    <t>181910285</t>
  </si>
  <si>
    <t>RENALDI PRIYATAMA</t>
  </si>
  <si>
    <t>181910286</t>
  </si>
  <si>
    <t>RENATA</t>
  </si>
  <si>
    <t>181910293</t>
  </si>
  <si>
    <t xml:space="preserve">REZA ERNANDA </t>
  </si>
  <si>
    <t>181910300</t>
  </si>
  <si>
    <t>RIFAN MUHAMAD RIZKI</t>
  </si>
  <si>
    <t>181910318</t>
  </si>
  <si>
    <t>RISMA SURYANI</t>
  </si>
  <si>
    <t>181910320</t>
  </si>
  <si>
    <t>RISNA TIRANI</t>
  </si>
  <si>
    <t>181910331</t>
  </si>
  <si>
    <t>RULLY PRATAMA S.</t>
  </si>
  <si>
    <t>181910335</t>
  </si>
  <si>
    <t>SALSA ASYKIYA</t>
  </si>
  <si>
    <t>181910353</t>
  </si>
  <si>
    <t>SILFI HAMIDAH</t>
  </si>
  <si>
    <t>181910408</t>
  </si>
  <si>
    <t>YESHA RAHAYU</t>
  </si>
  <si>
    <t>Banjaran,  21 Juni 2019</t>
  </si>
  <si>
    <t>ECC</t>
  </si>
  <si>
    <t>KIPAS</t>
  </si>
  <si>
    <t>X IPS 5</t>
  </si>
  <si>
    <t>Bandung ,23-03-2003</t>
  </si>
  <si>
    <t>laki-laki</t>
  </si>
  <si>
    <t>Anak kandung</t>
  </si>
  <si>
    <t>kp.Ciherang, Rt 06/08</t>
  </si>
  <si>
    <t>SMP PEMUDA BANJARAN</t>
  </si>
  <si>
    <t>Xips 5</t>
  </si>
  <si>
    <t>Dadang Budiman</t>
  </si>
  <si>
    <t>Ela Rosmala</t>
  </si>
  <si>
    <t>Wiraswasta</t>
  </si>
  <si>
    <t>Ibu Rumah tangga</t>
  </si>
  <si>
    <t>Bandung, 02 Maret 2002</t>
  </si>
  <si>
    <t>Bandung,01 Juli 2002</t>
  </si>
  <si>
    <t>Kp.Ciluncat Rt 02/14 Ds.ciluncat Kec.cangkuang</t>
  </si>
  <si>
    <t>Bandung,13 Desember 2002</t>
  </si>
  <si>
    <t>Perempuan</t>
  </si>
  <si>
    <t>Kp.Cangkuang</t>
  </si>
  <si>
    <t>Bandung, 07 April 2002</t>
  </si>
  <si>
    <t>Bandung,05 Januari 2003</t>
  </si>
  <si>
    <t xml:space="preserve">Anak kandung </t>
  </si>
  <si>
    <t xml:space="preserve">Kp.ciluncat Rt 05/03 Ds.ciluncat Kec.cangkuang </t>
  </si>
  <si>
    <t>Bandung,23 Oktober 2002</t>
  </si>
  <si>
    <t>Kp.Lembang Ds.Kiangroke Rt 04/05</t>
  </si>
  <si>
    <t>SMPN 2 BANJARAN</t>
  </si>
  <si>
    <t>Rusman Sunjaya</t>
  </si>
  <si>
    <t>Endah Karwati</t>
  </si>
  <si>
    <t>Bandung ,27 Juni 2002</t>
  </si>
  <si>
    <t>Kp.Astaraja</t>
  </si>
  <si>
    <t>Kp.Pajagalan Rt03/05 Ds.Banjaran</t>
  </si>
  <si>
    <t>Bandung,02 Desember 2002Laki-laki</t>
  </si>
  <si>
    <t>Kp.waas Rt 06/01</t>
  </si>
  <si>
    <t>Bandung 22 Oktober 2002</t>
  </si>
  <si>
    <t>Kp.waas rt 02/01</t>
  </si>
  <si>
    <t>Bandung,16 April 2003</t>
  </si>
  <si>
    <t>Kp.Cileutik Rt 08/08 Ds.Banjaran wetan</t>
  </si>
  <si>
    <t>Bandung,24 Juli 2002</t>
  </si>
  <si>
    <t xml:space="preserve">Kp.Kebon Tunggul Rt 01/11 Ds.Campaka Mulya </t>
  </si>
  <si>
    <t>Bandung,11 Januari 2003</t>
  </si>
  <si>
    <t>kp. Pasir biru Rt 02/05</t>
  </si>
  <si>
    <t>Bandung, 26 Desember  2002</t>
  </si>
  <si>
    <t>Kp. Pangkalan</t>
  </si>
  <si>
    <t>SMPN PAMENGPEK</t>
  </si>
  <si>
    <t>Usep Juhana</t>
  </si>
  <si>
    <t>Eti R</t>
  </si>
  <si>
    <t>Bandung, 29 Juni 2002</t>
  </si>
  <si>
    <t>Kp. Cikamadong, Rt 02/12 desa Banjaran/banjaran</t>
  </si>
  <si>
    <t>SMP PASUNDAN 1 BANJARAN</t>
  </si>
  <si>
    <t>Bandung,25 April 2001</t>
  </si>
  <si>
    <t>SMPN 2 PASUNDAN  BANJARAN</t>
  </si>
  <si>
    <t>Ii Kristiawan</t>
  </si>
  <si>
    <t>Heni Kustinarini</t>
  </si>
  <si>
    <t>Bandung 25 November 2002</t>
  </si>
  <si>
    <t>Kp.Girang Deukeut Rt 01/09 Ds.Banjaran Kec.Banjaran</t>
  </si>
  <si>
    <t xml:space="preserve"> </t>
  </si>
  <si>
    <t>Juara Pencak silat</t>
  </si>
  <si>
    <t>Amat baik</t>
  </si>
  <si>
    <t>Taekwondo</t>
  </si>
  <si>
    <t xml:space="preserve">baik </t>
  </si>
  <si>
    <t>Harun Arrosyid, S.Pd.I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</si>
</sst>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7" x14ac:knownFonts="1">
    <font>
      <sz val="10"/>
      <name val="Arial"/>
    </font>
    <font>
      <sz val="8"/>
      <name val="Arial"/>
      <family val="2"/>
    </font>
    <font>
      <sz val="10"/>
      <name val="Arial"/>
      <family val="2"/>
    </font>
    <font>
      <u/>
      <sz val="10"/>
      <color indexed="12"/>
      <name val="Arial"/>
      <family val="2"/>
    </font>
    <font>
      <sz val="22"/>
      <name val="Arial"/>
      <family val="2"/>
    </font>
    <font>
      <sz val="28"/>
      <color rgb="FFFF0000"/>
      <name val="Arial"/>
      <family val="2"/>
    </font>
    <font>
      <sz val="10"/>
      <color theme="0"/>
      <name val="Arial"/>
      <family val="2"/>
    </font>
    <font>
      <sz val="18"/>
      <color theme="0"/>
      <name val="Arial"/>
      <family val="2"/>
    </font>
    <font>
      <b/>
      <sz val="13"/>
      <color rgb="FF008000"/>
      <name val="Arial"/>
      <family val="2"/>
    </font>
    <font>
      <sz val="10"/>
      <name val="Trebuchet MS"/>
      <family val="2"/>
    </font>
    <font>
      <b/>
      <sz val="10"/>
      <name val="Trebuchet MS"/>
      <family val="2"/>
    </font>
    <font>
      <b/>
      <sz val="13"/>
      <name val="Trebuchet MS"/>
      <family val="2"/>
    </font>
    <font>
      <sz val="11"/>
      <name val="Calibri"/>
      <family val="2"/>
      <scheme val="minor"/>
    </font>
    <font>
      <sz val="10"/>
      <name val="Calibri"/>
      <family val="2"/>
      <scheme val="minor"/>
    </font>
    <font>
      <b/>
      <sz val="10"/>
      <name val="Calibri"/>
      <family val="2"/>
      <scheme val="minor"/>
    </font>
    <font>
      <b/>
      <sz val="9"/>
      <name val="Calibri"/>
      <family val="2"/>
      <scheme val="minor"/>
    </font>
    <font>
      <sz val="9"/>
      <name val="Calibri"/>
      <family val="2"/>
      <scheme val="minor"/>
    </font>
    <font>
      <sz val="8"/>
      <name val="Calibri"/>
      <family val="2"/>
      <scheme val="minor"/>
    </font>
    <font>
      <sz val="8"/>
      <color rgb="FFFF0000"/>
      <name val="Calibri"/>
      <family val="2"/>
      <scheme val="minor"/>
    </font>
    <font>
      <sz val="10"/>
      <color rgb="FFFF0000"/>
      <name val="Calibri"/>
      <family val="2"/>
      <scheme val="minor"/>
    </font>
    <font>
      <b/>
      <sz val="11"/>
      <name val="Calibri"/>
      <family val="2"/>
      <scheme val="minor"/>
    </font>
    <font>
      <sz val="10"/>
      <color theme="1"/>
      <name val="Calibri"/>
      <family val="2"/>
      <scheme val="minor"/>
    </font>
    <font>
      <sz val="9"/>
      <color indexed="81"/>
      <name val="Tahoma"/>
      <family val="2"/>
    </font>
    <font>
      <b/>
      <sz val="9"/>
      <color indexed="81"/>
      <name val="Tahoma"/>
      <family val="2"/>
    </font>
    <font>
      <sz val="10"/>
      <color theme="0"/>
      <name val="Calibri"/>
      <family val="2"/>
      <scheme val="minor"/>
    </font>
    <font>
      <b/>
      <sz val="10"/>
      <color theme="0"/>
      <name val="Calibri"/>
      <family val="2"/>
      <scheme val="minor"/>
    </font>
    <font>
      <sz val="9"/>
      <color rgb="FFFF0000"/>
      <name val="Calibri"/>
      <family val="2"/>
      <scheme val="minor"/>
    </font>
    <font>
      <b/>
      <u/>
      <sz val="10"/>
      <name val="Trebuchet MS"/>
      <family val="2"/>
    </font>
    <font>
      <sz val="8"/>
      <color indexed="81"/>
      <name val="Calibri"/>
      <family val="2"/>
      <scheme val="minor"/>
    </font>
    <font>
      <b/>
      <sz val="10"/>
      <color rgb="FFFF0000"/>
      <name val="Calibri"/>
      <family val="2"/>
      <scheme val="minor"/>
    </font>
    <font>
      <sz val="10"/>
      <color theme="1" tint="0.249977111117893"/>
      <name val="Calibri"/>
      <family val="2"/>
      <scheme val="minor"/>
    </font>
    <font>
      <sz val="11"/>
      <name val="Trebuchet MS"/>
      <family val="2"/>
    </font>
    <font>
      <sz val="11"/>
      <name val="Times New Roman"/>
      <family val="1"/>
    </font>
    <font>
      <b/>
      <sz val="12"/>
      <color rgb="FFFF0000"/>
      <name val="Times New Roman"/>
      <family val="1"/>
    </font>
    <font>
      <sz val="10"/>
      <name val="Times New Roman"/>
      <family val="1"/>
    </font>
    <font>
      <b/>
      <sz val="11"/>
      <name val="Times New Roman"/>
      <family val="1"/>
    </font>
    <font>
      <sz val="10"/>
      <name val="Tahoma"/>
      <family val="2"/>
    </font>
    <font>
      <sz val="10"/>
      <color theme="1" tint="0.249977111117893"/>
      <name val="Tahoma"/>
      <family val="2"/>
    </font>
    <font>
      <sz val="10"/>
      <color indexed="10"/>
      <name val="Tahoma"/>
      <family val="2"/>
    </font>
    <font>
      <sz val="10"/>
      <color rgb="FFFF0000"/>
      <name val="Tahoma"/>
      <family val="2"/>
    </font>
    <font>
      <b/>
      <sz val="10"/>
      <color rgb="FFFF0000"/>
      <name val="Tahoma"/>
      <family val="2"/>
    </font>
    <font>
      <sz val="10"/>
      <color theme="0"/>
      <name val="Tahoma"/>
      <family val="2"/>
    </font>
    <font>
      <b/>
      <sz val="12"/>
      <color theme="1"/>
      <name val="Times New Roman"/>
      <family val="1"/>
    </font>
    <font>
      <sz val="10"/>
      <color theme="1"/>
      <name val="Trebuchet MS"/>
      <family val="2"/>
    </font>
    <font>
      <sz val="11"/>
      <color theme="1"/>
      <name val="Trebuchet MS"/>
      <family val="2"/>
    </font>
    <font>
      <b/>
      <sz val="11"/>
      <color theme="1"/>
      <name val="Trebuchet MS"/>
      <family val="2"/>
    </font>
    <font>
      <u/>
      <sz val="11"/>
      <color theme="1"/>
      <name val="Trebuchet MS"/>
      <family val="2"/>
    </font>
    <font>
      <b/>
      <sz val="12"/>
      <name val="Times New Roman"/>
      <family val="1"/>
    </font>
    <font>
      <b/>
      <sz val="9"/>
      <color theme="0"/>
      <name val="Calibri"/>
      <family val="2"/>
      <scheme val="minor"/>
    </font>
    <font>
      <sz val="8"/>
      <name val="Times New Roman"/>
      <family val="1"/>
    </font>
    <font>
      <sz val="9"/>
      <name val="Times New Roman"/>
      <family val="1"/>
    </font>
    <font>
      <b/>
      <i/>
      <sz val="11"/>
      <name val="Times New Roman"/>
      <family val="1"/>
    </font>
    <font>
      <i/>
      <sz val="12"/>
      <name val="Times New Roman"/>
      <family val="1"/>
    </font>
    <font>
      <b/>
      <i/>
      <sz val="11"/>
      <color rgb="FFFF0000"/>
      <name val="Times New Roman"/>
      <family val="1"/>
    </font>
    <font>
      <b/>
      <i/>
      <u/>
      <sz val="11"/>
      <name val="Times New Roman"/>
      <family val="1"/>
    </font>
    <font>
      <sz val="12"/>
      <name val="Times New Roman"/>
      <family val="1"/>
    </font>
    <font>
      <b/>
      <sz val="12"/>
      <color theme="1" tint="0.249977111117893"/>
      <name val="Times New Roman"/>
      <family val="1"/>
    </font>
    <font>
      <b/>
      <u/>
      <sz val="12"/>
      <name val="Times New Roman"/>
      <family val="1"/>
    </font>
    <font>
      <i/>
      <sz val="11"/>
      <name val="Times New Roman"/>
      <family val="1"/>
    </font>
    <font>
      <b/>
      <sz val="10"/>
      <name val="Times New Roman"/>
      <family val="1"/>
    </font>
    <font>
      <sz val="11"/>
      <name val="Calibri"/>
      <family val="2"/>
    </font>
    <font>
      <i/>
      <sz val="9"/>
      <name val="Times New Roman"/>
      <family val="1"/>
    </font>
    <font>
      <b/>
      <sz val="9"/>
      <name val="Times New Roman"/>
      <family val="1"/>
    </font>
    <font>
      <b/>
      <sz val="14"/>
      <name val="Times New Roman"/>
      <family val="1"/>
    </font>
    <font>
      <b/>
      <sz val="11"/>
      <color theme="1"/>
      <name val="Calibri"/>
      <family val="2"/>
      <scheme val="minor"/>
    </font>
    <font>
      <b/>
      <sz val="12"/>
      <name val="Calibri"/>
      <family val="2"/>
      <scheme val="minor"/>
    </font>
    <font>
      <sz val="9"/>
      <color theme="0"/>
      <name val="Calibri"/>
      <family val="2"/>
      <scheme val="minor"/>
    </font>
    <font>
      <i/>
      <sz val="10"/>
      <name val="Times New Roman"/>
      <family val="1"/>
    </font>
    <font>
      <u/>
      <sz val="11"/>
      <name val="Times New Roman"/>
      <family val="1"/>
    </font>
    <font>
      <b/>
      <u/>
      <sz val="11"/>
      <name val="Times New Roman"/>
      <family val="1"/>
    </font>
    <font>
      <u/>
      <sz val="10"/>
      <color indexed="12"/>
      <name val="Calibri"/>
      <family val="2"/>
      <scheme val="minor"/>
    </font>
    <font>
      <sz val="9"/>
      <color theme="1"/>
      <name val="Calibri"/>
      <family val="2"/>
      <scheme val="minor"/>
    </font>
    <font>
      <u/>
      <sz val="8"/>
      <name val="Calibri"/>
      <family val="2"/>
      <scheme val="minor"/>
    </font>
    <font>
      <b/>
      <sz val="12"/>
      <name val="Trebuchet MS"/>
      <family val="2"/>
    </font>
    <font>
      <b/>
      <sz val="12"/>
      <color theme="1"/>
      <name val="Trebuchet MS"/>
      <family val="2"/>
    </font>
    <font>
      <b/>
      <sz val="14"/>
      <name val="Trebuchet MS"/>
      <family val="2"/>
    </font>
    <font>
      <sz val="12"/>
      <color theme="0"/>
      <name val="Times New Roman"/>
      <family val="1"/>
    </font>
    <font>
      <b/>
      <sz val="11"/>
      <color theme="1" tint="0.249977111117893"/>
      <name val="Times New Roman"/>
      <family val="1"/>
    </font>
    <font>
      <sz val="11"/>
      <color theme="0"/>
      <name val="Times New Roman"/>
      <family val="1"/>
    </font>
    <font>
      <sz val="11"/>
      <color theme="1" tint="0.14999847407452621"/>
      <name val="Times New Roman"/>
      <family val="1"/>
    </font>
    <font>
      <sz val="9"/>
      <color theme="0"/>
      <name val="Times New Roman"/>
      <family val="1"/>
    </font>
    <font>
      <sz val="9"/>
      <name val="Tahoma"/>
      <family val="2"/>
    </font>
    <font>
      <i/>
      <sz val="10"/>
      <name val="Sitka Display"/>
    </font>
    <font>
      <b/>
      <sz val="9"/>
      <name val="Cambria"/>
      <family val="1"/>
      <scheme val="major"/>
    </font>
    <font>
      <b/>
      <sz val="8"/>
      <name val="Calibri"/>
      <family val="2"/>
      <scheme val="minor"/>
    </font>
    <font>
      <sz val="9"/>
      <color theme="1" tint="0.499984740745262"/>
      <name val="Times New Roman"/>
      <family val="1"/>
    </font>
    <font>
      <sz val="9"/>
      <color theme="1"/>
      <name val="Tahoma"/>
      <family val="2"/>
    </font>
  </fonts>
  <fills count="12">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0070C0"/>
        <bgColor indexed="64"/>
      </patternFill>
    </fill>
    <fill>
      <patternFill patternType="solid">
        <fgColor rgb="FF00B050"/>
        <bgColor indexed="64"/>
      </patternFill>
    </fill>
    <fill>
      <patternFill patternType="solid">
        <fgColor theme="0" tint="-4.9989318521683403E-2"/>
        <bgColor indexed="64"/>
      </patternFill>
    </fill>
    <fill>
      <patternFill patternType="gray0625"/>
    </fill>
    <fill>
      <patternFill patternType="gray125">
        <fgColor auto="1"/>
      </patternFill>
    </fill>
    <fill>
      <patternFill patternType="solid">
        <fgColor theme="0"/>
        <bgColor theme="4" tint="0.79998168889431442"/>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right/>
      <top/>
      <bottom style="thin">
        <color indexed="64"/>
      </bottom>
      <diagonal/>
    </border>
    <border>
      <left style="thin">
        <color indexed="64"/>
      </left>
      <right/>
      <top style="thin">
        <color indexed="64"/>
      </top>
      <bottom style="medium">
        <color indexed="64"/>
      </bottom>
      <diagonal/>
    </border>
    <border>
      <left style="thin">
        <color indexed="64"/>
      </left>
      <right/>
      <top/>
      <bottom style="hair">
        <color indexed="64"/>
      </bottom>
      <diagonal/>
    </border>
    <border>
      <left style="thin">
        <color indexed="64"/>
      </left>
      <right/>
      <top style="hair">
        <color indexed="64"/>
      </top>
      <bottom style="medium">
        <color indexed="64"/>
      </bottom>
      <diagonal/>
    </border>
    <border>
      <left style="thin">
        <color indexed="64"/>
      </left>
      <right/>
      <top style="medium">
        <color indexed="64"/>
      </top>
      <bottom style="hair">
        <color indexed="64"/>
      </bottom>
      <diagonal/>
    </border>
    <border>
      <left/>
      <right style="thin">
        <color indexed="64"/>
      </right>
      <top style="thin">
        <color indexed="64"/>
      </top>
      <bottom style="medium">
        <color indexed="64"/>
      </bottom>
      <diagonal/>
    </border>
    <border>
      <left/>
      <right style="thin">
        <color indexed="64"/>
      </right>
      <top/>
      <bottom style="hair">
        <color indexed="64"/>
      </bottom>
      <diagonal/>
    </border>
    <border>
      <left/>
      <right style="thin">
        <color indexed="64"/>
      </right>
      <top style="hair">
        <color indexed="64"/>
      </top>
      <bottom style="medium">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style="thin">
        <color indexed="64"/>
      </right>
      <top style="medium">
        <color indexed="64"/>
      </top>
      <bottom style="medium">
        <color indexed="64"/>
      </bottom>
      <diagonal/>
    </border>
    <border>
      <left/>
      <right/>
      <top/>
      <bottom style="hair">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hair">
        <color auto="1"/>
      </left>
      <right/>
      <top style="hair">
        <color auto="1"/>
      </top>
      <bottom style="hair">
        <color auto="1"/>
      </bottom>
      <diagonal/>
    </border>
    <border>
      <left style="thin">
        <color indexed="64"/>
      </left>
      <right style="thin">
        <color indexed="64"/>
      </right>
      <top style="double">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hair">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hair">
        <color indexed="64"/>
      </left>
      <right style="hair">
        <color auto="1"/>
      </right>
      <top/>
      <bottom style="hair">
        <color indexed="64"/>
      </bottom>
      <diagonal/>
    </border>
    <border>
      <left/>
      <right/>
      <top style="hair">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right style="hair">
        <color auto="1"/>
      </right>
      <top style="hair">
        <color auto="1"/>
      </top>
      <bottom style="hair">
        <color auto="1"/>
      </bottom>
      <diagonal/>
    </border>
  </borders>
  <cellStyleXfs count="6">
    <xf numFmtId="0" fontId="0" fillId="0" borderId="0"/>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cellStyleXfs>
  <cellXfs count="730">
    <xf numFmtId="0" fontId="0" fillId="0" borderId="0" xfId="0"/>
    <xf numFmtId="0" fontId="0" fillId="2" borderId="0" xfId="0" applyFill="1" applyAlignment="1">
      <alignment vertical="center"/>
    </xf>
    <xf numFmtId="0" fontId="5" fillId="2" borderId="0" xfId="0" applyFont="1" applyFill="1" applyAlignment="1">
      <alignment vertical="center"/>
    </xf>
    <xf numFmtId="0" fontId="6" fillId="2" borderId="0" xfId="0" applyFont="1" applyFill="1" applyAlignment="1">
      <alignment vertical="center"/>
    </xf>
    <xf numFmtId="0" fontId="6" fillId="2" borderId="1" xfId="0" applyFont="1" applyFill="1" applyBorder="1" applyAlignment="1">
      <alignment horizontal="center" vertical="center"/>
    </xf>
    <xf numFmtId="0" fontId="7" fillId="2" borderId="0" xfId="0" applyFont="1" applyFill="1" applyAlignment="1">
      <alignment horizontal="center" vertical="center"/>
    </xf>
    <xf numFmtId="0" fontId="0" fillId="2" borderId="0" xfId="0" applyFill="1"/>
    <xf numFmtId="0" fontId="13" fillId="3" borderId="0" xfId="0" applyFont="1" applyFill="1" applyAlignment="1">
      <alignment horizontal="center" vertical="center"/>
    </xf>
    <xf numFmtId="0" fontId="13" fillId="3" borderId="0" xfId="0" applyFont="1" applyFill="1" applyAlignment="1">
      <alignment vertical="center"/>
    </xf>
    <xf numFmtId="0" fontId="13" fillId="3" borderId="0" xfId="0" applyFont="1" applyFill="1"/>
    <xf numFmtId="0" fontId="13" fillId="0" borderId="0" xfId="0" applyFont="1"/>
    <xf numFmtId="0" fontId="13" fillId="0" borderId="0" xfId="0" applyFont="1" applyBorder="1" applyAlignment="1">
      <alignment vertical="center"/>
    </xf>
    <xf numFmtId="0" fontId="13" fillId="0" borderId="0" xfId="0" applyFont="1" applyFill="1" applyBorder="1" applyAlignment="1" applyProtection="1">
      <alignment horizontal="center"/>
      <protection locked="0"/>
    </xf>
    <xf numFmtId="0" fontId="13" fillId="0" borderId="0" xfId="0" applyFont="1" applyFill="1" applyBorder="1" applyAlignment="1" applyProtection="1">
      <protection locked="0"/>
    </xf>
    <xf numFmtId="0" fontId="21" fillId="0" borderId="0" xfId="0" applyFont="1" applyFill="1" applyBorder="1" applyAlignment="1" applyProtection="1">
      <alignment horizontal="center"/>
      <protection locked="0"/>
    </xf>
    <xf numFmtId="0" fontId="19" fillId="0" borderId="0" xfId="0" applyFont="1" applyFill="1" applyBorder="1" applyAlignment="1" applyProtection="1">
      <protection locked="0"/>
    </xf>
    <xf numFmtId="0" fontId="14" fillId="0" borderId="0" xfId="0" applyFont="1" applyFill="1" applyBorder="1" applyAlignment="1" applyProtection="1">
      <alignment vertical="center"/>
      <protection locked="0"/>
    </xf>
    <xf numFmtId="0" fontId="16" fillId="0" borderId="0" xfId="0" applyFont="1" applyFill="1" applyBorder="1" applyAlignment="1" applyProtection="1">
      <protection locked="0"/>
    </xf>
    <xf numFmtId="0" fontId="13" fillId="0" borderId="0" xfId="0" applyFont="1" applyFill="1" applyBorder="1" applyProtection="1">
      <protection locked="0"/>
    </xf>
    <xf numFmtId="0" fontId="15" fillId="0" borderId="0" xfId="0" applyFont="1" applyFill="1" applyBorder="1" applyAlignment="1" applyProtection="1">
      <protection locked="0"/>
    </xf>
    <xf numFmtId="0" fontId="13" fillId="0" borderId="10" xfId="0" applyFont="1" applyBorder="1" applyAlignment="1">
      <alignment vertical="center"/>
    </xf>
    <xf numFmtId="0" fontId="13" fillId="0" borderId="10" xfId="0" applyFont="1" applyBorder="1"/>
    <xf numFmtId="0" fontId="13" fillId="2" borderId="0" xfId="0" applyFont="1" applyFill="1" applyAlignment="1" applyProtection="1">
      <alignment vertical="center"/>
      <protection locked="0"/>
    </xf>
    <xf numFmtId="49" fontId="13" fillId="0" borderId="0" xfId="0" applyNumberFormat="1" applyFont="1"/>
    <xf numFmtId="0" fontId="13" fillId="0" borderId="0" xfId="0" applyFont="1" applyAlignment="1">
      <alignment horizontal="left"/>
    </xf>
    <xf numFmtId="0" fontId="13" fillId="0" borderId="10" xfId="0" applyFont="1" applyBorder="1" applyAlignment="1">
      <alignment horizontal="left"/>
    </xf>
    <xf numFmtId="0" fontId="12" fillId="3" borderId="0" xfId="0" applyFont="1" applyFill="1" applyAlignment="1" applyProtection="1">
      <alignment horizontal="right" vertical="center"/>
      <protection hidden="1"/>
    </xf>
    <xf numFmtId="0" fontId="12" fillId="3" borderId="0" xfId="0" applyFont="1" applyFill="1" applyAlignment="1" applyProtection="1">
      <alignment vertical="center"/>
      <protection hidden="1"/>
    </xf>
    <xf numFmtId="0" fontId="20" fillId="3" borderId="0" xfId="0" applyFont="1" applyFill="1" applyAlignment="1" applyProtection="1">
      <alignment horizontal="center" vertical="center"/>
      <protection hidden="1"/>
    </xf>
    <xf numFmtId="0" fontId="10" fillId="3" borderId="0" xfId="0" applyFont="1" applyFill="1" applyAlignment="1" applyProtection="1">
      <alignment horizontal="left" vertical="center"/>
      <protection hidden="1"/>
    </xf>
    <xf numFmtId="0" fontId="12" fillId="2" borderId="0" xfId="0" applyFont="1" applyFill="1" applyAlignment="1" applyProtection="1">
      <alignment vertical="center"/>
      <protection locked="0"/>
    </xf>
    <xf numFmtId="0" fontId="12" fillId="2" borderId="0" xfId="0" applyFont="1" applyFill="1" applyAlignment="1">
      <alignment vertical="center"/>
    </xf>
    <xf numFmtId="0" fontId="12" fillId="3" borderId="0" xfId="0" applyFont="1" applyFill="1" applyAlignment="1" applyProtection="1">
      <alignment horizontal="center" vertical="center"/>
      <protection hidden="1"/>
    </xf>
    <xf numFmtId="0" fontId="9" fillId="3" borderId="0" xfId="0" applyFont="1" applyFill="1" applyAlignment="1" applyProtection="1">
      <alignment horizontal="center" vertical="center"/>
      <protection hidden="1"/>
    </xf>
    <xf numFmtId="0" fontId="9" fillId="3" borderId="0" xfId="0" applyFont="1" applyFill="1" applyAlignment="1" applyProtection="1">
      <alignment vertical="center"/>
      <protection hidden="1"/>
    </xf>
    <xf numFmtId="0" fontId="27" fillId="3" borderId="0" xfId="0" applyFont="1" applyFill="1" applyAlignment="1" applyProtection="1">
      <alignment horizontal="center" vertical="center"/>
      <protection hidden="1"/>
    </xf>
    <xf numFmtId="0" fontId="13" fillId="3" borderId="0" xfId="0" applyFont="1" applyFill="1" applyAlignment="1" applyProtection="1">
      <alignment horizontal="center" vertical="center"/>
      <protection hidden="1"/>
    </xf>
    <xf numFmtId="0" fontId="13" fillId="3" borderId="0" xfId="0" applyFont="1" applyFill="1" applyAlignment="1" applyProtection="1">
      <alignment vertical="center"/>
      <protection hidden="1"/>
    </xf>
    <xf numFmtId="0" fontId="9" fillId="3" borderId="0" xfId="0" applyFont="1" applyFill="1" applyAlignment="1" applyProtection="1">
      <alignment horizontal="center" vertical="top"/>
      <protection hidden="1"/>
    </xf>
    <xf numFmtId="0" fontId="13" fillId="2" borderId="0" xfId="0" applyFont="1" applyFill="1" applyAlignment="1">
      <alignment vertical="center"/>
    </xf>
    <xf numFmtId="0" fontId="16" fillId="3" borderId="0" xfId="0" applyFont="1" applyFill="1" applyAlignment="1" applyProtection="1">
      <alignment vertical="center"/>
      <protection hidden="1"/>
    </xf>
    <xf numFmtId="0" fontId="16" fillId="2" borderId="0" xfId="0" applyFont="1" applyFill="1" applyAlignment="1" applyProtection="1">
      <alignment vertical="center"/>
      <protection locked="0"/>
    </xf>
    <xf numFmtId="0" fontId="16" fillId="2" borderId="0" xfId="0" applyFont="1" applyFill="1" applyAlignment="1">
      <alignment vertical="center"/>
    </xf>
    <xf numFmtId="0" fontId="18" fillId="0" borderId="0" xfId="0" applyFont="1" applyAlignment="1" applyProtection="1">
      <alignment horizontal="center" vertical="center"/>
      <protection hidden="1"/>
    </xf>
    <xf numFmtId="0" fontId="13" fillId="0" borderId="0" xfId="0" applyFont="1" applyProtection="1">
      <protection hidden="1"/>
    </xf>
    <xf numFmtId="0" fontId="18" fillId="0" borderId="10" xfId="0" applyFont="1" applyBorder="1" applyAlignment="1" applyProtection="1">
      <alignment horizontal="center" vertical="center"/>
      <protection hidden="1"/>
    </xf>
    <xf numFmtId="0" fontId="13" fillId="0" borderId="0" xfId="0" applyFont="1" applyAlignment="1" applyProtection="1">
      <alignment vertical="center"/>
      <protection hidden="1"/>
    </xf>
    <xf numFmtId="0" fontId="16" fillId="0" borderId="0" xfId="0" applyFont="1" applyAlignment="1" applyProtection="1">
      <alignment vertical="center"/>
      <protection hidden="1"/>
    </xf>
    <xf numFmtId="0" fontId="13" fillId="0" borderId="0" xfId="0" applyFont="1" applyAlignment="1" applyProtection="1">
      <alignment horizontal="center" vertical="center"/>
      <protection hidden="1"/>
    </xf>
    <xf numFmtId="0" fontId="16" fillId="4" borderId="1" xfId="0" applyFont="1" applyFill="1" applyBorder="1" applyAlignment="1" applyProtection="1">
      <alignment vertical="center"/>
      <protection hidden="1"/>
    </xf>
    <xf numFmtId="0" fontId="13" fillId="0" borderId="10" xfId="0" applyFont="1" applyBorder="1" applyAlignment="1" applyProtection="1">
      <alignment vertical="center"/>
      <protection hidden="1"/>
    </xf>
    <xf numFmtId="0" fontId="16" fillId="0" borderId="10" xfId="0" applyFont="1" applyBorder="1" applyAlignment="1" applyProtection="1">
      <alignment vertical="center"/>
      <protection hidden="1"/>
    </xf>
    <xf numFmtId="0" fontId="13" fillId="0" borderId="0" xfId="0" applyFont="1" applyFill="1" applyAlignment="1" applyProtection="1">
      <alignment vertical="center"/>
      <protection locked="0"/>
    </xf>
    <xf numFmtId="0" fontId="17" fillId="0" borderId="0" xfId="0" applyFont="1" applyFill="1" applyAlignment="1" applyProtection="1">
      <alignment vertical="center"/>
      <protection locked="0"/>
    </xf>
    <xf numFmtId="0" fontId="13" fillId="6" borderId="0" xfId="0" applyFont="1" applyFill="1" applyAlignment="1" applyProtection="1">
      <alignment vertical="center"/>
      <protection locked="0"/>
    </xf>
    <xf numFmtId="0" fontId="13" fillId="2" borderId="0" xfId="0" applyFont="1" applyFill="1"/>
    <xf numFmtId="0" fontId="13" fillId="7" borderId="0" xfId="0" applyFont="1" applyFill="1"/>
    <xf numFmtId="0" fontId="16" fillId="4" borderId="3" xfId="0" applyFont="1" applyFill="1" applyBorder="1" applyAlignment="1" applyProtection="1">
      <alignment vertical="center"/>
      <protection hidden="1"/>
    </xf>
    <xf numFmtId="0" fontId="26" fillId="2" borderId="0" xfId="0" applyFont="1" applyFill="1" applyAlignment="1" applyProtection="1">
      <alignment vertical="center"/>
      <protection locked="0"/>
    </xf>
    <xf numFmtId="0" fontId="19" fillId="2" borderId="0" xfId="0" applyFont="1" applyFill="1" applyBorder="1" applyAlignment="1" applyProtection="1">
      <alignment vertical="center"/>
      <protection locked="0"/>
    </xf>
    <xf numFmtId="0" fontId="13" fillId="3" borderId="0" xfId="0" quotePrefix="1" applyFont="1" applyFill="1" applyAlignment="1" applyProtection="1">
      <alignment horizontal="left" vertical="center" shrinkToFit="1"/>
      <protection hidden="1"/>
    </xf>
    <xf numFmtId="0" fontId="14" fillId="3" borderId="0" xfId="0" applyFont="1" applyFill="1" applyAlignment="1" applyProtection="1">
      <alignment vertical="center"/>
      <protection hidden="1"/>
    </xf>
    <xf numFmtId="0" fontId="13" fillId="3" borderId="0" xfId="0" applyFont="1" applyFill="1" applyProtection="1">
      <protection hidden="1"/>
    </xf>
    <xf numFmtId="0" fontId="18" fillId="3" borderId="0" xfId="0" applyFont="1" applyFill="1" applyAlignment="1" applyProtection="1">
      <alignment horizontal="center" vertical="center"/>
      <protection hidden="1"/>
    </xf>
    <xf numFmtId="0" fontId="13" fillId="3" borderId="0" xfId="0" applyFont="1" applyFill="1" applyAlignment="1" applyProtection="1">
      <alignment horizontal="left"/>
      <protection hidden="1"/>
    </xf>
    <xf numFmtId="0" fontId="20" fillId="3" borderId="0" xfId="0" applyFont="1" applyFill="1" applyAlignment="1" applyProtection="1">
      <alignment horizontal="left" vertical="center"/>
      <protection hidden="1"/>
    </xf>
    <xf numFmtId="0" fontId="20" fillId="3" borderId="0" xfId="0" applyFont="1" applyFill="1" applyAlignment="1" applyProtection="1">
      <alignment horizontal="right" vertical="center"/>
      <protection hidden="1"/>
    </xf>
    <xf numFmtId="0" fontId="16" fillId="0" borderId="0" xfId="0" applyFont="1" applyFill="1" applyAlignment="1" applyProtection="1">
      <alignment vertical="center"/>
      <protection locked="0"/>
    </xf>
    <xf numFmtId="0" fontId="17" fillId="2" borderId="0" xfId="0" applyFont="1" applyFill="1" applyAlignment="1" applyProtection="1">
      <alignment vertical="center"/>
      <protection locked="0"/>
    </xf>
    <xf numFmtId="0" fontId="18" fillId="2" borderId="0" xfId="0" applyFont="1" applyFill="1" applyAlignment="1" applyProtection="1">
      <alignment vertical="center"/>
      <protection locked="0"/>
    </xf>
    <xf numFmtId="0" fontId="13" fillId="7" borderId="0" xfId="0" applyFont="1" applyFill="1" applyAlignment="1" applyProtection="1">
      <alignment vertical="center"/>
      <protection locked="0"/>
    </xf>
    <xf numFmtId="0" fontId="17" fillId="7" borderId="0" xfId="0" applyFont="1" applyFill="1" applyAlignment="1" applyProtection="1">
      <alignment vertical="center"/>
      <protection locked="0"/>
    </xf>
    <xf numFmtId="0" fontId="16" fillId="7" borderId="0" xfId="0" applyFont="1" applyFill="1" applyAlignment="1" applyProtection="1">
      <alignment vertical="center"/>
      <protection locked="0"/>
    </xf>
    <xf numFmtId="0" fontId="9" fillId="3" borderId="0" xfId="0" applyFont="1" applyFill="1" applyAlignment="1" applyProtection="1">
      <alignment horizontal="center" vertical="center"/>
      <protection locked="0"/>
    </xf>
    <xf numFmtId="0" fontId="13" fillId="3" borderId="0" xfId="0" applyFont="1" applyFill="1" applyBorder="1" applyAlignment="1" applyProtection="1">
      <alignment horizontal="center" vertical="center"/>
      <protection hidden="1"/>
    </xf>
    <xf numFmtId="0" fontId="12" fillId="7" borderId="0" xfId="0" applyFont="1" applyFill="1" applyAlignment="1" applyProtection="1">
      <alignment vertical="center"/>
      <protection locked="0"/>
    </xf>
    <xf numFmtId="0" fontId="13" fillId="0" borderId="0" xfId="0" applyFont="1" applyBorder="1" applyAlignment="1" applyProtection="1">
      <alignment horizontal="center" vertical="center"/>
      <protection hidden="1"/>
    </xf>
    <xf numFmtId="0" fontId="13" fillId="0" borderId="0" xfId="0" applyFont="1" applyBorder="1" applyAlignment="1" applyProtection="1">
      <alignment vertical="center"/>
      <protection hidden="1"/>
    </xf>
    <xf numFmtId="0" fontId="13" fillId="7" borderId="16" xfId="0" quotePrefix="1" applyFont="1" applyFill="1" applyBorder="1" applyAlignment="1" applyProtection="1">
      <alignment horizontal="center" vertical="center"/>
      <protection hidden="1"/>
    </xf>
    <xf numFmtId="0" fontId="13" fillId="7" borderId="30" xfId="0" quotePrefix="1" applyFont="1" applyFill="1" applyBorder="1" applyAlignment="1" applyProtection="1">
      <alignment horizontal="center" vertical="center"/>
      <protection hidden="1"/>
    </xf>
    <xf numFmtId="0" fontId="13" fillId="7" borderId="41" xfId="0" quotePrefix="1" applyFont="1" applyFill="1" applyBorder="1" applyAlignment="1" applyProtection="1">
      <alignment horizontal="center" vertical="center"/>
      <protection hidden="1"/>
    </xf>
    <xf numFmtId="0" fontId="13" fillId="7" borderId="42" xfId="0" quotePrefix="1" applyFont="1" applyFill="1" applyBorder="1" applyAlignment="1" applyProtection="1">
      <alignment horizontal="center" vertical="center"/>
      <protection hidden="1"/>
    </xf>
    <xf numFmtId="0" fontId="13" fillId="7" borderId="34" xfId="0" quotePrefix="1" applyFont="1" applyFill="1" applyBorder="1" applyAlignment="1" applyProtection="1">
      <alignment horizontal="center" vertical="center"/>
      <protection hidden="1"/>
    </xf>
    <xf numFmtId="0" fontId="13" fillId="0" borderId="0" xfId="0" applyFont="1" applyBorder="1" applyProtection="1">
      <protection hidden="1"/>
    </xf>
    <xf numFmtId="0" fontId="38" fillId="2" borderId="0" xfId="0" applyFont="1" applyFill="1" applyBorder="1" applyAlignment="1" applyProtection="1">
      <alignment vertical="center" wrapText="1"/>
      <protection locked="0"/>
    </xf>
    <xf numFmtId="0" fontId="36" fillId="2" borderId="0" xfId="0" applyFont="1" applyFill="1" applyAlignment="1" applyProtection="1">
      <alignment vertical="center"/>
      <protection locked="0"/>
    </xf>
    <xf numFmtId="0" fontId="39" fillId="2" borderId="0" xfId="0" applyFont="1" applyFill="1" applyBorder="1" applyAlignment="1" applyProtection="1">
      <alignment vertical="center" wrapText="1"/>
      <protection locked="0"/>
    </xf>
    <xf numFmtId="0" fontId="40" fillId="2" borderId="0" xfId="0" applyFont="1" applyFill="1" applyAlignment="1" applyProtection="1">
      <alignment vertical="center" wrapText="1"/>
      <protection locked="0"/>
    </xf>
    <xf numFmtId="0" fontId="13" fillId="2" borderId="0" xfId="0" applyFont="1" applyFill="1" applyBorder="1" applyAlignment="1" applyProtection="1">
      <alignment vertical="center"/>
      <protection locked="0"/>
    </xf>
    <xf numFmtId="0" fontId="16" fillId="2" borderId="0" xfId="0" applyFont="1" applyFill="1" applyBorder="1" applyAlignment="1" applyProtection="1">
      <alignment vertical="center"/>
      <protection locked="0"/>
    </xf>
    <xf numFmtId="0" fontId="42" fillId="0" borderId="0" xfId="0" applyFont="1" applyAlignment="1"/>
    <xf numFmtId="0" fontId="43" fillId="0" borderId="0" xfId="0" applyFont="1"/>
    <xf numFmtId="0" fontId="0" fillId="0" borderId="0" xfId="0" applyFont="1"/>
    <xf numFmtId="0" fontId="44" fillId="0" borderId="0" xfId="0" applyFont="1"/>
    <xf numFmtId="0" fontId="45" fillId="0" borderId="0" xfId="0" applyFont="1" applyAlignment="1">
      <alignment horizontal="center" vertical="center"/>
    </xf>
    <xf numFmtId="0" fontId="45" fillId="0" borderId="0" xfId="0" applyFont="1" applyAlignment="1"/>
    <xf numFmtId="0" fontId="44" fillId="0" borderId="13" xfId="0" applyFont="1" applyBorder="1" applyAlignment="1">
      <alignment horizontal="center" vertical="center"/>
    </xf>
    <xf numFmtId="0" fontId="44" fillId="0" borderId="13" xfId="0" applyFont="1" applyBorder="1" applyAlignment="1">
      <alignment horizontal="center" vertical="center" wrapText="1"/>
    </xf>
    <xf numFmtId="0" fontId="44" fillId="0" borderId="64" xfId="0" applyFont="1" applyBorder="1" applyAlignment="1">
      <alignment horizontal="center"/>
    </xf>
    <xf numFmtId="0" fontId="44" fillId="0" borderId="4" xfId="0" applyFont="1" applyBorder="1" applyAlignment="1">
      <alignment horizontal="center" vertical="center"/>
    </xf>
    <xf numFmtId="0" fontId="46" fillId="0" borderId="4" xfId="0" applyFont="1" applyBorder="1" applyAlignment="1">
      <alignment horizontal="center"/>
    </xf>
    <xf numFmtId="0" fontId="44" fillId="0" borderId="4" xfId="0" applyFont="1" applyBorder="1"/>
    <xf numFmtId="0" fontId="44" fillId="0" borderId="4" xfId="0" applyFont="1" applyBorder="1" applyAlignment="1">
      <alignment horizontal="center"/>
    </xf>
    <xf numFmtId="0" fontId="44" fillId="0" borderId="6" xfId="0" applyFont="1" applyBorder="1" applyAlignment="1">
      <alignment horizontal="center"/>
    </xf>
    <xf numFmtId="0" fontId="44" fillId="0" borderId="3" xfId="0" applyFont="1" applyBorder="1" applyAlignment="1">
      <alignment horizontal="center"/>
    </xf>
    <xf numFmtId="0" fontId="44" fillId="0" borderId="3" xfId="0" applyFont="1" applyBorder="1" applyAlignment="1"/>
    <xf numFmtId="0" fontId="43" fillId="0" borderId="0" xfId="0" applyFont="1" applyAlignment="1">
      <alignment vertical="center"/>
    </xf>
    <xf numFmtId="0" fontId="44" fillId="0" borderId="0" xfId="0" applyFont="1" applyAlignment="1">
      <alignment vertical="center"/>
    </xf>
    <xf numFmtId="0" fontId="45" fillId="0" borderId="13" xfId="0" applyFont="1" applyBorder="1" applyAlignment="1">
      <alignment horizontal="center" vertical="center"/>
    </xf>
    <xf numFmtId="0" fontId="44" fillId="0" borderId="3" xfId="0" applyFont="1" applyBorder="1" applyAlignment="1">
      <alignment horizontal="center" vertical="center"/>
    </xf>
    <xf numFmtId="0" fontId="0" fillId="0" borderId="3" xfId="0" applyBorder="1"/>
    <xf numFmtId="0" fontId="44" fillId="0" borderId="0" xfId="0" applyFont="1" applyAlignment="1">
      <alignment horizontal="center" vertical="center"/>
    </xf>
    <xf numFmtId="0" fontId="1" fillId="2" borderId="0" xfId="0" applyFont="1" applyFill="1" applyAlignment="1" applyProtection="1">
      <alignment horizontal="center" vertical="top"/>
      <protection locked="0"/>
    </xf>
    <xf numFmtId="0" fontId="47" fillId="3" borderId="0" xfId="0" applyFont="1" applyFill="1" applyAlignment="1" applyProtection="1">
      <alignment vertical="center"/>
      <protection hidden="1"/>
    </xf>
    <xf numFmtId="0" fontId="12" fillId="7" borderId="0" xfId="0" applyFont="1" applyFill="1" applyAlignment="1" applyProtection="1">
      <alignment horizontal="center" vertical="center"/>
      <protection hidden="1"/>
    </xf>
    <xf numFmtId="0" fontId="12" fillId="7" borderId="0" xfId="0" applyFont="1" applyFill="1" applyAlignment="1" applyProtection="1">
      <alignment vertical="center"/>
      <protection hidden="1"/>
    </xf>
    <xf numFmtId="0" fontId="12" fillId="2" borderId="0" xfId="0" applyFont="1" applyFill="1" applyAlignment="1" applyProtection="1">
      <alignment horizontal="center" vertical="center"/>
      <protection hidden="1"/>
    </xf>
    <xf numFmtId="0" fontId="12" fillId="2" borderId="0" xfId="0" applyFont="1" applyFill="1" applyAlignment="1" applyProtection="1">
      <alignment vertical="center"/>
      <protection hidden="1"/>
    </xf>
    <xf numFmtId="0" fontId="0" fillId="3" borderId="0" xfId="0" applyFill="1" applyProtection="1">
      <protection hidden="1"/>
    </xf>
    <xf numFmtId="0" fontId="11" fillId="3" borderId="0" xfId="0" applyFont="1" applyFill="1" applyBorder="1" applyAlignment="1" applyProtection="1">
      <alignment vertical="center"/>
      <protection hidden="1"/>
    </xf>
    <xf numFmtId="0" fontId="0" fillId="3" borderId="0" xfId="0" applyFill="1" applyBorder="1" applyProtection="1">
      <protection hidden="1"/>
    </xf>
    <xf numFmtId="0" fontId="0" fillId="3" borderId="0" xfId="0" applyFill="1" applyBorder="1" applyAlignment="1" applyProtection="1">
      <alignment horizontal="left"/>
      <protection hidden="1"/>
    </xf>
    <xf numFmtId="0" fontId="9" fillId="3" borderId="0" xfId="0" applyFont="1" applyFill="1" applyBorder="1" applyProtection="1">
      <protection hidden="1"/>
    </xf>
    <xf numFmtId="0" fontId="0" fillId="2" borderId="0" xfId="0" applyFill="1" applyProtection="1">
      <protection hidden="1"/>
    </xf>
    <xf numFmtId="0" fontId="0" fillId="2" borderId="0" xfId="0" applyFill="1" applyProtection="1">
      <protection locked="0"/>
    </xf>
    <xf numFmtId="0" fontId="32" fillId="3" borderId="0" xfId="0" applyFont="1" applyFill="1" applyProtection="1">
      <protection hidden="1"/>
    </xf>
    <xf numFmtId="0" fontId="33" fillId="3" borderId="0" xfId="0" applyFont="1" applyFill="1" applyAlignment="1" applyProtection="1">
      <alignment horizontal="center" vertical="center"/>
      <protection hidden="1"/>
    </xf>
    <xf numFmtId="0" fontId="13" fillId="7" borderId="0" xfId="0" applyFont="1" applyFill="1" applyProtection="1">
      <protection hidden="1"/>
    </xf>
    <xf numFmtId="0" fontId="13" fillId="2" borderId="0" xfId="0" applyFont="1" applyFill="1" applyProtection="1">
      <protection hidden="1"/>
    </xf>
    <xf numFmtId="0" fontId="31" fillId="3" borderId="0" xfId="0" applyFont="1" applyFill="1" applyProtection="1">
      <protection hidden="1"/>
    </xf>
    <xf numFmtId="0" fontId="0" fillId="2" borderId="0" xfId="0" applyFill="1" applyBorder="1" applyProtection="1">
      <protection locked="0"/>
    </xf>
    <xf numFmtId="0" fontId="34" fillId="0" borderId="0" xfId="0" applyFont="1" applyFill="1" applyAlignment="1" applyProtection="1">
      <alignment vertical="center"/>
      <protection locked="0"/>
    </xf>
    <xf numFmtId="0" fontId="34" fillId="7" borderId="0" xfId="0" applyFont="1" applyFill="1" applyAlignment="1" applyProtection="1">
      <alignment vertical="center"/>
      <protection locked="0"/>
    </xf>
    <xf numFmtId="0" fontId="32" fillId="3" borderId="0" xfId="0" applyFont="1" applyFill="1" applyAlignment="1" applyProtection="1">
      <alignment horizontal="left" vertical="center" wrapText="1"/>
      <protection hidden="1"/>
    </xf>
    <xf numFmtId="0" fontId="32" fillId="3" borderId="0" xfId="0" applyFont="1" applyFill="1" applyAlignment="1" applyProtection="1">
      <alignment horizontal="left" vertical="top" wrapText="1"/>
      <protection hidden="1"/>
    </xf>
    <xf numFmtId="0" fontId="32" fillId="3" borderId="0" xfId="0" applyFont="1" applyFill="1" applyAlignment="1" applyProtection="1">
      <alignment horizontal="center" vertical="top"/>
      <protection hidden="1"/>
    </xf>
    <xf numFmtId="0" fontId="32" fillId="3" borderId="0" xfId="0" applyFont="1" applyFill="1" applyAlignment="1" applyProtection="1">
      <alignment horizontal="left" vertical="top"/>
      <protection hidden="1"/>
    </xf>
    <xf numFmtId="0" fontId="53" fillId="3" borderId="0" xfId="0" applyFont="1" applyFill="1" applyAlignment="1" applyProtection="1">
      <alignment horizontal="center" vertical="center" wrapText="1"/>
      <protection hidden="1"/>
    </xf>
    <xf numFmtId="0" fontId="32" fillId="3" borderId="0" xfId="0" applyFont="1" applyFill="1"/>
    <xf numFmtId="0" fontId="32" fillId="3" borderId="0" xfId="0" applyFont="1" applyFill="1" applyAlignment="1" applyProtection="1">
      <alignment horizontal="center" wrapText="1"/>
      <protection hidden="1"/>
    </xf>
    <xf numFmtId="0" fontId="50" fillId="3" borderId="0" xfId="0" applyFont="1" applyFill="1" applyAlignment="1" applyProtection="1">
      <alignment horizontal="right" vertical="center"/>
      <protection hidden="1"/>
    </xf>
    <xf numFmtId="0" fontId="55" fillId="3" borderId="0" xfId="0" applyFont="1" applyFill="1" applyBorder="1" applyAlignment="1" applyProtection="1">
      <alignment horizontal="left" vertical="center"/>
      <protection hidden="1"/>
    </xf>
    <xf numFmtId="0" fontId="55" fillId="0" borderId="0" xfId="0" applyFont="1" applyFill="1" applyAlignment="1" applyProtection="1">
      <alignment vertical="center"/>
      <protection locked="0"/>
    </xf>
    <xf numFmtId="0" fontId="55" fillId="3" borderId="0" xfId="0" applyFont="1" applyFill="1" applyAlignment="1" applyProtection="1">
      <alignment vertical="center"/>
      <protection hidden="1"/>
    </xf>
    <xf numFmtId="0" fontId="52" fillId="3" borderId="0" xfId="0" applyFont="1" applyFill="1" applyBorder="1" applyAlignment="1" applyProtection="1">
      <alignment horizontal="center" vertical="center"/>
      <protection hidden="1"/>
    </xf>
    <xf numFmtId="1" fontId="47" fillId="3" borderId="0" xfId="0" applyNumberFormat="1" applyFont="1" applyFill="1" applyBorder="1" applyAlignment="1" applyProtection="1">
      <alignment horizontal="center" vertical="center"/>
      <protection hidden="1"/>
    </xf>
    <xf numFmtId="0" fontId="47" fillId="3" borderId="0" xfId="0" quotePrefix="1" applyNumberFormat="1" applyFont="1" applyFill="1" applyBorder="1" applyAlignment="1" applyProtection="1">
      <alignment horizontal="center" vertical="center" shrinkToFit="1"/>
      <protection hidden="1"/>
    </xf>
    <xf numFmtId="0" fontId="55" fillId="3" borderId="0" xfId="0" applyFont="1" applyFill="1" applyBorder="1" applyAlignment="1" applyProtection="1">
      <alignment horizontal="center" vertical="center"/>
      <protection hidden="1"/>
    </xf>
    <xf numFmtId="0" fontId="47" fillId="3" borderId="0" xfId="0" applyFont="1" applyFill="1" applyBorder="1" applyAlignment="1" applyProtection="1">
      <alignment vertical="center"/>
      <protection hidden="1"/>
    </xf>
    <xf numFmtId="0" fontId="55" fillId="3" borderId="0" xfId="0" applyFont="1" applyFill="1" applyBorder="1" applyAlignment="1" applyProtection="1">
      <alignment vertical="center"/>
      <protection hidden="1"/>
    </xf>
    <xf numFmtId="0" fontId="55" fillId="3" borderId="0" xfId="0" applyFont="1" applyFill="1" applyBorder="1" applyAlignment="1" applyProtection="1">
      <alignment vertical="center" wrapText="1"/>
      <protection hidden="1"/>
    </xf>
    <xf numFmtId="0" fontId="55" fillId="7" borderId="0" xfId="0" applyFont="1" applyFill="1" applyAlignment="1" applyProtection="1">
      <alignment vertical="center"/>
      <protection locked="0"/>
    </xf>
    <xf numFmtId="0" fontId="21" fillId="0" borderId="0" xfId="0" applyFont="1" applyFill="1" applyBorder="1" applyAlignment="1" applyProtection="1">
      <alignment horizontal="center"/>
      <protection hidden="1"/>
    </xf>
    <xf numFmtId="0" fontId="55" fillId="3" borderId="0" xfId="0" applyFont="1" applyFill="1" applyAlignment="1" applyProtection="1">
      <alignment horizontal="center" vertical="center"/>
      <protection hidden="1"/>
    </xf>
    <xf numFmtId="0" fontId="47" fillId="3" borderId="0" xfId="0" applyFont="1" applyFill="1" applyAlignment="1" applyProtection="1">
      <alignment horizontal="center" vertical="center"/>
      <protection hidden="1"/>
    </xf>
    <xf numFmtId="0" fontId="57" fillId="3" borderId="0" xfId="0" applyFont="1" applyFill="1" applyAlignment="1" applyProtection="1">
      <alignment horizontal="center" vertical="center"/>
      <protection hidden="1"/>
    </xf>
    <xf numFmtId="0" fontId="36" fillId="2" borderId="0" xfId="0" applyFont="1" applyFill="1" applyAlignment="1" applyProtection="1">
      <alignment vertical="center"/>
      <protection hidden="1"/>
    </xf>
    <xf numFmtId="0" fontId="55" fillId="3" borderId="0" xfId="0" applyFont="1" applyFill="1" applyAlignment="1" applyProtection="1">
      <alignment horizontal="left" vertical="center"/>
      <protection hidden="1"/>
    </xf>
    <xf numFmtId="0" fontId="34" fillId="3" borderId="0" xfId="0" applyFont="1" applyFill="1" applyAlignment="1" applyProtection="1">
      <alignment vertical="center"/>
      <protection hidden="1"/>
    </xf>
    <xf numFmtId="0" fontId="56" fillId="3" borderId="0" xfId="0" applyFont="1" applyFill="1" applyBorder="1" applyAlignment="1" applyProtection="1">
      <alignment horizontal="left" vertical="center"/>
      <protection hidden="1"/>
    </xf>
    <xf numFmtId="0" fontId="55" fillId="3" borderId="11" xfId="0" applyFont="1" applyFill="1" applyBorder="1" applyAlignment="1" applyProtection="1">
      <alignment vertical="center"/>
      <protection hidden="1"/>
    </xf>
    <xf numFmtId="0" fontId="47" fillId="3" borderId="11" xfId="0" applyFont="1" applyFill="1" applyBorder="1" applyAlignment="1" applyProtection="1">
      <alignment vertical="center"/>
      <protection hidden="1"/>
    </xf>
    <xf numFmtId="0" fontId="47" fillId="3" borderId="11" xfId="0" applyFont="1" applyFill="1" applyBorder="1" applyAlignment="1" applyProtection="1">
      <alignment horizontal="center" vertical="center"/>
      <protection hidden="1"/>
    </xf>
    <xf numFmtId="0" fontId="49" fillId="3" borderId="0" xfId="0" applyFont="1" applyFill="1" applyAlignment="1" applyProtection="1">
      <alignment vertical="center"/>
      <protection hidden="1"/>
    </xf>
    <xf numFmtId="0" fontId="55" fillId="3" borderId="0" xfId="0" applyFont="1" applyFill="1" applyBorder="1" applyAlignment="1" applyProtection="1">
      <alignment horizontal="left" vertical="center" wrapText="1"/>
      <protection hidden="1"/>
    </xf>
    <xf numFmtId="0" fontId="32" fillId="3" borderId="0" xfId="0" applyFont="1" applyFill="1" applyAlignment="1" applyProtection="1">
      <alignment vertical="center"/>
      <protection hidden="1"/>
    </xf>
    <xf numFmtId="0" fontId="32" fillId="3" borderId="0" xfId="0" quotePrefix="1" applyNumberFormat="1" applyFont="1" applyFill="1" applyBorder="1" applyAlignment="1" applyProtection="1">
      <alignment vertical="center"/>
      <protection hidden="1"/>
    </xf>
    <xf numFmtId="0" fontId="50" fillId="3" borderId="0" xfId="0" applyFont="1" applyFill="1" applyAlignment="1" applyProtection="1">
      <alignment vertical="center"/>
      <protection hidden="1"/>
    </xf>
    <xf numFmtId="0" fontId="41" fillId="2" borderId="0" xfId="0" applyFont="1" applyFill="1" applyAlignment="1" applyProtection="1">
      <alignment vertical="center"/>
      <protection hidden="1"/>
    </xf>
    <xf numFmtId="0" fontId="14" fillId="0" borderId="0" xfId="0" applyFont="1" applyFill="1" applyBorder="1" applyAlignment="1" applyProtection="1">
      <alignment horizontal="centerContinuous"/>
      <protection locked="0"/>
    </xf>
    <xf numFmtId="0" fontId="13" fillId="0" borderId="0" xfId="0" applyFont="1" applyFill="1" applyBorder="1" applyAlignment="1" applyProtection="1">
      <alignment horizontal="right"/>
      <protection locked="0"/>
    </xf>
    <xf numFmtId="0" fontId="16" fillId="0" borderId="0" xfId="0" applyFont="1" applyFill="1" applyBorder="1" applyAlignment="1" applyProtection="1">
      <alignment horizontal="center" vertical="center"/>
      <protection locked="0"/>
    </xf>
    <xf numFmtId="49" fontId="16" fillId="0" borderId="0" xfId="0" applyNumberFormat="1" applyFont="1" applyFill="1" applyBorder="1" applyAlignment="1" applyProtection="1">
      <alignment horizontal="left" vertical="center"/>
      <protection locked="0"/>
    </xf>
    <xf numFmtId="0" fontId="25" fillId="7" borderId="0" xfId="0" applyFont="1" applyFill="1" applyBorder="1" applyAlignment="1" applyProtection="1">
      <alignment vertical="center" wrapText="1"/>
      <protection locked="0"/>
    </xf>
    <xf numFmtId="0" fontId="25" fillId="7" borderId="0" xfId="0" applyFont="1" applyFill="1" applyBorder="1" applyAlignment="1" applyProtection="1">
      <alignment horizontal="center" vertical="center"/>
      <protection locked="0"/>
    </xf>
    <xf numFmtId="0" fontId="16" fillId="0" borderId="0" xfId="0" applyNumberFormat="1" applyFont="1" applyFill="1" applyBorder="1" applyAlignment="1" applyProtection="1">
      <protection locked="0"/>
    </xf>
    <xf numFmtId="0" fontId="16" fillId="0" borderId="0" xfId="0" applyNumberFormat="1" applyFont="1" applyFill="1" applyBorder="1" applyAlignment="1" applyProtection="1">
      <alignment horizontal="left" vertical="center" shrinkToFit="1"/>
      <protection locked="0"/>
    </xf>
    <xf numFmtId="0" fontId="16" fillId="0" borderId="0" xfId="0" quotePrefix="1" applyNumberFormat="1" applyFont="1" applyFill="1" applyBorder="1" applyAlignment="1" applyProtection="1">
      <protection locked="0"/>
    </xf>
    <xf numFmtId="49" fontId="16" fillId="0" borderId="0" xfId="0" applyNumberFormat="1" applyFont="1" applyFill="1" applyBorder="1" applyAlignment="1" applyProtection="1">
      <protection locked="0"/>
    </xf>
    <xf numFmtId="0" fontId="16" fillId="0" borderId="0" xfId="0" applyNumberFormat="1" applyFont="1" applyFill="1" applyBorder="1" applyAlignment="1" applyProtection="1">
      <alignment horizontal="left" vertical="center"/>
      <protection locked="0"/>
    </xf>
    <xf numFmtId="0" fontId="13" fillId="0" borderId="0" xfId="0" applyFont="1" applyProtection="1">
      <protection locked="0"/>
    </xf>
    <xf numFmtId="0" fontId="44" fillId="0" borderId="0" xfId="0" applyFont="1" applyAlignment="1">
      <alignment horizontal="left" vertical="center"/>
    </xf>
    <xf numFmtId="0" fontId="44" fillId="0" borderId="55" xfId="0" applyFont="1" applyBorder="1" applyAlignment="1">
      <alignment vertical="center"/>
    </xf>
    <xf numFmtId="0" fontId="44" fillId="0" borderId="61" xfId="0" applyFont="1" applyBorder="1" applyAlignment="1">
      <alignment vertical="center"/>
    </xf>
    <xf numFmtId="0" fontId="44" fillId="0" borderId="62" xfId="0" applyFont="1" applyBorder="1" applyAlignment="1">
      <alignment vertical="center"/>
    </xf>
    <xf numFmtId="0" fontId="44" fillId="0" borderId="8" xfId="0" applyFont="1" applyBorder="1" applyAlignment="1">
      <alignment vertical="center"/>
    </xf>
    <xf numFmtId="0" fontId="45" fillId="0" borderId="10" xfId="0" applyFont="1" applyBorder="1" applyAlignment="1">
      <alignment horizontal="center" vertical="center"/>
    </xf>
    <xf numFmtId="0" fontId="44" fillId="0" borderId="10" xfId="0" applyFont="1" applyBorder="1"/>
    <xf numFmtId="0" fontId="43" fillId="0" borderId="4" xfId="0" applyFont="1" applyBorder="1" applyAlignment="1">
      <alignment horizontal="center" vertical="top"/>
    </xf>
    <xf numFmtId="1" fontId="55" fillId="3" borderId="11" xfId="0" applyNumberFormat="1" applyFont="1" applyFill="1" applyBorder="1" applyAlignment="1" applyProtection="1">
      <alignment horizontal="left" vertical="center"/>
      <protection hidden="1"/>
    </xf>
    <xf numFmtId="0" fontId="13" fillId="3" borderId="0" xfId="0" applyFont="1" applyFill="1" applyBorder="1" applyAlignment="1" applyProtection="1">
      <alignment vertical="center"/>
      <protection locked="0"/>
    </xf>
    <xf numFmtId="0" fontId="17" fillId="3" borderId="0" xfId="0" applyFont="1" applyFill="1" applyBorder="1" applyAlignment="1">
      <alignment horizontal="left" vertical="center"/>
    </xf>
    <xf numFmtId="0" fontId="47" fillId="3" borderId="76" xfId="0" applyFont="1" applyFill="1" applyBorder="1" applyAlignment="1" applyProtection="1">
      <alignment vertical="center"/>
      <protection hidden="1"/>
    </xf>
    <xf numFmtId="0" fontId="47" fillId="3" borderId="77" xfId="0" applyFont="1" applyFill="1" applyBorder="1" applyAlignment="1" applyProtection="1">
      <alignment vertical="center"/>
      <protection hidden="1"/>
    </xf>
    <xf numFmtId="0" fontId="47" fillId="3" borderId="60" xfId="0" applyFont="1" applyFill="1" applyBorder="1" applyAlignment="1" applyProtection="1">
      <alignment vertical="center"/>
      <protection hidden="1"/>
    </xf>
    <xf numFmtId="0" fontId="35" fillId="3" borderId="16" xfId="0" applyFont="1" applyFill="1" applyBorder="1" applyAlignment="1" applyProtection="1">
      <alignment horizontal="center" vertical="center"/>
      <protection hidden="1"/>
    </xf>
    <xf numFmtId="0" fontId="59" fillId="3" borderId="16" xfId="0" applyFont="1" applyFill="1" applyBorder="1" applyAlignment="1" applyProtection="1">
      <alignment horizontal="center" vertical="center"/>
      <protection hidden="1"/>
    </xf>
    <xf numFmtId="0" fontId="13" fillId="0" borderId="0" xfId="0" applyFont="1" applyFill="1" applyBorder="1" applyAlignment="1" applyProtection="1">
      <alignment vertical="center"/>
      <protection locked="0"/>
    </xf>
    <xf numFmtId="0" fontId="13" fillId="0" borderId="60" xfId="0" applyFont="1" applyFill="1" applyBorder="1" applyAlignment="1" applyProtection="1">
      <alignment vertical="center"/>
      <protection locked="0"/>
    </xf>
    <xf numFmtId="0" fontId="19" fillId="2" borderId="0" xfId="0" applyFont="1" applyFill="1" applyBorder="1" applyAlignment="1" applyProtection="1">
      <alignment horizontal="center" vertical="center"/>
      <protection locked="0"/>
    </xf>
    <xf numFmtId="0" fontId="13" fillId="7" borderId="0" xfId="0" applyFont="1" applyFill="1" applyBorder="1" applyAlignment="1" applyProtection="1">
      <alignment vertical="center"/>
      <protection locked="0"/>
    </xf>
    <xf numFmtId="0" fontId="17" fillId="3" borderId="0" xfId="0" applyFont="1" applyFill="1" applyBorder="1" applyAlignment="1" applyProtection="1">
      <alignment horizontal="center" vertical="center"/>
      <protection locked="0"/>
    </xf>
    <xf numFmtId="0" fontId="13" fillId="7" borderId="0" xfId="0" applyFont="1" applyFill="1" applyBorder="1" applyAlignment="1" applyProtection="1">
      <alignment horizontal="center" vertical="center"/>
      <protection locked="0"/>
    </xf>
    <xf numFmtId="0" fontId="12" fillId="3" borderId="0" xfId="0" applyFont="1" applyFill="1" applyBorder="1" applyAlignment="1">
      <alignment horizontal="left" vertical="center"/>
    </xf>
    <xf numFmtId="0" fontId="17" fillId="0" borderId="0" xfId="0" applyFont="1" applyFill="1" applyBorder="1" applyAlignment="1" applyProtection="1">
      <alignment vertical="center"/>
      <protection locked="0"/>
    </xf>
    <xf numFmtId="0" fontId="32" fillId="3" borderId="0" xfId="0" applyFont="1" applyFill="1" applyBorder="1" applyAlignment="1" applyProtection="1">
      <alignment vertical="center" shrinkToFit="1"/>
      <protection hidden="1"/>
    </xf>
    <xf numFmtId="0" fontId="58" fillId="3" borderId="0" xfId="0" applyFont="1" applyFill="1" applyBorder="1" applyAlignment="1" applyProtection="1">
      <alignment vertical="center" shrinkToFit="1"/>
      <protection hidden="1"/>
    </xf>
    <xf numFmtId="0" fontId="61" fillId="3" borderId="0" xfId="0" applyFont="1" applyFill="1" applyBorder="1" applyAlignment="1" applyProtection="1">
      <alignment horizontal="center" vertical="center"/>
      <protection hidden="1"/>
    </xf>
    <xf numFmtId="1" fontId="62" fillId="3" borderId="0" xfId="0" applyNumberFormat="1" applyFont="1" applyFill="1" applyBorder="1" applyAlignment="1" applyProtection="1">
      <alignment horizontal="center" vertical="center"/>
      <protection hidden="1"/>
    </xf>
    <xf numFmtId="0" fontId="62" fillId="3" borderId="0" xfId="0" quotePrefix="1" applyNumberFormat="1" applyFont="1" applyFill="1" applyBorder="1" applyAlignment="1" applyProtection="1">
      <alignment horizontal="center" vertical="center" shrinkToFit="1"/>
      <protection hidden="1"/>
    </xf>
    <xf numFmtId="0" fontId="35" fillId="3" borderId="0" xfId="0" applyFont="1" applyFill="1" applyAlignment="1" applyProtection="1">
      <alignment vertical="center"/>
      <protection hidden="1"/>
    </xf>
    <xf numFmtId="0" fontId="50" fillId="3" borderId="0" xfId="0" quotePrefix="1" applyNumberFormat="1" applyFont="1" applyFill="1" applyBorder="1" applyAlignment="1" applyProtection="1">
      <alignment horizontal="center" vertical="center" shrinkToFit="1"/>
      <protection hidden="1"/>
    </xf>
    <xf numFmtId="49" fontId="13" fillId="0" borderId="0" xfId="0" applyNumberFormat="1" applyFont="1" applyFill="1" applyBorder="1" applyAlignment="1" applyProtection="1">
      <alignment horizontal="center"/>
      <protection locked="0"/>
    </xf>
    <xf numFmtId="1" fontId="13" fillId="0" borderId="0" xfId="0" applyNumberFormat="1" applyFont="1" applyFill="1" applyBorder="1" applyAlignment="1" applyProtection="1">
      <alignment horizontal="center" vertical="center"/>
      <protection locked="0"/>
    </xf>
    <xf numFmtId="0" fontId="14" fillId="4" borderId="1" xfId="0" applyFont="1" applyFill="1" applyBorder="1" applyAlignment="1" applyProtection="1">
      <alignment horizontal="center" vertical="center"/>
      <protection hidden="1"/>
    </xf>
    <xf numFmtId="0" fontId="14" fillId="0" borderId="2" xfId="0" applyFont="1" applyBorder="1" applyAlignment="1" applyProtection="1">
      <alignment horizontal="center" vertical="center"/>
    </xf>
    <xf numFmtId="0" fontId="14" fillId="3" borderId="38" xfId="0" applyFont="1" applyFill="1" applyBorder="1" applyAlignment="1" applyProtection="1">
      <alignment vertical="center"/>
      <protection hidden="1"/>
    </xf>
    <xf numFmtId="0" fontId="14" fillId="3" borderId="7" xfId="0" applyFont="1" applyFill="1" applyBorder="1" applyAlignment="1" applyProtection="1">
      <alignment vertical="center"/>
      <protection hidden="1"/>
    </xf>
    <xf numFmtId="0" fontId="14" fillId="3" borderId="14" xfId="0" applyFont="1" applyFill="1" applyBorder="1" applyAlignment="1" applyProtection="1">
      <alignment vertical="center"/>
      <protection hidden="1"/>
    </xf>
    <xf numFmtId="0" fontId="14" fillId="4" borderId="1" xfId="0" applyFont="1" applyFill="1" applyBorder="1" applyAlignment="1" applyProtection="1">
      <alignment horizontal="center" vertical="center" shrinkToFit="1"/>
      <protection hidden="1"/>
    </xf>
    <xf numFmtId="0" fontId="13" fillId="0" borderId="5" xfId="0" applyFont="1" applyBorder="1" applyAlignment="1" applyProtection="1">
      <alignment horizontal="center" textRotation="90" wrapText="1"/>
      <protection locked="0"/>
    </xf>
    <xf numFmtId="0" fontId="13" fillId="0" borderId="1" xfId="0" applyFont="1" applyBorder="1" applyAlignment="1" applyProtection="1">
      <alignment horizontal="center" textRotation="90" wrapText="1"/>
      <protection locked="0"/>
    </xf>
    <xf numFmtId="0" fontId="13" fillId="0" borderId="1" xfId="0" applyFont="1" applyBorder="1" applyAlignment="1" applyProtection="1">
      <alignment horizontal="left" textRotation="90" wrapText="1"/>
      <protection locked="0"/>
    </xf>
    <xf numFmtId="0" fontId="13" fillId="0" borderId="2" xfId="0" applyFont="1" applyBorder="1" applyAlignment="1" applyProtection="1">
      <alignment horizontal="center" textRotation="90" wrapText="1"/>
      <protection locked="0"/>
    </xf>
    <xf numFmtId="0" fontId="14" fillId="4" borderId="5" xfId="0" applyFont="1" applyFill="1" applyBorder="1" applyAlignment="1" applyProtection="1">
      <alignment horizontal="center" vertical="center" textRotation="180" wrapText="1"/>
      <protection locked="0"/>
    </xf>
    <xf numFmtId="0" fontId="14" fillId="4" borderId="40" xfId="0" applyFont="1" applyFill="1" applyBorder="1" applyAlignment="1" applyProtection="1">
      <alignment horizontal="center" vertical="center" textRotation="180" wrapText="1"/>
      <protection locked="0"/>
    </xf>
    <xf numFmtId="0" fontId="14" fillId="0" borderId="5" xfId="0" applyFont="1" applyBorder="1" applyAlignment="1" applyProtection="1">
      <alignment horizontal="center" vertical="center" textRotation="255"/>
      <protection hidden="1"/>
    </xf>
    <xf numFmtId="0" fontId="14" fillId="0" borderId="1" xfId="0" applyFont="1" applyBorder="1" applyAlignment="1" applyProtection="1">
      <alignment horizontal="center" vertical="center" textRotation="255"/>
      <protection hidden="1"/>
    </xf>
    <xf numFmtId="0" fontId="14" fillId="0" borderId="40" xfId="0" applyFont="1" applyBorder="1" applyAlignment="1" applyProtection="1">
      <alignment horizontal="center" vertical="center" textRotation="255"/>
      <protection hidden="1"/>
    </xf>
    <xf numFmtId="0" fontId="14" fillId="0" borderId="14" xfId="0" applyFont="1" applyBorder="1" applyAlignment="1" applyProtection="1">
      <alignment horizontal="center" vertical="center" textRotation="180" wrapText="1"/>
      <protection hidden="1"/>
    </xf>
    <xf numFmtId="0" fontId="14" fillId="0" borderId="40" xfId="0" applyFont="1" applyBorder="1" applyAlignment="1" applyProtection="1">
      <alignment horizontal="center" vertical="center" textRotation="180" wrapText="1"/>
      <protection hidden="1"/>
    </xf>
    <xf numFmtId="0" fontId="14" fillId="0" borderId="9" xfId="0" applyFont="1" applyBorder="1" applyAlignment="1" applyProtection="1">
      <alignment horizontal="center" vertical="center" textRotation="180"/>
      <protection hidden="1"/>
    </xf>
    <xf numFmtId="0" fontId="14" fillId="0" borderId="1" xfId="0" applyFont="1" applyBorder="1" applyAlignment="1" applyProtection="1">
      <alignment horizontal="center" vertical="center" textRotation="180"/>
      <protection hidden="1"/>
    </xf>
    <xf numFmtId="0" fontId="14" fillId="3" borderId="1" xfId="0" applyFont="1" applyFill="1" applyBorder="1" applyAlignment="1" applyProtection="1">
      <alignment horizontal="center" vertical="center" wrapText="1"/>
      <protection hidden="1"/>
    </xf>
    <xf numFmtId="0" fontId="14" fillId="7" borderId="15" xfId="0" applyFont="1" applyFill="1" applyBorder="1" applyAlignment="1">
      <alignment horizontal="center" vertical="center"/>
    </xf>
    <xf numFmtId="0" fontId="20" fillId="4" borderId="31" xfId="0" applyFont="1" applyFill="1" applyBorder="1" applyAlignment="1" applyProtection="1">
      <alignment horizontal="center" vertical="center" shrinkToFit="1"/>
      <protection hidden="1"/>
    </xf>
    <xf numFmtId="0" fontId="20" fillId="0" borderId="43" xfId="0" applyFont="1" applyBorder="1" applyAlignment="1" applyProtection="1">
      <alignment horizontal="center" vertical="center"/>
      <protection locked="0"/>
    </xf>
    <xf numFmtId="0" fontId="20" fillId="0" borderId="35" xfId="0" applyFont="1" applyBorder="1" applyAlignment="1" applyProtection="1">
      <alignment horizontal="left" vertical="center" shrinkToFit="1"/>
      <protection locked="0"/>
    </xf>
    <xf numFmtId="0" fontId="20" fillId="0" borderId="52" xfId="0" applyFont="1" applyBorder="1" applyAlignment="1" applyProtection="1">
      <alignment horizontal="center" vertical="center"/>
      <protection locked="0"/>
    </xf>
    <xf numFmtId="0" fontId="20" fillId="4" borderId="25" xfId="0" applyFont="1" applyFill="1" applyBorder="1" applyAlignment="1" applyProtection="1">
      <alignment horizontal="center" vertical="center" shrinkToFit="1"/>
      <protection hidden="1"/>
    </xf>
    <xf numFmtId="0" fontId="20" fillId="0" borderId="19" xfId="0" applyFont="1" applyBorder="1" applyAlignment="1" applyProtection="1">
      <alignment horizontal="center" vertical="center"/>
      <protection locked="0"/>
    </xf>
    <xf numFmtId="0" fontId="20" fillId="0" borderId="27" xfId="0" applyFont="1" applyBorder="1" applyAlignment="1" applyProtection="1">
      <alignment horizontal="left" vertical="center" shrinkToFit="1"/>
      <protection locked="0"/>
    </xf>
    <xf numFmtId="0" fontId="20" fillId="0" borderId="46" xfId="0" quotePrefix="1" applyFont="1" applyBorder="1" applyAlignment="1" applyProtection="1">
      <alignment horizontal="center" vertical="center"/>
      <protection locked="0"/>
    </xf>
    <xf numFmtId="0" fontId="14" fillId="4" borderId="25" xfId="0" applyFont="1" applyFill="1" applyBorder="1" applyAlignment="1" applyProtection="1">
      <alignment horizontal="center" vertical="center" shrinkToFit="1"/>
      <protection hidden="1"/>
    </xf>
    <xf numFmtId="0" fontId="20" fillId="9" borderId="45" xfId="0" applyFont="1" applyFill="1" applyBorder="1" applyAlignment="1" applyProtection="1">
      <alignment horizontal="center" vertical="center"/>
      <protection hidden="1"/>
    </xf>
    <xf numFmtId="0" fontId="13" fillId="0" borderId="4" xfId="0" applyFont="1" applyBorder="1" applyAlignment="1" applyProtection="1">
      <alignment horizontal="center" vertical="center" shrinkToFit="1"/>
      <protection hidden="1"/>
    </xf>
    <xf numFmtId="0" fontId="13" fillId="0" borderId="4" xfId="0" applyFont="1" applyBorder="1" applyAlignment="1" applyProtection="1">
      <alignment vertical="center" wrapText="1" shrinkToFit="1"/>
      <protection hidden="1"/>
    </xf>
    <xf numFmtId="0" fontId="14" fillId="4" borderId="32" xfId="0" applyFont="1" applyFill="1" applyBorder="1" applyAlignment="1" applyProtection="1">
      <alignment horizontal="center" vertical="center" shrinkToFit="1"/>
      <protection hidden="1"/>
    </xf>
    <xf numFmtId="0" fontId="20" fillId="9" borderId="47" xfId="0" applyFont="1" applyFill="1" applyBorder="1" applyAlignment="1" applyProtection="1">
      <alignment horizontal="center" vertical="center"/>
      <protection hidden="1"/>
    </xf>
    <xf numFmtId="0" fontId="20" fillId="0" borderId="36" xfId="0" applyFont="1" applyBorder="1" applyAlignment="1" applyProtection="1">
      <alignment horizontal="left" vertical="center" shrinkToFit="1"/>
      <protection locked="0"/>
    </xf>
    <xf numFmtId="0" fontId="20" fillId="0" borderId="48" xfId="0" quotePrefix="1" applyFont="1" applyBorder="1" applyAlignment="1" applyProtection="1">
      <alignment horizontal="center" vertical="center"/>
      <protection locked="0"/>
    </xf>
    <xf numFmtId="0" fontId="20" fillId="0" borderId="51" xfId="0" applyFont="1" applyBorder="1" applyAlignment="1" applyProtection="1">
      <alignment horizontal="center" vertical="center"/>
      <protection locked="0"/>
    </xf>
    <xf numFmtId="0" fontId="20" fillId="0" borderId="18" xfId="0" applyFont="1" applyBorder="1" applyAlignment="1" applyProtection="1">
      <alignment horizontal="center" vertical="center"/>
      <protection locked="0"/>
    </xf>
    <xf numFmtId="0" fontId="20" fillId="0" borderId="45" xfId="0" applyFont="1" applyBorder="1" applyAlignment="1" applyProtection="1">
      <alignment horizontal="center" vertical="center"/>
      <protection locked="0"/>
    </xf>
    <xf numFmtId="0" fontId="13" fillId="0" borderId="59" xfId="0" applyFont="1" applyBorder="1" applyAlignment="1" applyProtection="1">
      <alignment horizontal="center" vertical="center" shrinkToFit="1"/>
      <protection hidden="1"/>
    </xf>
    <xf numFmtId="0" fontId="13" fillId="0" borderId="59" xfId="0" applyFont="1" applyBorder="1" applyAlignment="1" applyProtection="1">
      <alignment vertical="center" wrapText="1" shrinkToFit="1"/>
      <protection hidden="1"/>
    </xf>
    <xf numFmtId="0" fontId="14" fillId="7" borderId="0" xfId="0" applyFont="1" applyFill="1" applyBorder="1" applyAlignment="1">
      <alignment horizontal="center" vertical="center" wrapText="1"/>
    </xf>
    <xf numFmtId="0" fontId="13" fillId="0" borderId="4" xfId="0" applyFont="1" applyBorder="1" applyAlignment="1" applyProtection="1">
      <alignment horizontal="left" vertical="center" wrapText="1" shrinkToFit="1"/>
      <protection hidden="1"/>
    </xf>
    <xf numFmtId="0" fontId="14" fillId="0" borderId="6" xfId="0" applyFont="1" applyFill="1" applyBorder="1" applyAlignment="1">
      <alignment horizontal="center" vertical="center" wrapText="1"/>
    </xf>
    <xf numFmtId="0" fontId="13" fillId="0" borderId="0" xfId="0" applyFont="1" applyFill="1" applyAlignment="1" applyProtection="1">
      <alignment horizontal="center" vertical="center"/>
      <protection hidden="1"/>
    </xf>
    <xf numFmtId="0" fontId="13" fillId="0" borderId="0" xfId="0" applyFont="1" applyFill="1" applyAlignment="1" applyProtection="1">
      <alignment vertical="center"/>
      <protection hidden="1"/>
    </xf>
    <xf numFmtId="0" fontId="65" fillId="0" borderId="0" xfId="0" applyFont="1" applyFill="1" applyAlignment="1" applyProtection="1">
      <alignment vertical="center"/>
      <protection hidden="1"/>
    </xf>
    <xf numFmtId="0" fontId="16" fillId="0" borderId="0" xfId="0" applyFont="1" applyFill="1" applyAlignment="1" applyProtection="1">
      <alignment vertical="center"/>
      <protection hidden="1"/>
    </xf>
    <xf numFmtId="0" fontId="16" fillId="0" borderId="0" xfId="0" applyFont="1" applyFill="1" applyProtection="1">
      <protection hidden="1"/>
    </xf>
    <xf numFmtId="0" fontId="14" fillId="0" borderId="1" xfId="0" applyFont="1" applyFill="1" applyBorder="1" applyAlignment="1" applyProtection="1">
      <alignment horizontal="center" vertical="center"/>
      <protection hidden="1"/>
    </xf>
    <xf numFmtId="0" fontId="14" fillId="0" borderId="1" xfId="0" applyFont="1" applyFill="1" applyBorder="1" applyAlignment="1" applyProtection="1">
      <alignment horizontal="center" vertical="center" shrinkToFit="1"/>
      <protection hidden="1"/>
    </xf>
    <xf numFmtId="0" fontId="24" fillId="7" borderId="59" xfId="0" quotePrefix="1" applyFont="1" applyFill="1" applyBorder="1" applyAlignment="1" applyProtection="1">
      <alignment horizontal="center" vertical="center"/>
      <protection hidden="1"/>
    </xf>
    <xf numFmtId="0" fontId="66" fillId="7" borderId="12" xfId="0" quotePrefix="1" applyFont="1" applyFill="1" applyBorder="1" applyAlignment="1" applyProtection="1">
      <alignment horizontal="center" vertical="center"/>
      <protection hidden="1"/>
    </xf>
    <xf numFmtId="0" fontId="66" fillId="7" borderId="16" xfId="0" quotePrefix="1" applyFont="1" applyFill="1" applyBorder="1" applyAlignment="1" applyProtection="1">
      <alignment horizontal="center" vertical="center"/>
      <protection hidden="1"/>
    </xf>
    <xf numFmtId="0" fontId="66" fillId="7" borderId="59" xfId="0" quotePrefix="1" applyFont="1" applyFill="1" applyBorder="1" applyAlignment="1" applyProtection="1">
      <alignment horizontal="center" vertical="center"/>
      <protection hidden="1"/>
    </xf>
    <xf numFmtId="0" fontId="16" fillId="4" borderId="66" xfId="0" applyFont="1" applyFill="1" applyBorder="1" applyAlignment="1" applyProtection="1">
      <alignment vertical="center"/>
      <protection hidden="1"/>
    </xf>
    <xf numFmtId="0" fontId="13" fillId="0" borderId="33" xfId="0" applyFont="1" applyFill="1" applyBorder="1" applyAlignment="1" applyProtection="1">
      <alignment vertical="center" shrinkToFit="1"/>
      <protection locked="0"/>
    </xf>
    <xf numFmtId="0" fontId="13" fillId="0" borderId="18" xfId="0" applyFont="1" applyFill="1" applyBorder="1" applyAlignment="1" applyProtection="1">
      <alignment horizontal="left" vertical="center"/>
      <protection locked="0"/>
    </xf>
    <xf numFmtId="0" fontId="13" fillId="0" borderId="25" xfId="0" applyFont="1" applyFill="1" applyBorder="1" applyAlignment="1" applyProtection="1">
      <alignment vertical="center" shrinkToFit="1"/>
      <protection locked="0"/>
    </xf>
    <xf numFmtId="0" fontId="13" fillId="0" borderId="17" xfId="0" applyFont="1" applyFill="1" applyBorder="1" applyAlignment="1" applyProtection="1">
      <alignment horizontal="left" vertical="center"/>
      <protection locked="0"/>
    </xf>
    <xf numFmtId="0" fontId="13" fillId="0" borderId="0" xfId="0" applyFont="1" applyBorder="1" applyAlignment="1" applyProtection="1">
      <alignment vertical="center"/>
      <protection locked="0"/>
    </xf>
    <xf numFmtId="0" fontId="13" fillId="0" borderId="19" xfId="0" applyFont="1" applyFill="1" applyBorder="1" applyAlignment="1" applyProtection="1">
      <alignment vertical="center"/>
      <protection locked="0"/>
    </xf>
    <xf numFmtId="0" fontId="16" fillId="4" borderId="6" xfId="0" applyFont="1" applyFill="1" applyBorder="1" applyAlignment="1" applyProtection="1">
      <alignment vertical="center"/>
      <protection hidden="1"/>
    </xf>
    <xf numFmtId="0" fontId="13" fillId="0" borderId="67" xfId="0" applyFont="1" applyFill="1" applyBorder="1" applyAlignment="1" applyProtection="1">
      <alignment vertical="center" shrinkToFit="1"/>
      <protection locked="0"/>
    </xf>
    <xf numFmtId="0" fontId="13" fillId="0" borderId="21" xfId="0" applyFont="1" applyFill="1" applyBorder="1" applyAlignment="1" applyProtection="1">
      <alignment vertical="center"/>
      <protection locked="0"/>
    </xf>
    <xf numFmtId="0" fontId="13" fillId="0" borderId="24" xfId="0" applyFont="1" applyFill="1" applyBorder="1" applyAlignment="1" applyProtection="1">
      <alignment horizontal="left" vertical="center" shrinkToFit="1"/>
      <protection locked="0"/>
    </xf>
    <xf numFmtId="0" fontId="13" fillId="0" borderId="22" xfId="0" applyFont="1" applyFill="1" applyBorder="1" applyAlignment="1" applyProtection="1">
      <alignment horizontal="left" vertical="center"/>
      <protection locked="0"/>
    </xf>
    <xf numFmtId="0" fontId="13" fillId="0" borderId="25" xfId="0" applyFont="1" applyFill="1" applyBorder="1" applyAlignment="1" applyProtection="1">
      <alignment horizontal="left" vertical="center" shrinkToFit="1"/>
      <protection locked="0"/>
    </xf>
    <xf numFmtId="0" fontId="13" fillId="0" borderId="3" xfId="0" applyFont="1" applyBorder="1" applyAlignment="1" applyProtection="1">
      <alignment horizontal="center" vertical="center" shrinkToFit="1"/>
      <protection hidden="1"/>
    </xf>
    <xf numFmtId="0" fontId="13" fillId="0" borderId="3" xfId="0" applyFont="1" applyBorder="1" applyAlignment="1" applyProtection="1">
      <alignment vertical="center" wrapText="1" shrinkToFit="1"/>
      <protection hidden="1"/>
    </xf>
    <xf numFmtId="0" fontId="13" fillId="0" borderId="26" xfId="0" applyFont="1" applyFill="1" applyBorder="1" applyAlignment="1" applyProtection="1">
      <alignment horizontal="left" vertical="center" shrinkToFit="1"/>
      <protection locked="0"/>
    </xf>
    <xf numFmtId="0" fontId="13" fillId="0" borderId="23" xfId="0" applyFont="1" applyFill="1" applyBorder="1" applyAlignment="1" applyProtection="1">
      <alignment horizontal="left" vertical="center"/>
      <protection locked="0"/>
    </xf>
    <xf numFmtId="0" fontId="13" fillId="0" borderId="31" xfId="0" applyFont="1" applyFill="1" applyBorder="1" applyAlignment="1" applyProtection="1">
      <alignment horizontal="left" vertical="center" shrinkToFit="1"/>
      <protection locked="0"/>
    </xf>
    <xf numFmtId="0" fontId="13" fillId="0" borderId="67" xfId="0" applyFont="1" applyFill="1" applyBorder="1" applyAlignment="1" applyProtection="1">
      <alignment horizontal="left" vertical="center" shrinkToFit="1"/>
      <protection locked="0"/>
    </xf>
    <xf numFmtId="0" fontId="13" fillId="0" borderId="21" xfId="0" applyFont="1" applyFill="1" applyBorder="1" applyAlignment="1" applyProtection="1">
      <alignment horizontal="left" vertical="center"/>
      <protection locked="0"/>
    </xf>
    <xf numFmtId="0" fontId="16" fillId="0" borderId="0" xfId="0" applyFont="1" applyBorder="1" applyAlignment="1" applyProtection="1">
      <alignment vertical="center"/>
      <protection hidden="1"/>
    </xf>
    <xf numFmtId="0" fontId="16" fillId="0" borderId="0" xfId="0" applyFont="1" applyBorder="1"/>
    <xf numFmtId="0" fontId="16" fillId="0" borderId="0" xfId="0" applyFont="1"/>
    <xf numFmtId="0" fontId="24" fillId="7" borderId="16" xfId="0" quotePrefix="1" applyFont="1" applyFill="1" applyBorder="1" applyAlignment="1" applyProtection="1">
      <alignment horizontal="center" vertical="center"/>
      <protection locked="0"/>
    </xf>
    <xf numFmtId="0" fontId="32" fillId="3" borderId="23" xfId="0" applyFont="1" applyFill="1" applyBorder="1" applyAlignment="1" applyProtection="1">
      <alignment horizontal="center" vertical="center"/>
      <protection hidden="1"/>
    </xf>
    <xf numFmtId="0" fontId="35" fillId="3" borderId="23" xfId="0" applyFont="1" applyFill="1" applyBorder="1" applyAlignment="1" applyProtection="1">
      <alignment horizontal="center" vertical="center"/>
      <protection hidden="1"/>
    </xf>
    <xf numFmtId="0" fontId="51" fillId="3" borderId="7" xfId="0" applyFont="1" applyFill="1" applyBorder="1" applyAlignment="1" applyProtection="1">
      <alignment horizontal="center" vertical="center"/>
      <protection hidden="1"/>
    </xf>
    <xf numFmtId="0" fontId="32" fillId="3" borderId="14" xfId="0" applyFont="1" applyFill="1" applyBorder="1" applyAlignment="1" applyProtection="1">
      <alignment horizontal="left" vertical="center"/>
      <protection hidden="1"/>
    </xf>
    <xf numFmtId="0" fontId="35" fillId="3" borderId="16" xfId="0" applyFont="1" applyFill="1" applyBorder="1" applyAlignment="1" applyProtection="1">
      <alignment horizontal="center" vertical="center"/>
      <protection hidden="1"/>
    </xf>
    <xf numFmtId="0" fontId="63" fillId="3" borderId="0" xfId="0" applyFont="1" applyFill="1" applyAlignment="1" applyProtection="1">
      <alignment horizontal="center" vertical="center"/>
      <protection hidden="1"/>
    </xf>
    <xf numFmtId="0" fontId="35" fillId="0" borderId="16" xfId="0" applyFont="1" applyFill="1" applyBorder="1" applyAlignment="1" applyProtection="1">
      <alignment horizontal="center" vertical="center"/>
      <protection locked="0"/>
    </xf>
    <xf numFmtId="0" fontId="32" fillId="3" borderId="0" xfId="0" applyFont="1" applyFill="1" applyAlignment="1" applyProtection="1">
      <alignment horizontal="left" vertical="center"/>
      <protection locked="0"/>
    </xf>
    <xf numFmtId="0" fontId="32" fillId="3" borderId="0" xfId="0" applyFont="1" applyFill="1" applyAlignment="1" applyProtection="1">
      <alignment horizontal="left" vertical="center"/>
      <protection hidden="1"/>
    </xf>
    <xf numFmtId="49" fontId="69" fillId="3" borderId="0" xfId="0" applyNumberFormat="1" applyFont="1" applyFill="1" applyBorder="1" applyAlignment="1" applyProtection="1">
      <alignment horizontal="left" vertical="center"/>
      <protection hidden="1"/>
    </xf>
    <xf numFmtId="0" fontId="32" fillId="3" borderId="0" xfId="0" applyNumberFormat="1" applyFont="1" applyFill="1" applyAlignment="1" applyProtection="1">
      <alignment horizontal="left" vertical="center"/>
      <protection hidden="1"/>
    </xf>
    <xf numFmtId="0" fontId="68" fillId="3" borderId="0" xfId="0" applyFont="1" applyFill="1" applyAlignment="1" applyProtection="1">
      <alignment horizontal="left" vertical="center"/>
      <protection hidden="1"/>
    </xf>
    <xf numFmtId="0" fontId="69" fillId="3" borderId="0" xfId="0" applyFont="1" applyFill="1" applyAlignment="1" applyProtection="1">
      <alignment horizontal="left" vertical="center"/>
      <protection hidden="1"/>
    </xf>
    <xf numFmtId="0" fontId="30" fillId="2" borderId="0" xfId="0" applyFont="1" applyFill="1" applyAlignment="1" applyProtection="1">
      <alignment vertical="center"/>
      <protection locked="0"/>
    </xf>
    <xf numFmtId="0" fontId="13" fillId="2" borderId="0" xfId="0" applyFont="1" applyFill="1" applyBorder="1" applyAlignment="1" applyProtection="1">
      <alignment horizontal="center" vertical="center"/>
      <protection locked="0"/>
    </xf>
    <xf numFmtId="0" fontId="19" fillId="2" borderId="0" xfId="0" applyFont="1" applyFill="1" applyBorder="1" applyAlignment="1" applyProtection="1">
      <alignment vertical="center" wrapText="1"/>
      <protection locked="0"/>
    </xf>
    <xf numFmtId="0" fontId="29" fillId="2" borderId="0" xfId="0" applyFont="1" applyFill="1" applyAlignment="1" applyProtection="1">
      <alignment vertical="center" wrapText="1"/>
      <protection locked="0"/>
    </xf>
    <xf numFmtId="0" fontId="13" fillId="7" borderId="15" xfId="0" applyFont="1" applyFill="1" applyBorder="1" applyAlignment="1" applyProtection="1">
      <alignment horizontal="center" vertical="center"/>
      <protection hidden="1"/>
    </xf>
    <xf numFmtId="0" fontId="13" fillId="7" borderId="15" xfId="0" applyFont="1" applyFill="1" applyBorder="1" applyAlignment="1" applyProtection="1">
      <alignment horizontal="center" vertical="center" wrapText="1"/>
      <protection hidden="1"/>
    </xf>
    <xf numFmtId="0" fontId="13" fillId="5" borderId="15" xfId="0" applyFont="1" applyFill="1" applyBorder="1" applyAlignment="1" applyProtection="1">
      <alignment horizontal="center" vertical="center"/>
      <protection hidden="1"/>
    </xf>
    <xf numFmtId="0" fontId="13" fillId="3" borderId="15" xfId="0" applyFont="1" applyFill="1" applyBorder="1" applyAlignment="1" applyProtection="1">
      <alignment horizontal="center" vertical="center"/>
      <protection hidden="1"/>
    </xf>
    <xf numFmtId="0" fontId="29" fillId="2" borderId="0" xfId="0" applyFont="1" applyFill="1" applyBorder="1" applyAlignment="1" applyProtection="1">
      <alignment vertical="center"/>
      <protection hidden="1"/>
    </xf>
    <xf numFmtId="0" fontId="13" fillId="2" borderId="0" xfId="0" applyFont="1" applyFill="1" applyAlignment="1" applyProtection="1">
      <alignment vertical="center"/>
      <protection hidden="1"/>
    </xf>
    <xf numFmtId="0" fontId="13" fillId="7" borderId="0" xfId="0" applyFont="1" applyFill="1" applyBorder="1" applyAlignment="1" applyProtection="1">
      <alignment horizontal="center" vertical="center"/>
      <protection hidden="1"/>
    </xf>
    <xf numFmtId="0" fontId="13" fillId="7" borderId="0" xfId="0" applyFont="1" applyFill="1" applyBorder="1" applyAlignment="1" applyProtection="1">
      <alignment vertical="center"/>
      <protection hidden="1"/>
    </xf>
    <xf numFmtId="0" fontId="13" fillId="3" borderId="0" xfId="0" applyFont="1" applyFill="1" applyBorder="1" applyAlignment="1" applyProtection="1">
      <alignment horizontal="left" vertical="center"/>
      <protection hidden="1"/>
    </xf>
    <xf numFmtId="0" fontId="13" fillId="3" borderId="0" xfId="0" applyFont="1" applyFill="1" applyBorder="1" applyAlignment="1" applyProtection="1">
      <alignment vertical="center"/>
      <protection hidden="1"/>
    </xf>
    <xf numFmtId="0" fontId="16" fillId="5" borderId="15" xfId="0" applyFont="1" applyFill="1" applyBorder="1" applyAlignment="1" applyProtection="1">
      <alignment horizontal="center" vertical="center"/>
      <protection hidden="1"/>
    </xf>
    <xf numFmtId="0" fontId="13" fillId="5" borderId="0" xfId="0" applyFont="1" applyFill="1" applyBorder="1" applyAlignment="1" applyProtection="1">
      <alignment vertical="center" wrapText="1"/>
      <protection hidden="1"/>
    </xf>
    <xf numFmtId="0" fontId="13" fillId="5" borderId="0" xfId="0" applyFont="1" applyFill="1" applyBorder="1" applyAlignment="1" applyProtection="1">
      <alignment horizontal="center" vertical="center"/>
      <protection hidden="1"/>
    </xf>
    <xf numFmtId="1" fontId="21" fillId="0" borderId="0" xfId="0" applyNumberFormat="1" applyFont="1" applyFill="1" applyBorder="1" applyAlignment="1" applyProtection="1">
      <alignment horizontal="left" vertical="center" shrinkToFit="1"/>
      <protection hidden="1"/>
    </xf>
    <xf numFmtId="0" fontId="13" fillId="3" borderId="0" xfId="0" applyFont="1" applyFill="1" applyBorder="1" applyAlignment="1" applyProtection="1">
      <alignment horizontal="left" vertical="center" shrinkToFit="1"/>
      <protection hidden="1"/>
    </xf>
    <xf numFmtId="0" fontId="16" fillId="5" borderId="0" xfId="0" applyFont="1" applyFill="1" applyBorder="1" applyAlignment="1" applyProtection="1">
      <alignment horizontal="center" vertical="center"/>
      <protection hidden="1"/>
    </xf>
    <xf numFmtId="1" fontId="71" fillId="0" borderId="0" xfId="0" applyNumberFormat="1" applyFont="1" applyFill="1" applyBorder="1" applyAlignment="1" applyProtection="1">
      <alignment horizontal="left" vertical="center" shrinkToFit="1"/>
      <protection hidden="1"/>
    </xf>
    <xf numFmtId="0" fontId="13" fillId="5" borderId="0" xfId="0" applyFont="1" applyFill="1" applyBorder="1" applyAlignment="1" applyProtection="1">
      <alignment horizontal="left" vertical="center" wrapText="1"/>
      <protection hidden="1"/>
    </xf>
    <xf numFmtId="0" fontId="21" fillId="8" borderId="63" xfId="0" applyFont="1" applyFill="1" applyBorder="1" applyAlignment="1" applyProtection="1">
      <alignment horizontal="left" vertical="center"/>
      <protection hidden="1"/>
    </xf>
    <xf numFmtId="0" fontId="13" fillId="3" borderId="63" xfId="0" quotePrefix="1" applyFont="1" applyFill="1" applyBorder="1" applyAlignment="1" applyProtection="1">
      <alignment vertical="center" shrinkToFit="1"/>
      <protection hidden="1"/>
    </xf>
    <xf numFmtId="0" fontId="24" fillId="2" borderId="0" xfId="0" applyFont="1" applyFill="1" applyAlignment="1" applyProtection="1">
      <alignment vertical="center"/>
      <protection hidden="1"/>
    </xf>
    <xf numFmtId="0" fontId="47" fillId="3" borderId="7" xfId="0" applyFont="1" applyFill="1" applyBorder="1" applyAlignment="1" applyProtection="1">
      <alignment horizontal="center" vertical="center"/>
      <protection hidden="1"/>
    </xf>
    <xf numFmtId="0" fontId="35" fillId="3" borderId="0" xfId="0" applyFont="1" applyFill="1" applyBorder="1" applyAlignment="1" applyProtection="1">
      <alignment vertical="center"/>
      <protection hidden="1"/>
    </xf>
    <xf numFmtId="0" fontId="35" fillId="3" borderId="78" xfId="0" applyFont="1" applyFill="1" applyBorder="1" applyAlignment="1" applyProtection="1">
      <alignment vertical="center"/>
      <protection hidden="1"/>
    </xf>
    <xf numFmtId="0" fontId="35" fillId="3" borderId="61" xfId="0" applyFont="1" applyFill="1" applyBorder="1" applyAlignment="1" applyProtection="1">
      <alignment vertical="center"/>
      <protection hidden="1"/>
    </xf>
    <xf numFmtId="0" fontId="35" fillId="3" borderId="0" xfId="0" applyFont="1" applyFill="1" applyBorder="1" applyAlignment="1" applyProtection="1">
      <alignment horizontal="left" vertical="center"/>
      <protection hidden="1"/>
    </xf>
    <xf numFmtId="0" fontId="34" fillId="3" borderId="0" xfId="0" applyFont="1" applyFill="1" applyBorder="1" applyAlignment="1" applyProtection="1">
      <alignment horizontal="left" vertical="center"/>
      <protection hidden="1"/>
    </xf>
    <xf numFmtId="0" fontId="34" fillId="3" borderId="0" xfId="0" applyFont="1" applyFill="1" applyBorder="1" applyAlignment="1" applyProtection="1">
      <alignment vertical="center" wrapText="1"/>
      <protection hidden="1"/>
    </xf>
    <xf numFmtId="0" fontId="50" fillId="3" borderId="0" xfId="0" applyFont="1" applyFill="1" applyBorder="1" applyAlignment="1" applyProtection="1">
      <alignment vertical="center" wrapText="1"/>
      <protection hidden="1"/>
    </xf>
    <xf numFmtId="0" fontId="32" fillId="3" borderId="0" xfId="0" applyFont="1" applyFill="1" applyBorder="1" applyAlignment="1" applyProtection="1">
      <alignment horizontal="center" vertical="center"/>
      <protection hidden="1"/>
    </xf>
    <xf numFmtId="0" fontId="20" fillId="0" borderId="46" xfId="0" applyFont="1" applyBorder="1" applyAlignment="1" applyProtection="1">
      <alignment horizontal="center" vertical="center"/>
      <protection locked="0"/>
    </xf>
    <xf numFmtId="0" fontId="20" fillId="9" borderId="46" xfId="0" applyFont="1" applyFill="1" applyBorder="1" applyAlignment="1" applyProtection="1">
      <alignment horizontal="center" vertical="center"/>
      <protection hidden="1"/>
    </xf>
    <xf numFmtId="0" fontId="20" fillId="9" borderId="48" xfId="0" applyFont="1" applyFill="1" applyBorder="1" applyAlignment="1" applyProtection="1">
      <alignment horizontal="center" vertical="center"/>
      <protection hidden="1"/>
    </xf>
    <xf numFmtId="0" fontId="20" fillId="9" borderId="20" xfId="0" applyFont="1" applyFill="1" applyBorder="1" applyAlignment="1" applyProtection="1">
      <alignment horizontal="center" vertical="center"/>
      <protection hidden="1"/>
    </xf>
    <xf numFmtId="0" fontId="20" fillId="9" borderId="19" xfId="0" applyFont="1" applyFill="1" applyBorder="1" applyAlignment="1" applyProtection="1">
      <alignment horizontal="center" vertical="center"/>
      <protection hidden="1"/>
    </xf>
    <xf numFmtId="0" fontId="72" fillId="3" borderId="0" xfId="0" applyFont="1" applyFill="1" applyAlignment="1" applyProtection="1">
      <alignment horizontal="left"/>
      <protection hidden="1"/>
    </xf>
    <xf numFmtId="0" fontId="17" fillId="3" borderId="0" xfId="0" applyFont="1" applyFill="1" applyAlignment="1" applyProtection="1">
      <alignment horizontal="left"/>
      <protection hidden="1"/>
    </xf>
    <xf numFmtId="0" fontId="31" fillId="3" borderId="0" xfId="0" applyFont="1" applyFill="1" applyAlignment="1" applyProtection="1">
      <alignment vertical="center"/>
      <protection hidden="1"/>
    </xf>
    <xf numFmtId="0" fontId="73" fillId="3" borderId="0" xfId="0" applyFont="1" applyFill="1" applyAlignment="1" applyProtection="1">
      <alignment vertical="center"/>
      <protection hidden="1"/>
    </xf>
    <xf numFmtId="0" fontId="76" fillId="3" borderId="0" xfId="0" applyFont="1" applyFill="1" applyAlignment="1" applyProtection="1">
      <alignment vertical="center"/>
      <protection hidden="1"/>
    </xf>
    <xf numFmtId="0" fontId="76" fillId="3" borderId="0" xfId="0" applyFont="1" applyFill="1" applyAlignment="1" applyProtection="1">
      <alignment horizontal="center" vertical="center"/>
      <protection hidden="1"/>
    </xf>
    <xf numFmtId="0" fontId="76" fillId="3" borderId="0" xfId="0" applyFont="1" applyFill="1" applyBorder="1" applyAlignment="1" applyProtection="1">
      <alignment vertical="center"/>
      <protection hidden="1"/>
    </xf>
    <xf numFmtId="0" fontId="76" fillId="7" borderId="0" xfId="0" applyFont="1" applyFill="1" applyAlignment="1" applyProtection="1">
      <alignment vertical="center"/>
      <protection locked="0"/>
    </xf>
    <xf numFmtId="0" fontId="76" fillId="0" borderId="0" xfId="0" applyFont="1" applyFill="1" applyAlignment="1" applyProtection="1">
      <alignment vertical="center"/>
      <protection locked="0"/>
    </xf>
    <xf numFmtId="0" fontId="32" fillId="3" borderId="16" xfId="0" quotePrefix="1" applyNumberFormat="1" applyFont="1" applyFill="1" applyBorder="1" applyAlignment="1" applyProtection="1">
      <alignment horizontal="center" vertical="center" shrinkToFit="1"/>
      <protection hidden="1"/>
    </xf>
    <xf numFmtId="0" fontId="32" fillId="3" borderId="7" xfId="0" applyFont="1" applyFill="1" applyBorder="1" applyAlignment="1" applyProtection="1">
      <alignment horizontal="left" vertical="center"/>
      <protection hidden="1"/>
    </xf>
    <xf numFmtId="0" fontId="47" fillId="3" borderId="68" xfId="0" applyFont="1" applyFill="1" applyBorder="1" applyAlignment="1" applyProtection="1">
      <alignment horizontal="center" vertical="center"/>
      <protection hidden="1"/>
    </xf>
    <xf numFmtId="0" fontId="14" fillId="7" borderId="15" xfId="0" applyFont="1" applyFill="1" applyBorder="1" applyAlignment="1" applyProtection="1">
      <alignment horizontal="center" vertical="center"/>
      <protection hidden="1"/>
    </xf>
    <xf numFmtId="0" fontId="55" fillId="0" borderId="11" xfId="0" applyFont="1" applyFill="1" applyBorder="1" applyAlignment="1" applyProtection="1">
      <alignment vertical="center"/>
      <protection locked="0"/>
    </xf>
    <xf numFmtId="0" fontId="50" fillId="0" borderId="0" xfId="0" applyFont="1" applyFill="1" applyBorder="1" applyAlignment="1" applyProtection="1">
      <alignment vertical="center"/>
      <protection locked="0"/>
    </xf>
    <xf numFmtId="0" fontId="62" fillId="3" borderId="0" xfId="0" applyFont="1" applyFill="1" applyBorder="1" applyAlignment="1" applyProtection="1">
      <alignment vertical="center"/>
      <protection hidden="1"/>
    </xf>
    <xf numFmtId="0" fontId="78" fillId="3" borderId="0" xfId="0" applyFont="1" applyFill="1" applyAlignment="1" applyProtection="1">
      <alignment vertical="center"/>
      <protection hidden="1"/>
    </xf>
    <xf numFmtId="0" fontId="78" fillId="3" borderId="0" xfId="0" applyFont="1" applyFill="1" applyAlignment="1" applyProtection="1">
      <alignment horizontal="center" vertical="center"/>
      <protection hidden="1"/>
    </xf>
    <xf numFmtId="0" fontId="78" fillId="7" borderId="0" xfId="0" applyFont="1" applyFill="1" applyAlignment="1" applyProtection="1">
      <alignment vertical="center"/>
      <protection locked="0"/>
    </xf>
    <xf numFmtId="0" fontId="78" fillId="0" borderId="0" xfId="0" applyFont="1" applyFill="1" applyAlignment="1" applyProtection="1">
      <alignment vertical="center"/>
      <protection locked="0"/>
    </xf>
    <xf numFmtId="0" fontId="17" fillId="3" borderId="15" xfId="0" applyFont="1" applyFill="1" applyBorder="1" applyAlignment="1" applyProtection="1">
      <alignment horizontal="left" vertical="center"/>
      <protection hidden="1"/>
    </xf>
    <xf numFmtId="0" fontId="50" fillId="3" borderId="0" xfId="0" applyFont="1" applyFill="1" applyBorder="1" applyAlignment="1" applyProtection="1">
      <alignment vertical="center"/>
      <protection hidden="1"/>
    </xf>
    <xf numFmtId="0" fontId="32" fillId="3" borderId="0" xfId="0" applyFont="1" applyFill="1" applyBorder="1" applyAlignment="1" applyProtection="1">
      <alignment vertical="center"/>
      <protection hidden="1"/>
    </xf>
    <xf numFmtId="0" fontId="80" fillId="3" borderId="0" xfId="0" applyFont="1" applyFill="1" applyAlignment="1" applyProtection="1">
      <alignment vertical="center"/>
      <protection hidden="1"/>
    </xf>
    <xf numFmtId="0" fontId="50" fillId="3" borderId="0" xfId="0" applyFont="1" applyFill="1" applyBorder="1" applyAlignment="1" applyProtection="1">
      <alignment horizontal="center" vertical="center"/>
      <protection hidden="1"/>
    </xf>
    <xf numFmtId="0" fontId="50" fillId="3" borderId="0" xfId="0" applyFont="1" applyFill="1" applyBorder="1" applyAlignment="1" applyProtection="1">
      <alignment horizontal="left" vertical="center" wrapText="1"/>
      <protection hidden="1"/>
    </xf>
    <xf numFmtId="0" fontId="81" fillId="2" borderId="0" xfId="0" applyFont="1" applyFill="1" applyAlignment="1" applyProtection="1">
      <alignment vertical="center"/>
      <protection hidden="1"/>
    </xf>
    <xf numFmtId="0" fontId="16" fillId="2" borderId="0" xfId="0" applyFont="1" applyFill="1" applyAlignment="1" applyProtection="1">
      <alignment vertical="center"/>
      <protection hidden="1"/>
    </xf>
    <xf numFmtId="0" fontId="50" fillId="3" borderId="0" xfId="0" applyFont="1" applyFill="1" applyBorder="1" applyAlignment="1" applyProtection="1">
      <alignment horizontal="left" vertical="center"/>
      <protection hidden="1"/>
    </xf>
    <xf numFmtId="0" fontId="16" fillId="3" borderId="15" xfId="0" applyFont="1" applyFill="1" applyBorder="1" applyAlignment="1" applyProtection="1">
      <alignment horizontal="center" vertical="center"/>
      <protection hidden="1"/>
    </xf>
    <xf numFmtId="0" fontId="16" fillId="3" borderId="15" xfId="0" applyFont="1" applyFill="1" applyBorder="1" applyAlignment="1" applyProtection="1">
      <alignment horizontal="left" vertical="center"/>
      <protection hidden="1"/>
    </xf>
    <xf numFmtId="0" fontId="26" fillId="2" borderId="0" xfId="0" applyFont="1" applyFill="1" applyBorder="1" applyAlignment="1" applyProtection="1">
      <alignment horizontal="center" vertical="center"/>
      <protection locked="0"/>
    </xf>
    <xf numFmtId="0" fontId="21" fillId="8" borderId="0" xfId="0" applyFont="1" applyFill="1" applyBorder="1" applyAlignment="1" applyProtection="1">
      <alignment horizontal="left" vertical="center"/>
      <protection hidden="1"/>
    </xf>
    <xf numFmtId="0" fontId="12" fillId="0" borderId="0" xfId="0" applyFont="1" applyFill="1" applyAlignment="1" applyProtection="1">
      <alignment vertical="center"/>
      <protection locked="0"/>
    </xf>
    <xf numFmtId="0" fontId="35" fillId="3" borderId="60" xfId="0" applyFont="1" applyFill="1" applyBorder="1" applyAlignment="1" applyProtection="1">
      <alignment vertical="center"/>
      <protection hidden="1"/>
    </xf>
    <xf numFmtId="0" fontId="35" fillId="3" borderId="7" xfId="0" applyFont="1" applyFill="1" applyBorder="1" applyAlignment="1" applyProtection="1">
      <alignment horizontal="center" vertical="center"/>
      <protection hidden="1"/>
    </xf>
    <xf numFmtId="0" fontId="55" fillId="3" borderId="0" xfId="0" applyFont="1" applyFill="1" applyAlignment="1" applyProtection="1">
      <alignment horizontal="right" vertical="center"/>
      <protection hidden="1"/>
    </xf>
    <xf numFmtId="0" fontId="47" fillId="3" borderId="0" xfId="0" applyFont="1" applyFill="1" applyBorder="1" applyAlignment="1" applyProtection="1">
      <alignment horizontal="center" vertical="center"/>
      <protection hidden="1"/>
    </xf>
    <xf numFmtId="0" fontId="50" fillId="3" borderId="0" xfId="0" applyFont="1" applyFill="1" applyAlignment="1" applyProtection="1">
      <alignment horizontal="left" vertical="center"/>
      <protection hidden="1"/>
    </xf>
    <xf numFmtId="1" fontId="32" fillId="3" borderId="0" xfId="0" applyNumberFormat="1" applyFont="1" applyFill="1" applyBorder="1" applyAlignment="1" applyProtection="1">
      <alignment horizontal="left" vertical="center"/>
      <protection hidden="1"/>
    </xf>
    <xf numFmtId="0" fontId="35" fillId="3" borderId="30" xfId="0" applyFont="1" applyFill="1" applyBorder="1" applyAlignment="1" applyProtection="1">
      <alignment horizontal="center" vertical="center" wrapText="1"/>
      <protection hidden="1"/>
    </xf>
    <xf numFmtId="0" fontId="32" fillId="3" borderId="16" xfId="0" applyFont="1" applyFill="1" applyBorder="1" applyAlignment="1" applyProtection="1">
      <alignment horizontal="center" vertical="center"/>
      <protection hidden="1"/>
    </xf>
    <xf numFmtId="0" fontId="32" fillId="3" borderId="66" xfId="0" applyFont="1" applyFill="1" applyBorder="1" applyAlignment="1" applyProtection="1">
      <alignment horizontal="center" vertical="center"/>
      <protection hidden="1"/>
    </xf>
    <xf numFmtId="0" fontId="35" fillId="3" borderId="16" xfId="0" applyFont="1" applyFill="1" applyBorder="1" applyAlignment="1" applyProtection="1">
      <alignment horizontal="center" vertical="center"/>
      <protection hidden="1"/>
    </xf>
    <xf numFmtId="0" fontId="32" fillId="3" borderId="7" xfId="0" applyFont="1" applyFill="1" applyBorder="1" applyAlignment="1" applyProtection="1">
      <alignment horizontal="left" vertical="center"/>
      <protection hidden="1"/>
    </xf>
    <xf numFmtId="0" fontId="14" fillId="7" borderId="63" xfId="0" applyFont="1" applyFill="1" applyBorder="1" applyAlignment="1" applyProtection="1">
      <alignment horizontal="center" vertical="center"/>
      <protection hidden="1"/>
    </xf>
    <xf numFmtId="0" fontId="34" fillId="3" borderId="11" xfId="0" applyFont="1" applyFill="1" applyBorder="1" applyAlignment="1" applyProtection="1">
      <alignment vertical="center"/>
      <protection hidden="1"/>
    </xf>
    <xf numFmtId="0" fontId="76" fillId="3" borderId="76" xfId="0" applyFont="1" applyFill="1" applyBorder="1" applyAlignment="1" applyProtection="1">
      <alignment vertical="center"/>
      <protection hidden="1"/>
    </xf>
    <xf numFmtId="0" fontId="55" fillId="3" borderId="76" xfId="0" applyFont="1" applyFill="1" applyBorder="1" applyAlignment="1" applyProtection="1">
      <alignment vertical="center"/>
      <protection hidden="1"/>
    </xf>
    <xf numFmtId="0" fontId="47" fillId="3" borderId="76" xfId="0" applyFont="1" applyFill="1" applyBorder="1" applyAlignment="1" applyProtection="1">
      <alignment horizontal="center" vertical="center"/>
      <protection hidden="1"/>
    </xf>
    <xf numFmtId="0" fontId="55" fillId="0" borderId="76" xfId="0" applyFont="1" applyFill="1" applyBorder="1" applyAlignment="1" applyProtection="1">
      <alignment vertical="center"/>
      <protection hidden="1"/>
    </xf>
    <xf numFmtId="0" fontId="56" fillId="3" borderId="76" xfId="0" applyFont="1" applyFill="1" applyBorder="1" applyAlignment="1" applyProtection="1">
      <alignment horizontal="left" vertical="center"/>
      <protection hidden="1"/>
    </xf>
    <xf numFmtId="0" fontId="34" fillId="3" borderId="76" xfId="0" applyFont="1" applyFill="1" applyBorder="1" applyAlignment="1" applyProtection="1">
      <alignment vertical="center"/>
      <protection hidden="1"/>
    </xf>
    <xf numFmtId="0" fontId="71" fillId="8" borderId="63" xfId="0" applyFont="1" applyFill="1" applyBorder="1" applyAlignment="1" applyProtection="1">
      <alignment horizontal="left" vertical="center"/>
      <protection hidden="1"/>
    </xf>
    <xf numFmtId="0" fontId="16" fillId="3" borderId="63" xfId="0" quotePrefix="1" applyFont="1" applyFill="1" applyBorder="1" applyAlignment="1" applyProtection="1">
      <alignment vertical="center" shrinkToFit="1"/>
      <protection hidden="1"/>
    </xf>
    <xf numFmtId="0" fontId="15" fillId="7" borderId="15" xfId="0" applyFont="1" applyFill="1" applyBorder="1" applyAlignment="1" applyProtection="1">
      <alignment horizontal="left" vertical="center"/>
      <protection hidden="1"/>
    </xf>
    <xf numFmtId="0" fontId="80" fillId="3" borderId="0" xfId="0" applyFont="1" applyFill="1" applyBorder="1" applyAlignment="1" applyProtection="1">
      <alignment vertical="center"/>
      <protection hidden="1"/>
    </xf>
    <xf numFmtId="0" fontId="80" fillId="0" borderId="76" xfId="0" applyFont="1" applyFill="1" applyBorder="1" applyAlignment="1" applyProtection="1">
      <alignment vertical="center"/>
      <protection locked="0"/>
    </xf>
    <xf numFmtId="0" fontId="50" fillId="3" borderId="76" xfId="0" applyFont="1" applyFill="1" applyBorder="1" applyAlignment="1" applyProtection="1">
      <alignment vertical="center"/>
      <protection hidden="1"/>
    </xf>
    <xf numFmtId="0" fontId="62" fillId="3" borderId="76" xfId="0" applyFont="1" applyFill="1" applyBorder="1" applyAlignment="1" applyProtection="1">
      <alignment vertical="center"/>
      <protection hidden="1"/>
    </xf>
    <xf numFmtId="0" fontId="62" fillId="3" borderId="76" xfId="0" applyFont="1" applyFill="1" applyBorder="1" applyAlignment="1" applyProtection="1">
      <alignment horizontal="center" vertical="center"/>
      <protection hidden="1"/>
    </xf>
    <xf numFmtId="0" fontId="50" fillId="3" borderId="76" xfId="0" applyFont="1" applyFill="1" applyBorder="1" applyAlignment="1" applyProtection="1">
      <alignment horizontal="left" vertical="center"/>
      <protection hidden="1"/>
    </xf>
    <xf numFmtId="1" fontId="50" fillId="3" borderId="76" xfId="0" applyNumberFormat="1" applyFont="1" applyFill="1" applyBorder="1" applyAlignment="1" applyProtection="1">
      <alignment horizontal="left" vertical="center"/>
      <protection hidden="1"/>
    </xf>
    <xf numFmtId="0" fontId="50" fillId="0" borderId="76" xfId="0" applyFont="1" applyFill="1" applyBorder="1" applyAlignment="1" applyProtection="1">
      <alignment vertical="center"/>
      <protection locked="0"/>
    </xf>
    <xf numFmtId="0" fontId="16" fillId="3" borderId="0" xfId="0" quotePrefix="1" applyFont="1" applyFill="1" applyBorder="1" applyAlignment="1" applyProtection="1">
      <alignment vertical="center" shrinkToFit="1"/>
      <protection hidden="1"/>
    </xf>
    <xf numFmtId="0" fontId="26" fillId="2" borderId="0" xfId="0" applyFont="1" applyFill="1" applyBorder="1" applyAlignment="1" applyProtection="1">
      <alignment vertical="center"/>
      <protection locked="0"/>
    </xf>
    <xf numFmtId="0" fontId="13" fillId="4" borderId="75" xfId="0" quotePrefix="1" applyFont="1" applyFill="1" applyBorder="1"/>
    <xf numFmtId="0" fontId="17" fillId="4" borderId="0" xfId="0" applyFont="1" applyFill="1" applyBorder="1" applyAlignment="1">
      <alignment vertical="center" wrapText="1"/>
    </xf>
    <xf numFmtId="0" fontId="17" fillId="4" borderId="0" xfId="0" applyFont="1" applyFill="1" applyBorder="1"/>
    <xf numFmtId="0" fontId="13" fillId="4" borderId="0" xfId="0" quotePrefix="1" applyFont="1" applyFill="1" applyBorder="1"/>
    <xf numFmtId="0" fontId="16" fillId="4" borderId="0" xfId="0" quotePrefix="1" applyFont="1" applyFill="1" applyBorder="1"/>
    <xf numFmtId="0" fontId="16" fillId="4" borderId="0" xfId="0" applyFont="1" applyFill="1" applyBorder="1" applyAlignment="1" applyProtection="1">
      <alignment horizontal="left" vertical="center"/>
      <protection locked="0"/>
    </xf>
    <xf numFmtId="0" fontId="34" fillId="3" borderId="0" xfId="0" applyFont="1" applyFill="1" applyAlignment="1" applyProtection="1">
      <alignment horizontal="left" vertical="top"/>
      <protection hidden="1"/>
    </xf>
    <xf numFmtId="0" fontId="83" fillId="0" borderId="74" xfId="5" applyFont="1" applyFill="1" applyBorder="1" applyAlignment="1">
      <alignment horizontal="left" vertical="center" wrapText="1"/>
    </xf>
    <xf numFmtId="0" fontId="58" fillId="3" borderId="0" xfId="0" applyFont="1" applyFill="1" applyAlignment="1" applyProtection="1">
      <alignment horizontal="center" vertical="center"/>
      <protection hidden="1"/>
    </xf>
    <xf numFmtId="0" fontId="58" fillId="3" borderId="61" xfId="0" applyFont="1" applyFill="1" applyBorder="1" applyAlignment="1" applyProtection="1">
      <alignment horizontal="center" vertical="top" wrapText="1"/>
      <protection hidden="1"/>
    </xf>
    <xf numFmtId="0" fontId="1" fillId="0" borderId="0" xfId="0" applyFont="1" applyAlignment="1" applyProtection="1">
      <alignment horizontal="center" vertical="center"/>
      <protection hidden="1"/>
    </xf>
    <xf numFmtId="0" fontId="1" fillId="0" borderId="0" xfId="0" applyFont="1" applyAlignment="1" applyProtection="1">
      <alignment horizontal="right" vertical="center"/>
      <protection hidden="1"/>
    </xf>
    <xf numFmtId="0" fontId="1" fillId="0" borderId="0" xfId="0" applyFont="1" applyAlignment="1" applyProtection="1">
      <alignment horizontal="left" vertical="center"/>
      <protection hidden="1"/>
    </xf>
    <xf numFmtId="0" fontId="1" fillId="0" borderId="0" xfId="0" applyFont="1" applyAlignment="1" applyProtection="1">
      <alignment vertical="center"/>
      <protection hidden="1"/>
    </xf>
    <xf numFmtId="0" fontId="84" fillId="0" borderId="15" xfId="0" applyFont="1" applyFill="1" applyBorder="1" applyAlignment="1" applyProtection="1">
      <alignment horizontal="center" vertical="center"/>
      <protection hidden="1"/>
    </xf>
    <xf numFmtId="49" fontId="1" fillId="0" borderId="0" xfId="0" applyNumberFormat="1" applyFont="1" applyAlignment="1" applyProtection="1">
      <alignment horizontal="center" vertical="center"/>
      <protection hidden="1"/>
    </xf>
    <xf numFmtId="0" fontId="1" fillId="0" borderId="0" xfId="0" applyFont="1" applyAlignment="1" applyProtection="1">
      <alignment horizontal="left" vertical="center" shrinkToFit="1"/>
      <protection hidden="1"/>
    </xf>
    <xf numFmtId="0" fontId="17" fillId="0" borderId="63" xfId="0" applyFont="1" applyFill="1" applyBorder="1" applyAlignment="1" applyProtection="1">
      <alignment horizontal="left" vertical="top"/>
      <protection hidden="1"/>
    </xf>
    <xf numFmtId="0" fontId="17" fillId="0" borderId="15" xfId="0" applyFont="1" applyFill="1" applyBorder="1" applyAlignment="1" applyProtection="1">
      <alignment horizontal="left" vertical="top"/>
      <protection hidden="1"/>
    </xf>
    <xf numFmtId="0" fontId="1" fillId="0" borderId="0" xfId="0" applyFont="1" applyAlignment="1" applyProtection="1">
      <alignment horizontal="center" vertical="center" shrinkToFit="1"/>
      <protection hidden="1"/>
    </xf>
    <xf numFmtId="0" fontId="1" fillId="0" borderId="0" xfId="0" applyFont="1" applyAlignment="1" applyProtection="1">
      <alignment horizontal="left" vertical="center" wrapText="1"/>
      <protection hidden="1"/>
    </xf>
    <xf numFmtId="49" fontId="17" fillId="0" borderId="74" xfId="4" quotePrefix="1" applyNumberFormat="1" applyFont="1" applyBorder="1" applyAlignment="1">
      <alignment horizontal="center" vertical="center"/>
    </xf>
    <xf numFmtId="164" fontId="13" fillId="0" borderId="51" xfId="0" applyNumberFormat="1" applyFont="1" applyBorder="1" applyAlignment="1" applyProtection="1">
      <alignment horizontal="center" vertical="center"/>
      <protection hidden="1"/>
    </xf>
    <xf numFmtId="164" fontId="13" fillId="0" borderId="45" xfId="0" applyNumberFormat="1" applyFont="1" applyBorder="1" applyAlignment="1" applyProtection="1">
      <alignment horizontal="center" vertical="center"/>
      <protection hidden="1"/>
    </xf>
    <xf numFmtId="0" fontId="58" fillId="3" borderId="63" xfId="0" applyFont="1" applyFill="1" applyBorder="1" applyAlignment="1" applyProtection="1">
      <alignment vertical="center" wrapText="1"/>
      <protection hidden="1"/>
    </xf>
    <xf numFmtId="0" fontId="58" fillId="3" borderId="28" xfId="0" applyFont="1" applyFill="1" applyBorder="1" applyAlignment="1" applyProtection="1">
      <alignment horizontal="right" vertical="center" wrapText="1"/>
      <protection hidden="1"/>
    </xf>
    <xf numFmtId="0" fontId="58" fillId="3" borderId="28" xfId="0" applyFont="1" applyFill="1" applyBorder="1" applyAlignment="1" applyProtection="1">
      <alignment vertical="center" wrapText="1"/>
      <protection hidden="1"/>
    </xf>
    <xf numFmtId="0" fontId="58" fillId="3" borderId="28" xfId="0" applyFont="1" applyFill="1" applyBorder="1" applyAlignment="1" applyProtection="1">
      <alignment horizontal="center" vertical="center"/>
      <protection hidden="1"/>
    </xf>
    <xf numFmtId="0" fontId="58" fillId="3" borderId="81" xfId="0" applyFont="1" applyFill="1" applyBorder="1" applyAlignment="1" applyProtection="1">
      <alignment vertical="center" wrapText="1"/>
      <protection hidden="1"/>
    </xf>
    <xf numFmtId="0" fontId="13" fillId="3" borderId="0" xfId="0" applyFont="1" applyFill="1" applyProtection="1"/>
    <xf numFmtId="0" fontId="13" fillId="7" borderId="15" xfId="0" applyFont="1" applyFill="1" applyBorder="1" applyAlignment="1" applyProtection="1">
      <alignment horizontal="center" vertical="center"/>
    </xf>
    <xf numFmtId="1" fontId="13" fillId="0" borderId="74" xfId="0" applyNumberFormat="1" applyFont="1" applyFill="1" applyBorder="1" applyAlignment="1" applyProtection="1">
      <alignment horizontal="center" vertical="center"/>
    </xf>
    <xf numFmtId="49" fontId="13" fillId="0" borderId="74" xfId="0" quotePrefix="1" applyNumberFormat="1" applyFont="1" applyFill="1" applyBorder="1" applyAlignment="1" applyProtection="1">
      <alignment horizontal="center"/>
    </xf>
    <xf numFmtId="49" fontId="13" fillId="0" borderId="15" xfId="0" quotePrefix="1" applyNumberFormat="1" applyFont="1" applyFill="1" applyBorder="1" applyAlignment="1" applyProtection="1">
      <alignment horizontal="center"/>
    </xf>
    <xf numFmtId="1" fontId="13" fillId="0" borderId="15" xfId="0" applyNumberFormat="1" applyFont="1" applyFill="1" applyBorder="1" applyAlignment="1" applyProtection="1">
      <alignment horizontal="center" vertical="center"/>
    </xf>
    <xf numFmtId="49" fontId="13" fillId="0" borderId="15" xfId="0" applyNumberFormat="1" applyFont="1" applyFill="1" applyBorder="1" applyAlignment="1" applyProtection="1">
      <alignment horizontal="center"/>
    </xf>
    <xf numFmtId="0" fontId="13" fillId="0" borderId="15" xfId="0" applyFont="1" applyFill="1" applyBorder="1" applyAlignment="1" applyProtection="1">
      <alignment horizontal="center" vertical="center"/>
    </xf>
    <xf numFmtId="0" fontId="13" fillId="0" borderId="0" xfId="0" applyFont="1" applyFill="1" applyBorder="1" applyAlignment="1" applyProtection="1">
      <alignment horizontal="center" vertical="center"/>
    </xf>
    <xf numFmtId="49" fontId="13" fillId="0" borderId="0" xfId="0" applyNumberFormat="1" applyFont="1" applyFill="1" applyBorder="1" applyAlignment="1" applyProtection="1">
      <alignment horizontal="center"/>
    </xf>
    <xf numFmtId="0" fontId="70" fillId="2" borderId="0" xfId="1" applyFont="1" applyFill="1" applyBorder="1" applyAlignment="1" applyProtection="1">
      <protection locked="0"/>
    </xf>
    <xf numFmtId="0" fontId="14" fillId="7" borderId="15" xfId="0" applyFont="1" applyFill="1" applyBorder="1" applyAlignment="1" applyProtection="1">
      <alignment horizontal="center" vertical="center"/>
      <protection locked="0"/>
    </xf>
    <xf numFmtId="0" fontId="13" fillId="7" borderId="15" xfId="0" applyFont="1" applyFill="1" applyBorder="1" applyAlignment="1" applyProtection="1">
      <alignment horizontal="center" vertical="center"/>
      <protection locked="0"/>
    </xf>
    <xf numFmtId="0" fontId="13" fillId="7" borderId="15" xfId="0" applyFont="1" applyFill="1" applyBorder="1" applyAlignment="1" applyProtection="1">
      <alignment horizontal="center" vertical="center" wrapText="1"/>
      <protection locked="0"/>
    </xf>
    <xf numFmtId="0" fontId="13" fillId="5" borderId="15" xfId="0" applyFont="1" applyFill="1" applyBorder="1" applyAlignment="1" applyProtection="1">
      <alignment horizontal="center" vertical="center"/>
      <protection locked="0"/>
    </xf>
    <xf numFmtId="0" fontId="13" fillId="5" borderId="63" xfId="0" applyFont="1" applyFill="1" applyBorder="1" applyAlignment="1" applyProtection="1">
      <alignment horizontal="center" vertical="center"/>
      <protection locked="0"/>
    </xf>
    <xf numFmtId="0" fontId="13" fillId="3" borderId="15" xfId="0" applyFont="1" applyFill="1" applyBorder="1" applyAlignment="1" applyProtection="1">
      <alignment horizontal="center" vertical="center"/>
      <protection locked="0"/>
    </xf>
    <xf numFmtId="1" fontId="71" fillId="0" borderId="15" xfId="0" applyNumberFormat="1" applyFont="1" applyFill="1" applyBorder="1" applyAlignment="1" applyProtection="1">
      <alignment horizontal="left" vertical="center" shrinkToFit="1"/>
      <protection locked="0"/>
    </xf>
    <xf numFmtId="0" fontId="16" fillId="0" borderId="63" xfId="0" applyFont="1" applyFill="1" applyBorder="1" applyAlignment="1" applyProtection="1">
      <alignment horizontal="left" vertical="center" shrinkToFit="1"/>
      <protection locked="0"/>
    </xf>
    <xf numFmtId="1" fontId="71" fillId="0" borderId="63" xfId="0" applyNumberFormat="1" applyFont="1" applyFill="1" applyBorder="1" applyAlignment="1" applyProtection="1">
      <alignment horizontal="left" vertical="center" shrinkToFit="1"/>
      <protection locked="0"/>
    </xf>
    <xf numFmtId="0" fontId="29" fillId="2" borderId="0" xfId="0" applyFont="1" applyFill="1" applyBorder="1" applyAlignment="1" applyProtection="1">
      <alignment vertical="center"/>
      <protection locked="0"/>
    </xf>
    <xf numFmtId="0" fontId="13" fillId="3" borderId="0" xfId="0" applyFont="1" applyFill="1" applyBorder="1" applyAlignment="1" applyProtection="1">
      <alignment horizontal="center" vertical="center"/>
      <protection locked="0"/>
    </xf>
    <xf numFmtId="0" fontId="13" fillId="3" borderId="0" xfId="0" applyFont="1" applyFill="1" applyBorder="1" applyAlignment="1" applyProtection="1">
      <alignment horizontal="left" vertical="center"/>
      <protection locked="0"/>
    </xf>
    <xf numFmtId="0" fontId="12" fillId="3" borderId="0" xfId="0" applyFont="1" applyFill="1" applyBorder="1" applyAlignment="1" applyProtection="1">
      <alignment horizontal="left" vertical="center"/>
      <protection locked="0"/>
    </xf>
    <xf numFmtId="0" fontId="17" fillId="3" borderId="0" xfId="0" applyFont="1" applyFill="1" applyBorder="1" applyAlignment="1" applyProtection="1">
      <alignment horizontal="left" vertical="center"/>
      <protection locked="0"/>
    </xf>
    <xf numFmtId="0" fontId="16" fillId="5" borderId="15" xfId="0" applyFont="1" applyFill="1" applyBorder="1" applyAlignment="1" applyProtection="1">
      <alignment horizontal="center" vertical="center"/>
      <protection locked="0"/>
    </xf>
    <xf numFmtId="0" fontId="17" fillId="3" borderId="15" xfId="0" applyFont="1" applyFill="1" applyBorder="1" applyAlignment="1" applyProtection="1">
      <alignment horizontal="left" vertical="center"/>
      <protection locked="0"/>
    </xf>
    <xf numFmtId="0" fontId="32" fillId="3" borderId="3" xfId="0" applyFont="1" applyFill="1" applyBorder="1" applyAlignment="1" applyProtection="1">
      <alignment horizontal="center" vertical="center"/>
      <protection hidden="1"/>
    </xf>
    <xf numFmtId="0" fontId="35" fillId="3" borderId="2" xfId="0" applyFont="1" applyFill="1" applyBorder="1" applyAlignment="1" applyProtection="1">
      <alignment horizontal="center" vertical="center"/>
      <protection hidden="1"/>
    </xf>
    <xf numFmtId="0" fontId="35" fillId="3" borderId="8" xfId="0" applyFont="1" applyFill="1" applyBorder="1" applyAlignment="1" applyProtection="1">
      <alignment vertical="center"/>
      <protection hidden="1"/>
    </xf>
    <xf numFmtId="0" fontId="47" fillId="3" borderId="10" xfId="0" applyFont="1" applyFill="1" applyBorder="1" applyAlignment="1" applyProtection="1">
      <alignment vertical="center"/>
      <protection hidden="1"/>
    </xf>
    <xf numFmtId="0" fontId="32" fillId="3" borderId="4" xfId="0" applyFont="1" applyFill="1" applyBorder="1" applyAlignment="1" applyProtection="1">
      <alignment horizontal="center" vertical="center"/>
      <protection hidden="1"/>
    </xf>
    <xf numFmtId="0" fontId="32" fillId="3" borderId="78" xfId="0" applyNumberFormat="1" applyFont="1" applyFill="1" applyBorder="1" applyAlignment="1" applyProtection="1">
      <alignment vertical="center"/>
      <protection hidden="1"/>
    </xf>
    <xf numFmtId="0" fontId="32" fillId="3" borderId="76" xfId="0" applyNumberFormat="1" applyFont="1" applyFill="1" applyBorder="1" applyAlignment="1" applyProtection="1">
      <alignment vertical="center"/>
      <protection hidden="1"/>
    </xf>
    <xf numFmtId="0" fontId="32" fillId="3" borderId="78" xfId="0" applyFont="1" applyFill="1" applyBorder="1" applyAlignment="1" applyProtection="1">
      <alignment horizontal="center" vertical="center"/>
      <protection hidden="1"/>
    </xf>
    <xf numFmtId="0" fontId="32" fillId="3" borderId="1" xfId="0" applyFont="1" applyFill="1" applyBorder="1" applyAlignment="1" applyProtection="1">
      <alignment horizontal="center" vertical="center"/>
      <protection hidden="1"/>
    </xf>
    <xf numFmtId="1" fontId="47" fillId="3" borderId="1" xfId="0" applyNumberFormat="1" applyFont="1" applyFill="1" applyBorder="1" applyAlignment="1" applyProtection="1">
      <alignment horizontal="center" vertical="center" shrinkToFit="1"/>
      <protection hidden="1"/>
    </xf>
    <xf numFmtId="1" fontId="47" fillId="3" borderId="1" xfId="0" applyNumberFormat="1" applyFont="1" applyFill="1" applyBorder="1" applyAlignment="1" applyProtection="1">
      <alignment horizontal="center" vertical="center"/>
      <protection hidden="1"/>
    </xf>
    <xf numFmtId="0" fontId="32" fillId="3" borderId="2" xfId="0" applyNumberFormat="1" applyFont="1" applyFill="1" applyBorder="1" applyAlignment="1" applyProtection="1">
      <alignment vertical="center"/>
      <protection hidden="1"/>
    </xf>
    <xf numFmtId="0" fontId="32" fillId="3" borderId="7" xfId="0" applyNumberFormat="1" applyFont="1" applyFill="1" applyBorder="1" applyAlignment="1" applyProtection="1">
      <alignment vertical="center"/>
      <protection hidden="1"/>
    </xf>
    <xf numFmtId="0" fontId="58" fillId="3" borderId="60" xfId="0" applyFont="1" applyFill="1" applyBorder="1" applyAlignment="1" applyProtection="1">
      <alignment horizontal="center" vertical="center" wrapText="1" shrinkToFit="1"/>
      <protection hidden="1"/>
    </xf>
    <xf numFmtId="0" fontId="35" fillId="3" borderId="62" xfId="0" applyFont="1" applyFill="1" applyBorder="1" applyAlignment="1" applyProtection="1">
      <alignment horizontal="center" vertical="center"/>
      <protection hidden="1"/>
    </xf>
    <xf numFmtId="1" fontId="35" fillId="3" borderId="1" xfId="0" applyNumberFormat="1" applyFont="1" applyFill="1" applyBorder="1" applyAlignment="1" applyProtection="1">
      <alignment horizontal="center" vertical="center"/>
      <protection hidden="1"/>
    </xf>
    <xf numFmtId="1" fontId="32" fillId="3" borderId="1" xfId="0" applyNumberFormat="1" applyFont="1" applyFill="1" applyBorder="1" applyAlignment="1" applyProtection="1">
      <alignment horizontal="center" vertical="center"/>
      <protection hidden="1"/>
    </xf>
    <xf numFmtId="0" fontId="82" fillId="3" borderId="1" xfId="0" applyFont="1" applyFill="1" applyBorder="1" applyAlignment="1" applyProtection="1">
      <alignment horizontal="center" vertical="center" wrapText="1" shrinkToFit="1"/>
      <protection hidden="1"/>
    </xf>
    <xf numFmtId="1" fontId="35" fillId="3" borderId="1" xfId="0" applyNumberFormat="1" applyFont="1" applyFill="1" applyBorder="1" applyAlignment="1" applyProtection="1">
      <alignment horizontal="center" vertical="center" shrinkToFit="1"/>
      <protection hidden="1"/>
    </xf>
    <xf numFmtId="1" fontId="32" fillId="3" borderId="1" xfId="0" applyNumberFormat="1" applyFont="1" applyFill="1" applyBorder="1" applyAlignment="1" applyProtection="1">
      <alignment horizontal="center" vertical="center" shrinkToFit="1"/>
      <protection hidden="1"/>
    </xf>
    <xf numFmtId="0" fontId="16" fillId="0" borderId="0" xfId="0" applyFont="1" applyFill="1" applyAlignment="1">
      <alignment vertical="center"/>
    </xf>
    <xf numFmtId="49" fontId="17" fillId="0" borderId="1" xfId="4" applyNumberFormat="1" applyFont="1" applyBorder="1" applyAlignment="1">
      <alignment horizontal="center" vertical="center"/>
    </xf>
    <xf numFmtId="0" fontId="86" fillId="0" borderId="1" xfId="0" applyFont="1" applyFill="1" applyBorder="1" applyAlignment="1">
      <alignment vertical="center"/>
    </xf>
    <xf numFmtId="0" fontId="86" fillId="3" borderId="1" xfId="3" applyFont="1" applyFill="1" applyBorder="1" applyAlignment="1">
      <alignment vertical="center"/>
    </xf>
    <xf numFmtId="0" fontId="86" fillId="11" borderId="1" xfId="0" applyFont="1" applyFill="1" applyBorder="1" applyAlignment="1">
      <alignment vertical="center"/>
    </xf>
    <xf numFmtId="0" fontId="81" fillId="0" borderId="1" xfId="0" applyFont="1" applyFill="1" applyBorder="1" applyAlignment="1">
      <alignment vertical="center"/>
    </xf>
    <xf numFmtId="0" fontId="44" fillId="0" borderId="0" xfId="0" applyFont="1" applyAlignment="1">
      <alignment horizontal="left"/>
    </xf>
    <xf numFmtId="0" fontId="16" fillId="0" borderId="0" xfId="0" applyNumberFormat="1" applyFont="1" applyFill="1" applyAlignment="1" applyProtection="1">
      <alignment horizontal="left" vertical="center"/>
      <protection locked="0"/>
    </xf>
    <xf numFmtId="0" fontId="13" fillId="0" borderId="0" xfId="0" applyFont="1" applyFill="1" applyAlignment="1" applyProtection="1">
      <protection locked="0"/>
    </xf>
    <xf numFmtId="0" fontId="16" fillId="0" borderId="0" xfId="0" applyFont="1" applyFill="1" applyBorder="1" applyProtection="1">
      <protection locked="0"/>
    </xf>
    <xf numFmtId="0" fontId="25" fillId="7" borderId="0" xfId="0" applyFont="1" applyFill="1" applyBorder="1" applyAlignment="1" applyProtection="1">
      <alignment horizontal="center" vertical="center" wrapText="1"/>
      <protection locked="0"/>
    </xf>
    <xf numFmtId="0" fontId="48" fillId="7" borderId="0" xfId="0" applyFont="1" applyFill="1" applyBorder="1" applyAlignment="1" applyProtection="1">
      <alignment horizontal="center" vertical="center" wrapText="1"/>
      <protection locked="0"/>
    </xf>
    <xf numFmtId="0" fontId="25" fillId="7" borderId="0" xfId="0" applyFont="1" applyFill="1" applyBorder="1" applyAlignment="1" applyProtection="1">
      <alignment horizontal="center" vertical="center"/>
      <protection locked="0"/>
    </xf>
    <xf numFmtId="0" fontId="25" fillId="7" borderId="0" xfId="0" quotePrefix="1" applyFont="1" applyFill="1" applyBorder="1" applyAlignment="1" applyProtection="1">
      <alignment horizontal="center" vertical="center"/>
      <protection locked="0"/>
    </xf>
    <xf numFmtId="0" fontId="25" fillId="7" borderId="0" xfId="0" applyFont="1" applyFill="1" applyBorder="1" applyAlignment="1" applyProtection="1">
      <alignment horizontal="center"/>
      <protection locked="0"/>
    </xf>
    <xf numFmtId="0" fontId="21" fillId="3" borderId="53" xfId="0" quotePrefix="1" applyFont="1" applyFill="1" applyBorder="1" applyAlignment="1" applyProtection="1">
      <alignment horizontal="left" vertical="center" wrapText="1"/>
      <protection locked="0"/>
    </xf>
    <xf numFmtId="0" fontId="14" fillId="3" borderId="2" xfId="0" applyFont="1" applyFill="1" applyBorder="1" applyAlignment="1">
      <alignment horizontal="center" vertical="center"/>
    </xf>
    <xf numFmtId="0" fontId="14" fillId="3" borderId="14" xfId="0" applyFont="1" applyFill="1" applyBorder="1" applyAlignment="1">
      <alignment horizontal="center" vertical="center"/>
    </xf>
    <xf numFmtId="0" fontId="64" fillId="3" borderId="58" xfId="0" quotePrefix="1" applyFont="1" applyFill="1" applyBorder="1" applyAlignment="1" applyProtection="1">
      <alignment horizontal="center" vertical="center"/>
      <protection hidden="1"/>
    </xf>
    <xf numFmtId="0" fontId="64" fillId="3" borderId="4" xfId="0" quotePrefix="1" applyFont="1" applyFill="1" applyBorder="1" applyAlignment="1" applyProtection="1">
      <alignment horizontal="center" vertical="center"/>
      <protection hidden="1"/>
    </xf>
    <xf numFmtId="0" fontId="64" fillId="3" borderId="3" xfId="0" quotePrefix="1" applyFont="1" applyFill="1" applyBorder="1" applyAlignment="1" applyProtection="1">
      <alignment horizontal="center" vertical="center"/>
      <protection hidden="1"/>
    </xf>
    <xf numFmtId="0" fontId="64" fillId="3" borderId="59" xfId="0" quotePrefix="1" applyFont="1" applyFill="1" applyBorder="1" applyAlignment="1" applyProtection="1">
      <alignment horizontal="center" vertical="center"/>
      <protection hidden="1"/>
    </xf>
    <xf numFmtId="2" fontId="13" fillId="0" borderId="53" xfId="0" applyNumberFormat="1" applyFont="1" applyBorder="1" applyAlignment="1" applyProtection="1">
      <alignment horizontal="center" vertical="center"/>
      <protection hidden="1"/>
    </xf>
    <xf numFmtId="0" fontId="13" fillId="0" borderId="66" xfId="0" applyFont="1" applyBorder="1" applyAlignment="1" applyProtection="1">
      <alignment horizontal="center" vertical="center"/>
      <protection hidden="1"/>
    </xf>
    <xf numFmtId="0" fontId="13" fillId="0" borderId="1" xfId="0" applyFont="1" applyBorder="1" applyAlignment="1" applyProtection="1">
      <alignment horizontal="center" vertical="center"/>
      <protection hidden="1"/>
    </xf>
    <xf numFmtId="0" fontId="13" fillId="0" borderId="16" xfId="0" applyFont="1" applyBorder="1" applyAlignment="1" applyProtection="1">
      <alignment horizontal="center" vertical="center"/>
      <protection hidden="1"/>
    </xf>
    <xf numFmtId="0" fontId="13" fillId="0" borderId="3" xfId="0" applyFont="1" applyBorder="1" applyAlignment="1" applyProtection="1">
      <alignment horizontal="center" vertical="center"/>
      <protection hidden="1"/>
    </xf>
    <xf numFmtId="0" fontId="13" fillId="0" borderId="6" xfId="0" applyFont="1" applyBorder="1" applyAlignment="1" applyProtection="1">
      <alignment horizontal="center" vertical="center"/>
      <protection hidden="1"/>
    </xf>
    <xf numFmtId="0" fontId="13" fillId="0" borderId="58" xfId="0" applyFont="1" applyBorder="1" applyAlignment="1" applyProtection="1">
      <alignment horizontal="center" vertical="center" shrinkToFit="1"/>
      <protection hidden="1"/>
    </xf>
    <xf numFmtId="0" fontId="13" fillId="0" borderId="4" xfId="0" applyFont="1" applyBorder="1" applyAlignment="1" applyProtection="1">
      <alignment horizontal="center" vertical="center" shrinkToFit="1"/>
      <protection hidden="1"/>
    </xf>
    <xf numFmtId="0" fontId="13" fillId="0" borderId="58" xfId="0" applyFont="1" applyBorder="1" applyAlignment="1" applyProtection="1">
      <alignment vertical="center" wrapText="1" shrinkToFit="1"/>
      <protection hidden="1"/>
    </xf>
    <xf numFmtId="0" fontId="13" fillId="0" borderId="4" xfId="0" applyFont="1" applyBorder="1" applyAlignment="1" applyProtection="1">
      <alignment vertical="center" wrapText="1" shrinkToFit="1"/>
      <protection hidden="1"/>
    </xf>
    <xf numFmtId="0" fontId="14" fillId="0" borderId="14" xfId="0" applyFont="1" applyBorder="1" applyAlignment="1" applyProtection="1">
      <alignment horizontal="center" vertical="center"/>
    </xf>
    <xf numFmtId="0" fontId="14" fillId="0" borderId="40" xfId="0" applyFont="1" applyBorder="1" applyAlignment="1" applyProtection="1">
      <alignment horizontal="center" vertical="center"/>
    </xf>
    <xf numFmtId="0" fontId="14" fillId="0" borderId="5" xfId="0" applyFont="1" applyBorder="1" applyAlignment="1" applyProtection="1">
      <alignment horizontal="center" vertical="center"/>
    </xf>
    <xf numFmtId="0" fontId="14" fillId="0" borderId="1" xfId="0" applyFont="1" applyBorder="1" applyAlignment="1" applyProtection="1">
      <alignment horizontal="center" vertical="center"/>
    </xf>
    <xf numFmtId="0" fontId="14" fillId="4" borderId="72" xfId="0" applyFont="1" applyFill="1" applyBorder="1" applyAlignment="1" applyProtection="1">
      <alignment horizontal="center" vertical="center" textRotation="255" wrapText="1"/>
      <protection hidden="1"/>
    </xf>
    <xf numFmtId="0" fontId="14" fillId="4" borderId="73" xfId="0" applyFont="1" applyFill="1" applyBorder="1" applyAlignment="1" applyProtection="1">
      <alignment horizontal="center" vertical="center" textRotation="255" wrapText="1"/>
      <protection hidden="1"/>
    </xf>
    <xf numFmtId="0" fontId="20" fillId="0" borderId="43" xfId="0" applyFont="1" applyFill="1" applyBorder="1" applyAlignment="1" applyProtection="1">
      <alignment horizontal="center" vertical="center" shrinkToFit="1"/>
      <protection locked="0"/>
    </xf>
    <xf numFmtId="0" fontId="20" fillId="0" borderId="45" xfId="0" applyFont="1" applyFill="1" applyBorder="1" applyAlignment="1" applyProtection="1">
      <alignment horizontal="center" vertical="center" shrinkToFit="1"/>
      <protection locked="0"/>
    </xf>
    <xf numFmtId="0" fontId="20" fillId="0" borderId="47" xfId="0" applyFont="1" applyFill="1" applyBorder="1" applyAlignment="1" applyProtection="1">
      <alignment horizontal="center" vertical="center" shrinkToFit="1"/>
      <protection locked="0"/>
    </xf>
    <xf numFmtId="0" fontId="14" fillId="0" borderId="43" xfId="0" applyFont="1" applyBorder="1" applyAlignment="1" applyProtection="1">
      <alignment horizontal="center" vertical="center"/>
      <protection locked="0"/>
    </xf>
    <xf numFmtId="0" fontId="14" fillId="0" borderId="45" xfId="0" applyFont="1" applyBorder="1" applyAlignment="1" applyProtection="1">
      <alignment horizontal="center" vertical="center"/>
      <protection locked="0"/>
    </xf>
    <xf numFmtId="0" fontId="14" fillId="0" borderId="47" xfId="0" applyFont="1" applyBorder="1" applyAlignment="1" applyProtection="1">
      <alignment horizontal="center" vertical="center"/>
      <protection locked="0"/>
    </xf>
    <xf numFmtId="0" fontId="14" fillId="0" borderId="17" xfId="0" applyFont="1" applyBorder="1" applyAlignment="1" applyProtection="1">
      <alignment horizontal="center" vertical="center"/>
      <protection locked="0"/>
    </xf>
    <xf numFmtId="0" fontId="14" fillId="0" borderId="19" xfId="0" applyFont="1" applyBorder="1" applyAlignment="1" applyProtection="1">
      <alignment horizontal="center" vertical="center"/>
      <protection locked="0"/>
    </xf>
    <xf numFmtId="0" fontId="14" fillId="0" borderId="20" xfId="0" applyFont="1" applyBorder="1" applyAlignment="1" applyProtection="1">
      <alignment horizontal="center" vertical="center"/>
      <protection locked="0"/>
    </xf>
    <xf numFmtId="0" fontId="14" fillId="0" borderId="44" xfId="0" applyFont="1" applyBorder="1" applyAlignment="1" applyProtection="1">
      <alignment horizontal="center" vertical="center"/>
      <protection locked="0"/>
    </xf>
    <xf numFmtId="0" fontId="14" fillId="0" borderId="46" xfId="0" applyFont="1" applyBorder="1" applyAlignment="1" applyProtection="1">
      <alignment horizontal="center" vertical="center"/>
      <protection locked="0"/>
    </xf>
    <xf numFmtId="0" fontId="14" fillId="0" borderId="48" xfId="0" applyFont="1" applyBorder="1" applyAlignment="1" applyProtection="1">
      <alignment horizontal="center" vertical="center"/>
      <protection locked="0"/>
    </xf>
    <xf numFmtId="0" fontId="14" fillId="4" borderId="38" xfId="0" applyFont="1" applyFill="1" applyBorder="1" applyAlignment="1" applyProtection="1">
      <alignment horizontal="center" vertical="center"/>
    </xf>
    <xf numFmtId="0" fontId="14" fillId="4" borderId="39" xfId="0" applyFont="1" applyFill="1" applyBorder="1" applyAlignment="1" applyProtection="1">
      <alignment horizontal="center" vertical="center"/>
    </xf>
    <xf numFmtId="0" fontId="14" fillId="0" borderId="70" xfId="0" applyFont="1" applyBorder="1" applyAlignment="1" applyProtection="1">
      <alignment horizontal="center" vertical="center"/>
      <protection locked="0"/>
    </xf>
    <xf numFmtId="0" fontId="14" fillId="0" borderId="50" xfId="0" applyFont="1" applyBorder="1" applyAlignment="1" applyProtection="1">
      <alignment horizontal="center" vertical="center"/>
      <protection locked="0"/>
    </xf>
    <xf numFmtId="0" fontId="14" fillId="0" borderId="71" xfId="0" applyFont="1" applyBorder="1" applyAlignment="1" applyProtection="1">
      <alignment horizontal="center" vertical="center"/>
      <protection locked="0"/>
    </xf>
    <xf numFmtId="0" fontId="14" fillId="0" borderId="69" xfId="0" applyFont="1" applyBorder="1" applyAlignment="1" applyProtection="1">
      <alignment horizontal="center" vertical="center"/>
      <protection locked="0"/>
    </xf>
    <xf numFmtId="0" fontId="14" fillId="0" borderId="49" xfId="0" applyFont="1" applyBorder="1" applyAlignment="1" applyProtection="1">
      <alignment horizontal="center" vertical="center"/>
      <protection locked="0"/>
    </xf>
    <xf numFmtId="0" fontId="14" fillId="0" borderId="65" xfId="0" applyFont="1" applyBorder="1" applyAlignment="1" applyProtection="1">
      <alignment horizontal="center" vertical="center"/>
      <protection locked="0"/>
    </xf>
    <xf numFmtId="0" fontId="14" fillId="0" borderId="58" xfId="0" applyFont="1" applyBorder="1" applyAlignment="1" applyProtection="1">
      <alignment horizontal="center" vertical="center"/>
      <protection locked="0"/>
    </xf>
    <xf numFmtId="0" fontId="14" fillId="0" borderId="4" xfId="0" applyFont="1" applyBorder="1" applyAlignment="1" applyProtection="1">
      <alignment horizontal="center" vertical="center"/>
      <protection locked="0"/>
    </xf>
    <xf numFmtId="0" fontId="14" fillId="0" borderId="59" xfId="0" applyFont="1" applyBorder="1" applyAlignment="1" applyProtection="1">
      <alignment horizontal="center" vertical="center"/>
      <protection locked="0"/>
    </xf>
    <xf numFmtId="0" fontId="14" fillId="0" borderId="1" xfId="0" applyFont="1" applyBorder="1" applyAlignment="1" applyProtection="1">
      <alignment horizontal="center" vertical="center"/>
      <protection hidden="1"/>
    </xf>
    <xf numFmtId="0" fontId="14" fillId="0" borderId="6" xfId="0" applyFont="1" applyBorder="1" applyAlignment="1" applyProtection="1">
      <alignment horizontal="center" vertical="center" wrapText="1"/>
      <protection hidden="1"/>
    </xf>
    <xf numFmtId="0" fontId="14" fillId="0" borderId="3" xfId="0" applyFont="1" applyBorder="1" applyAlignment="1" applyProtection="1">
      <alignment horizontal="center" vertical="center" wrapText="1"/>
      <protection hidden="1"/>
    </xf>
    <xf numFmtId="0" fontId="13" fillId="7" borderId="15" xfId="0" applyFont="1" applyFill="1" applyBorder="1" applyAlignment="1" applyProtection="1">
      <alignment horizontal="center" vertical="center"/>
    </xf>
    <xf numFmtId="0" fontId="13" fillId="10" borderId="45" xfId="0" applyFont="1" applyFill="1" applyBorder="1" applyAlignment="1" applyProtection="1">
      <alignment horizontal="center" vertical="center"/>
      <protection hidden="1"/>
    </xf>
    <xf numFmtId="0" fontId="13" fillId="10" borderId="47" xfId="0" applyFont="1" applyFill="1" applyBorder="1" applyAlignment="1" applyProtection="1">
      <alignment horizontal="center" vertical="center"/>
      <protection hidden="1"/>
    </xf>
    <xf numFmtId="0" fontId="21" fillId="3" borderId="59" xfId="0" quotePrefix="1" applyFont="1" applyFill="1" applyBorder="1" applyAlignment="1" applyProtection="1">
      <alignment horizontal="left" vertical="center" wrapText="1"/>
      <protection locked="0"/>
    </xf>
    <xf numFmtId="0" fontId="13" fillId="3" borderId="58" xfId="0" quotePrefix="1" applyFont="1" applyFill="1" applyBorder="1" applyAlignment="1" applyProtection="1">
      <alignment horizontal="left" vertical="center" wrapText="1"/>
      <protection locked="0"/>
    </xf>
    <xf numFmtId="0" fontId="13" fillId="3" borderId="4" xfId="0" applyFont="1" applyFill="1" applyBorder="1" applyAlignment="1" applyProtection="1">
      <alignment horizontal="left" vertical="center" wrapText="1"/>
      <protection locked="0"/>
    </xf>
    <xf numFmtId="0" fontId="13" fillId="3" borderId="59" xfId="0" applyFont="1" applyFill="1" applyBorder="1" applyAlignment="1" applyProtection="1">
      <alignment horizontal="left" vertical="center" wrapText="1"/>
      <protection locked="0"/>
    </xf>
    <xf numFmtId="0" fontId="13" fillId="3" borderId="58" xfId="0" applyFont="1" applyFill="1" applyBorder="1" applyAlignment="1" applyProtection="1">
      <alignment horizontal="left" vertical="center" wrapText="1"/>
      <protection locked="0"/>
    </xf>
    <xf numFmtId="0" fontId="16" fillId="0" borderId="1" xfId="0" applyFont="1" applyFill="1" applyBorder="1" applyAlignment="1" applyProtection="1">
      <alignment horizontal="center" vertical="center" wrapText="1"/>
      <protection hidden="1"/>
    </xf>
    <xf numFmtId="0" fontId="14" fillId="0" borderId="6" xfId="0" applyFont="1" applyFill="1" applyBorder="1" applyAlignment="1" applyProtection="1">
      <alignment horizontal="center" vertical="center"/>
      <protection hidden="1"/>
    </xf>
    <xf numFmtId="0" fontId="14" fillId="0" borderId="3" xfId="0" applyFont="1" applyFill="1" applyBorder="1" applyAlignment="1" applyProtection="1">
      <alignment horizontal="center" vertical="center"/>
      <protection hidden="1"/>
    </xf>
    <xf numFmtId="0" fontId="16" fillId="0" borderId="66" xfId="0" applyFont="1" applyFill="1" applyBorder="1" applyAlignment="1" applyProtection="1">
      <alignment horizontal="center" vertical="center" wrapText="1"/>
      <protection hidden="1"/>
    </xf>
    <xf numFmtId="0" fontId="16" fillId="0" borderId="1" xfId="0" applyFont="1" applyFill="1" applyBorder="1" applyAlignment="1" applyProtection="1">
      <alignment horizontal="left" vertical="center" wrapText="1" shrinkToFit="1"/>
      <protection hidden="1"/>
    </xf>
    <xf numFmtId="0" fontId="15" fillId="0" borderId="1" xfId="0" applyFont="1" applyBorder="1" applyAlignment="1" applyProtection="1">
      <alignment horizontal="center" vertical="center" wrapText="1"/>
      <protection locked="0"/>
    </xf>
    <xf numFmtId="0" fontId="16" fillId="0" borderId="3" xfId="0" applyFont="1" applyFill="1" applyBorder="1" applyAlignment="1" applyProtection="1">
      <alignment horizontal="left" vertical="center" wrapText="1" shrinkToFit="1"/>
      <protection hidden="1"/>
    </xf>
    <xf numFmtId="0" fontId="17" fillId="0" borderId="1" xfId="0" applyFont="1" applyBorder="1" applyAlignment="1" applyProtection="1">
      <alignment horizontal="center" vertical="center"/>
      <protection hidden="1"/>
    </xf>
    <xf numFmtId="0" fontId="13" fillId="0" borderId="6" xfId="0" applyFont="1" applyBorder="1" applyAlignment="1" applyProtection="1">
      <alignment horizontal="center" vertical="center" shrinkToFit="1"/>
      <protection hidden="1"/>
    </xf>
    <xf numFmtId="0" fontId="13" fillId="0" borderId="6" xfId="0" applyFont="1" applyBorder="1" applyAlignment="1" applyProtection="1">
      <alignment vertical="center" wrapText="1" shrinkToFit="1"/>
      <protection hidden="1"/>
    </xf>
    <xf numFmtId="0" fontId="17" fillId="0" borderId="3" xfId="0" applyFont="1" applyBorder="1" applyAlignment="1" applyProtection="1">
      <alignment horizontal="center" vertical="center"/>
      <protection hidden="1"/>
    </xf>
    <xf numFmtId="0" fontId="17" fillId="0" borderId="6" xfId="0" applyFont="1" applyBorder="1" applyAlignment="1" applyProtection="1">
      <alignment horizontal="center" vertical="center"/>
      <protection hidden="1"/>
    </xf>
    <xf numFmtId="0" fontId="14" fillId="0" borderId="1" xfId="0" applyFont="1" applyFill="1" applyBorder="1" applyAlignment="1" applyProtection="1">
      <alignment horizontal="center" vertical="center"/>
      <protection hidden="1"/>
    </xf>
    <xf numFmtId="0" fontId="14" fillId="0" borderId="1" xfId="0" applyFont="1" applyFill="1" applyBorder="1" applyAlignment="1" applyProtection="1">
      <alignment horizontal="center" vertical="center" wrapText="1"/>
      <protection hidden="1"/>
    </xf>
    <xf numFmtId="0" fontId="17" fillId="0" borderId="66" xfId="0" applyFont="1" applyBorder="1" applyAlignment="1" applyProtection="1">
      <alignment horizontal="center" vertical="center"/>
      <protection hidden="1"/>
    </xf>
    <xf numFmtId="0" fontId="16" fillId="0" borderId="58" xfId="0" applyFont="1" applyFill="1" applyBorder="1" applyAlignment="1" applyProtection="1">
      <alignment horizontal="left" vertical="center" wrapText="1"/>
      <protection hidden="1"/>
    </xf>
    <xf numFmtId="0" fontId="16" fillId="0" borderId="4" xfId="0" applyFont="1" applyFill="1" applyBorder="1" applyAlignment="1" applyProtection="1">
      <alignment horizontal="left" vertical="center" wrapText="1"/>
      <protection hidden="1"/>
    </xf>
    <xf numFmtId="0" fontId="16" fillId="0" borderId="6" xfId="0" applyFont="1" applyFill="1" applyBorder="1" applyAlignment="1" applyProtection="1">
      <alignment horizontal="left" vertical="center" wrapText="1"/>
      <protection hidden="1"/>
    </xf>
    <xf numFmtId="0" fontId="16" fillId="0" borderId="3" xfId="0" applyFont="1" applyFill="1" applyBorder="1" applyAlignment="1" applyProtection="1">
      <alignment horizontal="left" vertical="center" wrapText="1"/>
      <protection hidden="1"/>
    </xf>
    <xf numFmtId="0" fontId="51" fillId="3" borderId="7" xfId="0" applyFont="1" applyFill="1" applyBorder="1" applyAlignment="1" applyProtection="1">
      <alignment horizontal="left" vertical="center" wrapText="1"/>
      <protection hidden="1"/>
    </xf>
    <xf numFmtId="0" fontId="51" fillId="3" borderId="14" xfId="0" applyFont="1" applyFill="1" applyBorder="1" applyAlignment="1" applyProtection="1">
      <alignment horizontal="left" vertical="center" wrapText="1"/>
      <protection hidden="1"/>
    </xf>
    <xf numFmtId="0" fontId="51" fillId="3" borderId="2" xfId="0" applyFont="1" applyFill="1" applyBorder="1" applyAlignment="1" applyProtection="1">
      <alignment horizontal="center" vertical="center" wrapText="1"/>
      <protection hidden="1"/>
    </xf>
    <xf numFmtId="0" fontId="51" fillId="3" borderId="7" xfId="0" applyFont="1" applyFill="1" applyBorder="1" applyAlignment="1" applyProtection="1">
      <alignment horizontal="center" vertical="center" wrapText="1"/>
      <protection hidden="1"/>
    </xf>
    <xf numFmtId="0" fontId="13" fillId="5" borderId="15" xfId="0" applyFont="1" applyFill="1" applyBorder="1" applyAlignment="1" applyProtection="1">
      <alignment horizontal="left" vertical="center" wrapText="1"/>
      <protection locked="0"/>
    </xf>
    <xf numFmtId="0" fontId="14" fillId="7" borderId="15" xfId="0" applyFont="1" applyFill="1" applyBorder="1" applyAlignment="1" applyProtection="1">
      <alignment horizontal="center" vertical="center"/>
      <protection hidden="1"/>
    </xf>
    <xf numFmtId="0" fontId="14" fillId="7" borderId="63" xfId="0" applyFont="1" applyFill="1" applyBorder="1" applyAlignment="1" applyProtection="1">
      <alignment horizontal="center" vertical="center"/>
      <protection hidden="1"/>
    </xf>
    <xf numFmtId="0" fontId="32" fillId="3" borderId="2" xfId="0" applyFont="1" applyFill="1" applyBorder="1" applyAlignment="1" applyProtection="1">
      <alignment horizontal="left" vertical="center" wrapText="1"/>
      <protection hidden="1"/>
    </xf>
    <xf numFmtId="0" fontId="32" fillId="3" borderId="7" xfId="0" applyFont="1" applyFill="1" applyBorder="1" applyAlignment="1" applyProtection="1">
      <alignment horizontal="left" vertical="center" wrapText="1"/>
      <protection hidden="1"/>
    </xf>
    <xf numFmtId="0" fontId="32" fillId="3" borderId="14" xfId="0" applyFont="1" applyFill="1" applyBorder="1" applyAlignment="1" applyProtection="1">
      <alignment horizontal="left" vertical="center" wrapText="1"/>
      <protection hidden="1"/>
    </xf>
    <xf numFmtId="0" fontId="58" fillId="3" borderId="2" xfId="0" applyFont="1" applyFill="1" applyBorder="1" applyAlignment="1" applyProtection="1">
      <alignment horizontal="left" vertical="center" wrapText="1"/>
      <protection hidden="1"/>
    </xf>
    <xf numFmtId="0" fontId="58" fillId="3" borderId="7" xfId="0" applyFont="1" applyFill="1" applyBorder="1" applyAlignment="1" applyProtection="1">
      <alignment horizontal="left" vertical="center" wrapText="1"/>
      <protection hidden="1"/>
    </xf>
    <xf numFmtId="0" fontId="58" fillId="3" borderId="14" xfId="0" applyFont="1" applyFill="1" applyBorder="1" applyAlignment="1" applyProtection="1">
      <alignment horizontal="left" vertical="center" wrapText="1"/>
      <protection hidden="1"/>
    </xf>
    <xf numFmtId="0" fontId="32" fillId="3" borderId="2" xfId="0" applyFont="1" applyFill="1" applyBorder="1" applyAlignment="1" applyProtection="1">
      <alignment horizontal="left" vertical="center"/>
      <protection hidden="1"/>
    </xf>
    <xf numFmtId="0" fontId="32" fillId="3" borderId="7" xfId="0" applyFont="1" applyFill="1" applyBorder="1" applyAlignment="1" applyProtection="1">
      <alignment horizontal="left" vertical="center"/>
      <protection hidden="1"/>
    </xf>
    <xf numFmtId="0" fontId="32" fillId="3" borderId="1" xfId="0" applyNumberFormat="1" applyFont="1" applyFill="1" applyBorder="1" applyAlignment="1" applyProtection="1">
      <alignment horizontal="left" vertical="center"/>
      <protection hidden="1"/>
    </xf>
    <xf numFmtId="0" fontId="58" fillId="3" borderId="2" xfId="0" applyNumberFormat="1" applyFont="1" applyFill="1" applyBorder="1" applyAlignment="1" applyProtection="1">
      <alignment horizontal="left" vertical="center"/>
      <protection hidden="1"/>
    </xf>
    <xf numFmtId="0" fontId="58" fillId="3" borderId="7" xfId="0" applyNumberFormat="1" applyFont="1" applyFill="1" applyBorder="1" applyAlignment="1" applyProtection="1">
      <alignment horizontal="left" vertical="center"/>
      <protection hidden="1"/>
    </xf>
    <xf numFmtId="0" fontId="58" fillId="3" borderId="14" xfId="0" applyNumberFormat="1" applyFont="1" applyFill="1" applyBorder="1" applyAlignment="1" applyProtection="1">
      <alignment horizontal="left" vertical="center"/>
      <protection hidden="1"/>
    </xf>
    <xf numFmtId="0" fontId="67" fillId="3" borderId="2" xfId="0" applyFont="1" applyFill="1" applyBorder="1" applyAlignment="1" applyProtection="1">
      <alignment horizontal="left" vertical="center" wrapText="1" shrinkToFit="1"/>
      <protection hidden="1"/>
    </xf>
    <xf numFmtId="0" fontId="67" fillId="3" borderId="7" xfId="0" applyFont="1" applyFill="1" applyBorder="1" applyAlignment="1" applyProtection="1">
      <alignment horizontal="left" vertical="center" wrapText="1" shrinkToFit="1"/>
      <protection hidden="1"/>
    </xf>
    <xf numFmtId="0" fontId="67" fillId="3" borderId="14" xfId="0" applyFont="1" applyFill="1" applyBorder="1" applyAlignment="1" applyProtection="1">
      <alignment horizontal="left" vertical="center" wrapText="1" shrinkToFit="1"/>
      <protection hidden="1"/>
    </xf>
    <xf numFmtId="0" fontId="14" fillId="7" borderId="54" xfId="0" applyFont="1" applyFill="1" applyBorder="1" applyAlignment="1" applyProtection="1">
      <alignment horizontal="center" vertical="center"/>
      <protection locked="0"/>
    </xf>
    <xf numFmtId="0" fontId="55" fillId="3" borderId="2" xfId="0" applyFont="1" applyFill="1" applyBorder="1" applyAlignment="1" applyProtection="1">
      <alignment horizontal="left" vertical="center" wrapText="1"/>
      <protection hidden="1"/>
    </xf>
    <xf numFmtId="0" fontId="55" fillId="3" borderId="7" xfId="0" applyFont="1" applyFill="1" applyBorder="1" applyAlignment="1" applyProtection="1">
      <alignment horizontal="left" vertical="center" wrapText="1"/>
      <protection hidden="1"/>
    </xf>
    <xf numFmtId="0" fontId="55" fillId="3" borderId="14" xfId="0" applyFont="1" applyFill="1" applyBorder="1" applyAlignment="1" applyProtection="1">
      <alignment horizontal="left" vertical="center" wrapText="1"/>
      <protection hidden="1"/>
    </xf>
    <xf numFmtId="0" fontId="35" fillId="3" borderId="16" xfId="0" applyFont="1" applyFill="1" applyBorder="1" applyAlignment="1" applyProtection="1">
      <alignment horizontal="center" vertical="center"/>
      <protection hidden="1"/>
    </xf>
    <xf numFmtId="0" fontId="35" fillId="0" borderId="16" xfId="0" applyFont="1" applyFill="1" applyBorder="1" applyAlignment="1" applyProtection="1">
      <alignment horizontal="center" vertical="center"/>
      <protection locked="0"/>
    </xf>
    <xf numFmtId="0" fontId="52" fillId="3" borderId="78" xfId="0" applyFont="1" applyFill="1" applyBorder="1" applyAlignment="1" applyProtection="1">
      <alignment horizontal="left" vertical="center" wrapText="1"/>
      <protection hidden="1"/>
    </xf>
    <xf numFmtId="0" fontId="52" fillId="3" borderId="76" xfId="0" applyFont="1" applyFill="1" applyBorder="1" applyAlignment="1" applyProtection="1">
      <alignment horizontal="left" vertical="center" wrapText="1"/>
      <protection hidden="1"/>
    </xf>
    <xf numFmtId="0" fontId="52" fillId="3" borderId="77" xfId="0" applyFont="1" applyFill="1" applyBorder="1" applyAlignment="1" applyProtection="1">
      <alignment horizontal="left" vertical="center" wrapText="1"/>
      <protection hidden="1"/>
    </xf>
    <xf numFmtId="0" fontId="52" fillId="3" borderId="61" xfId="0" applyFont="1" applyFill="1" applyBorder="1" applyAlignment="1" applyProtection="1">
      <alignment horizontal="left" vertical="center" wrapText="1"/>
      <protection hidden="1"/>
    </xf>
    <xf numFmtId="0" fontId="52" fillId="3" borderId="0" xfId="0" applyFont="1" applyFill="1" applyBorder="1" applyAlignment="1" applyProtection="1">
      <alignment horizontal="left" vertical="center" wrapText="1"/>
      <protection hidden="1"/>
    </xf>
    <xf numFmtId="0" fontId="52" fillId="3" borderId="60" xfId="0" applyFont="1" applyFill="1" applyBorder="1" applyAlignment="1" applyProtection="1">
      <alignment horizontal="left" vertical="center" wrapText="1"/>
      <protection hidden="1"/>
    </xf>
    <xf numFmtId="0" fontId="52" fillId="3" borderId="62" xfId="0" applyFont="1" applyFill="1" applyBorder="1" applyAlignment="1" applyProtection="1">
      <alignment horizontal="left" vertical="center" wrapText="1"/>
      <protection hidden="1"/>
    </xf>
    <xf numFmtId="0" fontId="52" fillId="3" borderId="29" xfId="0" applyFont="1" applyFill="1" applyBorder="1" applyAlignment="1" applyProtection="1">
      <alignment horizontal="left" vertical="center" wrapText="1"/>
      <protection hidden="1"/>
    </xf>
    <xf numFmtId="0" fontId="52" fillId="3" borderId="37" xfId="0" applyFont="1" applyFill="1" applyBorder="1" applyAlignment="1" applyProtection="1">
      <alignment horizontal="left" vertical="center" wrapText="1"/>
      <protection hidden="1"/>
    </xf>
    <xf numFmtId="0" fontId="52" fillId="3" borderId="61" xfId="0" applyFont="1" applyFill="1" applyBorder="1" applyAlignment="1" applyProtection="1">
      <alignment horizontal="center" vertical="center" wrapText="1"/>
      <protection hidden="1"/>
    </xf>
    <xf numFmtId="0" fontId="52" fillId="3" borderId="60" xfId="0" applyFont="1" applyFill="1" applyBorder="1" applyAlignment="1" applyProtection="1">
      <alignment horizontal="center" vertical="center" wrapText="1"/>
      <protection hidden="1"/>
    </xf>
    <xf numFmtId="0" fontId="52" fillId="3" borderId="62" xfId="0" applyFont="1" applyFill="1" applyBorder="1" applyAlignment="1" applyProtection="1">
      <alignment horizontal="center" vertical="center" wrapText="1"/>
      <protection hidden="1"/>
    </xf>
    <xf numFmtId="0" fontId="52" fillId="3" borderId="37" xfId="0" applyFont="1" applyFill="1" applyBorder="1" applyAlignment="1" applyProtection="1">
      <alignment horizontal="center" vertical="center" wrapText="1"/>
      <protection hidden="1"/>
    </xf>
    <xf numFmtId="0" fontId="70" fillId="2" borderId="0" xfId="1" applyFont="1" applyFill="1" applyBorder="1" applyAlignment="1" applyProtection="1">
      <protection locked="0"/>
    </xf>
    <xf numFmtId="0" fontId="37" fillId="2" borderId="0" xfId="0" applyFont="1" applyFill="1" applyBorder="1" applyAlignment="1" applyProtection="1">
      <alignment horizontal="center" vertical="center" wrapText="1"/>
      <protection locked="0"/>
    </xf>
    <xf numFmtId="0" fontId="75" fillId="3" borderId="0" xfId="0" applyFont="1" applyFill="1" applyAlignment="1" applyProtection="1">
      <alignment horizontal="center" vertical="center"/>
      <protection hidden="1"/>
    </xf>
    <xf numFmtId="0" fontId="47" fillId="3" borderId="68" xfId="0" applyFont="1" applyFill="1" applyBorder="1" applyAlignment="1" applyProtection="1">
      <alignment horizontal="center" vertical="center"/>
      <protection hidden="1"/>
    </xf>
    <xf numFmtId="0" fontId="47" fillId="3" borderId="34" xfId="0" applyFont="1" applyFill="1" applyBorder="1" applyAlignment="1" applyProtection="1">
      <alignment horizontal="center" vertical="center"/>
      <protection hidden="1"/>
    </xf>
    <xf numFmtId="0" fontId="47" fillId="3" borderId="30" xfId="0" applyFont="1" applyFill="1" applyBorder="1" applyAlignment="1" applyProtection="1">
      <alignment horizontal="center" vertical="center"/>
      <protection hidden="1"/>
    </xf>
    <xf numFmtId="0" fontId="55" fillId="3" borderId="11" xfId="0" applyFont="1" applyFill="1" applyBorder="1" applyAlignment="1" applyProtection="1">
      <alignment horizontal="left" vertical="center"/>
      <protection hidden="1"/>
    </xf>
    <xf numFmtId="0" fontId="85" fillId="3" borderId="78" xfId="0" applyFont="1" applyFill="1" applyBorder="1" applyAlignment="1" applyProtection="1">
      <alignment horizontal="left" vertical="center"/>
      <protection hidden="1"/>
    </xf>
    <xf numFmtId="0" fontId="85" fillId="3" borderId="77" xfId="0" applyFont="1" applyFill="1" applyBorder="1" applyAlignment="1" applyProtection="1">
      <alignment horizontal="left" vertical="center"/>
      <protection hidden="1"/>
    </xf>
    <xf numFmtId="0" fontId="35" fillId="3" borderId="68" xfId="0" applyFont="1" applyFill="1" applyBorder="1" applyAlignment="1" applyProtection="1">
      <alignment horizontal="center" vertical="center"/>
      <protection hidden="1"/>
    </xf>
    <xf numFmtId="0" fontId="35" fillId="3" borderId="34" xfId="0" applyFont="1" applyFill="1" applyBorder="1" applyAlignment="1" applyProtection="1">
      <alignment horizontal="center" vertical="center"/>
      <protection hidden="1"/>
    </xf>
    <xf numFmtId="0" fontId="35" fillId="3" borderId="30" xfId="0" applyFont="1" applyFill="1" applyBorder="1" applyAlignment="1" applyProtection="1">
      <alignment horizontal="center" vertical="center" wrapText="1"/>
      <protection hidden="1"/>
    </xf>
    <xf numFmtId="0" fontId="35" fillId="3" borderId="68" xfId="0" applyFont="1" applyFill="1" applyBorder="1" applyAlignment="1" applyProtection="1">
      <alignment horizontal="center" vertical="center" wrapText="1"/>
      <protection hidden="1"/>
    </xf>
    <xf numFmtId="0" fontId="35" fillId="3" borderId="34" xfId="0" applyFont="1" applyFill="1" applyBorder="1" applyAlignment="1" applyProtection="1">
      <alignment horizontal="center" vertical="center" wrapText="1"/>
      <protection hidden="1"/>
    </xf>
    <xf numFmtId="0" fontId="32" fillId="3" borderId="4" xfId="0" applyNumberFormat="1" applyFont="1" applyFill="1" applyBorder="1" applyAlignment="1" applyProtection="1">
      <alignment horizontal="left" vertical="center"/>
      <protection hidden="1"/>
    </xf>
    <xf numFmtId="0" fontId="55" fillId="3" borderId="1" xfId="0" applyFont="1" applyFill="1" applyBorder="1" applyAlignment="1" applyProtection="1">
      <alignment horizontal="left" vertical="center" wrapText="1"/>
      <protection hidden="1"/>
    </xf>
    <xf numFmtId="0" fontId="35" fillId="3" borderId="1" xfId="0" applyFont="1" applyFill="1" applyBorder="1" applyAlignment="1" applyProtection="1">
      <alignment horizontal="center" vertical="center"/>
      <protection hidden="1"/>
    </xf>
    <xf numFmtId="0" fontId="35" fillId="3" borderId="2" xfId="0" applyFont="1" applyFill="1" applyBorder="1" applyAlignment="1" applyProtection="1">
      <alignment horizontal="center" vertical="center"/>
      <protection hidden="1"/>
    </xf>
    <xf numFmtId="0" fontId="35" fillId="3" borderId="14" xfId="0" applyFont="1" applyFill="1" applyBorder="1" applyAlignment="1" applyProtection="1">
      <alignment horizontal="center" vertical="center"/>
      <protection hidden="1"/>
    </xf>
    <xf numFmtId="0" fontId="58" fillId="3" borderId="61" xfId="0" applyNumberFormat="1" applyFont="1" applyFill="1" applyBorder="1" applyAlignment="1" applyProtection="1">
      <alignment horizontal="left" vertical="center"/>
      <protection hidden="1"/>
    </xf>
    <xf numFmtId="0" fontId="58" fillId="3" borderId="0" xfId="0" applyNumberFormat="1" applyFont="1" applyFill="1" applyBorder="1" applyAlignment="1" applyProtection="1">
      <alignment horizontal="left" vertical="center"/>
      <protection hidden="1"/>
    </xf>
    <xf numFmtId="0" fontId="58" fillId="3" borderId="60" xfId="0" applyNumberFormat="1" applyFont="1" applyFill="1" applyBorder="1" applyAlignment="1" applyProtection="1">
      <alignment horizontal="left" vertical="center"/>
      <protection hidden="1"/>
    </xf>
    <xf numFmtId="0" fontId="32" fillId="3" borderId="66" xfId="0" applyFont="1" applyFill="1" applyBorder="1" applyAlignment="1" applyProtection="1">
      <alignment horizontal="center" vertical="center"/>
      <protection hidden="1"/>
    </xf>
    <xf numFmtId="0" fontId="35" fillId="3" borderId="6" xfId="0" applyFont="1" applyFill="1" applyBorder="1" applyAlignment="1" applyProtection="1">
      <alignment horizontal="center" vertical="center"/>
      <protection hidden="1"/>
    </xf>
    <xf numFmtId="0" fontId="35" fillId="3" borderId="59" xfId="0" applyFont="1" applyFill="1" applyBorder="1" applyAlignment="1" applyProtection="1">
      <alignment horizontal="center" vertical="center"/>
      <protection hidden="1"/>
    </xf>
    <xf numFmtId="0" fontId="32" fillId="3" borderId="78" xfId="0" applyFont="1" applyFill="1" applyBorder="1" applyAlignment="1" applyProtection="1">
      <alignment horizontal="center" vertical="center"/>
      <protection hidden="1"/>
    </xf>
    <xf numFmtId="0" fontId="32" fillId="3" borderId="77" xfId="0" applyFont="1" applyFill="1" applyBorder="1" applyAlignment="1" applyProtection="1">
      <alignment horizontal="center" vertical="center"/>
      <protection hidden="1"/>
    </xf>
    <xf numFmtId="0" fontId="13" fillId="5" borderId="79" xfId="0" applyFont="1" applyFill="1" applyBorder="1" applyAlignment="1" applyProtection="1">
      <alignment horizontal="left" vertical="center" wrapText="1"/>
      <protection locked="0"/>
    </xf>
    <xf numFmtId="0" fontId="13" fillId="5" borderId="80" xfId="0" applyFont="1" applyFill="1" applyBorder="1" applyAlignment="1" applyProtection="1">
      <alignment horizontal="left" vertical="center" wrapText="1"/>
      <protection locked="0"/>
    </xf>
    <xf numFmtId="0" fontId="13" fillId="5" borderId="74" xfId="0" applyFont="1" applyFill="1" applyBorder="1" applyAlignment="1" applyProtection="1">
      <alignment horizontal="left" vertical="center" wrapText="1"/>
      <protection locked="0"/>
    </xf>
    <xf numFmtId="0" fontId="58" fillId="3" borderId="2" xfId="0" applyFont="1" applyFill="1" applyBorder="1" applyAlignment="1" applyProtection="1">
      <alignment horizontal="left" vertical="center" shrinkToFit="1"/>
      <protection hidden="1"/>
    </xf>
    <xf numFmtId="0" fontId="58" fillId="3" borderId="7" xfId="0" applyFont="1" applyFill="1" applyBorder="1" applyAlignment="1" applyProtection="1">
      <alignment horizontal="left" vertical="center" shrinkToFit="1"/>
      <protection hidden="1"/>
    </xf>
    <xf numFmtId="0" fontId="58" fillId="3" borderId="14" xfId="0" applyFont="1" applyFill="1" applyBorder="1" applyAlignment="1" applyProtection="1">
      <alignment horizontal="left" vertical="center" shrinkToFit="1"/>
      <protection hidden="1"/>
    </xf>
    <xf numFmtId="0" fontId="58" fillId="3" borderId="78" xfId="0" applyFont="1" applyFill="1" applyBorder="1" applyAlignment="1" applyProtection="1">
      <alignment horizontal="left" vertical="center" shrinkToFit="1"/>
      <protection hidden="1"/>
    </xf>
    <xf numFmtId="0" fontId="58" fillId="3" borderId="76" xfId="0" applyFont="1" applyFill="1" applyBorder="1" applyAlignment="1" applyProtection="1">
      <alignment horizontal="left" vertical="center" shrinkToFit="1"/>
      <protection hidden="1"/>
    </xf>
    <xf numFmtId="0" fontId="58" fillId="3" borderId="77" xfId="0" applyFont="1" applyFill="1" applyBorder="1" applyAlignment="1" applyProtection="1">
      <alignment horizontal="left" vertical="center" shrinkToFit="1"/>
      <protection hidden="1"/>
    </xf>
    <xf numFmtId="0" fontId="32" fillId="3" borderId="16" xfId="0" applyFont="1" applyFill="1" applyBorder="1" applyAlignment="1" applyProtection="1">
      <alignment horizontal="center" vertical="center"/>
      <protection hidden="1"/>
    </xf>
    <xf numFmtId="0" fontId="32" fillId="3" borderId="3" xfId="0" applyFont="1" applyFill="1" applyBorder="1" applyAlignment="1" applyProtection="1">
      <alignment horizontal="center" vertical="center"/>
      <protection hidden="1"/>
    </xf>
    <xf numFmtId="0" fontId="67" fillId="3" borderId="78" xfId="0" applyFont="1" applyFill="1" applyBorder="1" applyAlignment="1" applyProtection="1">
      <alignment horizontal="left" vertical="center" shrinkToFit="1"/>
      <protection hidden="1"/>
    </xf>
    <xf numFmtId="0" fontId="67" fillId="3" borderId="76" xfId="0" applyFont="1" applyFill="1" applyBorder="1" applyAlignment="1" applyProtection="1">
      <alignment horizontal="left" vertical="center" shrinkToFit="1"/>
      <protection hidden="1"/>
    </xf>
    <xf numFmtId="0" fontId="67" fillId="3" borderId="77" xfId="0" applyFont="1" applyFill="1" applyBorder="1" applyAlignment="1" applyProtection="1">
      <alignment horizontal="left" vertical="center" shrinkToFit="1"/>
      <protection hidden="1"/>
    </xf>
    <xf numFmtId="0" fontId="32" fillId="3" borderId="78" xfId="0" applyNumberFormat="1" applyFont="1" applyFill="1" applyBorder="1" applyAlignment="1" applyProtection="1">
      <alignment horizontal="left" vertical="center"/>
      <protection hidden="1"/>
    </xf>
    <xf numFmtId="0" fontId="32" fillId="3" borderId="76" xfId="0" applyNumberFormat="1" applyFont="1" applyFill="1" applyBorder="1" applyAlignment="1" applyProtection="1">
      <alignment horizontal="left" vertical="center"/>
      <protection hidden="1"/>
    </xf>
    <xf numFmtId="0" fontId="32" fillId="3" borderId="77" xfId="0" applyNumberFormat="1" applyFont="1" applyFill="1" applyBorder="1" applyAlignment="1" applyProtection="1">
      <alignment horizontal="left" vertical="center"/>
      <protection hidden="1"/>
    </xf>
    <xf numFmtId="0" fontId="35" fillId="3" borderId="8" xfId="0" applyFont="1" applyFill="1" applyBorder="1" applyAlignment="1" applyProtection="1">
      <alignment horizontal="center" vertical="center" wrapText="1"/>
      <protection hidden="1"/>
    </xf>
    <xf numFmtId="0" fontId="35" fillId="3" borderId="10" xfId="0" applyFont="1" applyFill="1" applyBorder="1" applyAlignment="1" applyProtection="1">
      <alignment horizontal="center" vertical="center" wrapText="1"/>
      <protection hidden="1"/>
    </xf>
    <xf numFmtId="0" fontId="35" fillId="3" borderId="9" xfId="0" applyFont="1" applyFill="1" applyBorder="1" applyAlignment="1" applyProtection="1">
      <alignment horizontal="center" vertical="center" wrapText="1"/>
      <protection hidden="1"/>
    </xf>
    <xf numFmtId="0" fontId="67" fillId="3" borderId="62" xfId="0" applyFont="1" applyFill="1" applyBorder="1" applyAlignment="1" applyProtection="1">
      <alignment horizontal="left" vertical="center" shrinkToFit="1"/>
      <protection hidden="1"/>
    </xf>
    <xf numFmtId="0" fontId="67" fillId="3" borderId="29" xfId="0" applyFont="1" applyFill="1" applyBorder="1" applyAlignment="1" applyProtection="1">
      <alignment horizontal="left" vertical="center" shrinkToFit="1"/>
      <protection hidden="1"/>
    </xf>
    <xf numFmtId="0" fontId="67" fillId="3" borderId="37" xfId="0" applyFont="1" applyFill="1" applyBorder="1" applyAlignment="1" applyProtection="1">
      <alignment horizontal="left" vertical="center" shrinkToFit="1"/>
      <protection hidden="1"/>
    </xf>
    <xf numFmtId="0" fontId="67" fillId="3" borderId="2" xfId="0" applyFont="1" applyFill="1" applyBorder="1" applyAlignment="1" applyProtection="1">
      <alignment horizontal="left" vertical="center" shrinkToFit="1"/>
      <protection hidden="1"/>
    </xf>
    <xf numFmtId="0" fontId="67" fillId="3" borderId="7" xfId="0" applyFont="1" applyFill="1" applyBorder="1" applyAlignment="1" applyProtection="1">
      <alignment horizontal="left" vertical="center" shrinkToFit="1"/>
      <protection hidden="1"/>
    </xf>
    <xf numFmtId="0" fontId="67" fillId="3" borderId="14" xfId="0" applyFont="1" applyFill="1" applyBorder="1" applyAlignment="1" applyProtection="1">
      <alignment horizontal="left" vertical="center" shrinkToFit="1"/>
      <protection hidden="1"/>
    </xf>
    <xf numFmtId="0" fontId="32" fillId="3" borderId="14" xfId="0" applyFont="1" applyFill="1" applyBorder="1" applyAlignment="1" applyProtection="1">
      <alignment horizontal="left" vertical="center"/>
      <protection hidden="1"/>
    </xf>
    <xf numFmtId="0" fontId="79" fillId="3" borderId="62" xfId="0" applyFont="1" applyFill="1" applyBorder="1" applyAlignment="1" applyProtection="1">
      <alignment horizontal="center" vertical="center"/>
      <protection hidden="1"/>
    </xf>
    <xf numFmtId="0" fontId="79" fillId="3" borderId="37" xfId="0" applyFont="1" applyFill="1" applyBorder="1" applyAlignment="1" applyProtection="1">
      <alignment horizontal="center" vertical="center"/>
      <protection hidden="1"/>
    </xf>
    <xf numFmtId="0" fontId="35" fillId="3" borderId="22" xfId="0" applyFont="1" applyFill="1" applyBorder="1" applyAlignment="1" applyProtection="1">
      <alignment horizontal="center" vertical="center"/>
      <protection hidden="1"/>
    </xf>
    <xf numFmtId="0" fontId="35" fillId="3" borderId="23" xfId="0" applyFont="1" applyFill="1" applyBorder="1" applyAlignment="1" applyProtection="1">
      <alignment horizontal="center" vertical="center"/>
      <protection hidden="1"/>
    </xf>
    <xf numFmtId="0" fontId="67" fillId="3" borderId="62" xfId="0" applyFont="1" applyFill="1" applyBorder="1" applyAlignment="1" applyProtection="1">
      <alignment horizontal="left" vertical="center" wrapText="1"/>
      <protection hidden="1"/>
    </xf>
    <xf numFmtId="0" fontId="67" fillId="3" borderId="29" xfId="0" applyFont="1" applyFill="1" applyBorder="1" applyAlignment="1" applyProtection="1">
      <alignment horizontal="left" vertical="center" wrapText="1"/>
      <protection hidden="1"/>
    </xf>
    <xf numFmtId="0" fontId="67" fillId="3" borderId="37" xfId="0" applyFont="1" applyFill="1" applyBorder="1" applyAlignment="1" applyProtection="1">
      <alignment horizontal="left" vertical="center" wrapText="1"/>
      <protection hidden="1"/>
    </xf>
    <xf numFmtId="0" fontId="47" fillId="3" borderId="0" xfId="0" applyFont="1" applyFill="1" applyBorder="1" applyAlignment="1" applyProtection="1">
      <alignment horizontal="center" vertical="center"/>
      <protection hidden="1"/>
    </xf>
    <xf numFmtId="0" fontId="35" fillId="3" borderId="7" xfId="0" applyFont="1" applyFill="1" applyBorder="1" applyAlignment="1" applyProtection="1">
      <alignment horizontal="center" vertical="center"/>
      <protection hidden="1"/>
    </xf>
    <xf numFmtId="0" fontId="32" fillId="3" borderId="0" xfId="0" applyFont="1" applyFill="1" applyBorder="1" applyAlignment="1" applyProtection="1">
      <alignment horizontal="left" vertical="center"/>
      <protection hidden="1"/>
    </xf>
    <xf numFmtId="0" fontId="77" fillId="3" borderId="0" xfId="0" applyFont="1" applyFill="1" applyBorder="1" applyAlignment="1" applyProtection="1">
      <alignment horizontal="left" vertical="center" shrinkToFit="1"/>
      <protection hidden="1"/>
    </xf>
    <xf numFmtId="0" fontId="35" fillId="0" borderId="24" xfId="0" applyFont="1" applyFill="1" applyBorder="1" applyAlignment="1" applyProtection="1">
      <alignment horizontal="center" vertical="center"/>
      <protection locked="0"/>
    </xf>
    <xf numFmtId="0" fontId="35" fillId="0" borderId="26" xfId="0" applyFont="1" applyFill="1" applyBorder="1" applyAlignment="1" applyProtection="1">
      <alignment horizontal="center" vertical="center"/>
      <protection locked="0"/>
    </xf>
    <xf numFmtId="0" fontId="51" fillId="3" borderId="7" xfId="0" applyFont="1" applyFill="1" applyBorder="1" applyAlignment="1" applyProtection="1">
      <alignment horizontal="left" vertical="center" shrinkToFit="1"/>
      <protection hidden="1"/>
    </xf>
    <xf numFmtId="0" fontId="51" fillId="3" borderId="14" xfId="0" applyFont="1" applyFill="1" applyBorder="1" applyAlignment="1" applyProtection="1">
      <alignment horizontal="left" vertical="center" shrinkToFit="1"/>
      <protection hidden="1"/>
    </xf>
    <xf numFmtId="0" fontId="32" fillId="3" borderId="62" xfId="0" applyNumberFormat="1" applyFont="1" applyFill="1" applyBorder="1" applyAlignment="1" applyProtection="1">
      <alignment horizontal="left" vertical="center"/>
      <protection hidden="1"/>
    </xf>
    <xf numFmtId="0" fontId="32" fillId="3" borderId="29" xfId="0" applyNumberFormat="1" applyFont="1" applyFill="1" applyBorder="1" applyAlignment="1" applyProtection="1">
      <alignment horizontal="left" vertical="center"/>
      <protection hidden="1"/>
    </xf>
    <xf numFmtId="0" fontId="32" fillId="3" borderId="37" xfId="0" applyNumberFormat="1" applyFont="1" applyFill="1" applyBorder="1" applyAlignment="1" applyProtection="1">
      <alignment horizontal="left" vertical="center"/>
      <protection hidden="1"/>
    </xf>
    <xf numFmtId="0" fontId="32" fillId="3" borderId="2" xfId="0" applyNumberFormat="1" applyFont="1" applyFill="1" applyBorder="1" applyAlignment="1" applyProtection="1">
      <alignment horizontal="left" vertical="center"/>
      <protection hidden="1"/>
    </xf>
    <xf numFmtId="0" fontId="32" fillId="3" borderId="7" xfId="0" applyNumberFormat="1" applyFont="1" applyFill="1" applyBorder="1" applyAlignment="1" applyProtection="1">
      <alignment horizontal="left" vertical="center"/>
      <protection hidden="1"/>
    </xf>
    <xf numFmtId="0" fontId="32" fillId="3" borderId="14" xfId="0" applyNumberFormat="1" applyFont="1" applyFill="1" applyBorder="1" applyAlignment="1" applyProtection="1">
      <alignment horizontal="left" vertical="center"/>
      <protection hidden="1"/>
    </xf>
    <xf numFmtId="0" fontId="32" fillId="3" borderId="2" xfId="0" applyFont="1" applyFill="1" applyBorder="1" applyAlignment="1" applyProtection="1">
      <alignment horizontal="center" vertical="center" wrapText="1"/>
      <protection hidden="1"/>
    </xf>
    <xf numFmtId="0" fontId="32" fillId="3" borderId="7" xfId="0" applyFont="1" applyFill="1" applyBorder="1" applyAlignment="1" applyProtection="1">
      <alignment horizontal="center" vertical="center" wrapText="1"/>
      <protection hidden="1"/>
    </xf>
    <xf numFmtId="0" fontId="32" fillId="3" borderId="14" xfId="0" applyFont="1" applyFill="1" applyBorder="1" applyAlignment="1" applyProtection="1">
      <alignment horizontal="center" vertical="center" wrapText="1"/>
      <protection hidden="1"/>
    </xf>
    <xf numFmtId="0" fontId="32" fillId="3" borderId="3" xfId="0" applyNumberFormat="1" applyFont="1" applyFill="1" applyBorder="1" applyAlignment="1" applyProtection="1">
      <alignment horizontal="left" vertical="center"/>
      <protection hidden="1"/>
    </xf>
    <xf numFmtId="0" fontId="58" fillId="3" borderId="62" xfId="0" applyNumberFormat="1" applyFont="1" applyFill="1" applyBorder="1" applyAlignment="1" applyProtection="1">
      <alignment horizontal="left" vertical="center"/>
      <protection hidden="1"/>
    </xf>
    <xf numFmtId="0" fontId="58" fillId="3" borderId="29" xfId="0" applyNumberFormat="1" applyFont="1" applyFill="1" applyBorder="1" applyAlignment="1" applyProtection="1">
      <alignment horizontal="left" vertical="center"/>
      <protection hidden="1"/>
    </xf>
    <xf numFmtId="0" fontId="58" fillId="3" borderId="37" xfId="0" applyNumberFormat="1" applyFont="1" applyFill="1" applyBorder="1" applyAlignment="1" applyProtection="1">
      <alignment horizontal="left" vertical="center"/>
      <protection hidden="1"/>
    </xf>
    <xf numFmtId="0" fontId="6" fillId="2" borderId="1" xfId="0" applyFont="1" applyFill="1" applyBorder="1" applyAlignment="1">
      <alignment horizontal="center" vertical="center"/>
    </xf>
    <xf numFmtId="0" fontId="4" fillId="0" borderId="0" xfId="0" applyFont="1" applyAlignment="1">
      <alignment horizontal="center"/>
    </xf>
    <xf numFmtId="0" fontId="11" fillId="3" borderId="2" xfId="0" applyFont="1" applyFill="1" applyBorder="1" applyAlignment="1" applyProtection="1">
      <alignment horizontal="center" vertical="center"/>
      <protection hidden="1"/>
    </xf>
    <xf numFmtId="0" fontId="11" fillId="3" borderId="7" xfId="0" applyFont="1" applyFill="1" applyBorder="1" applyAlignment="1" applyProtection="1">
      <alignment horizontal="center" vertical="center"/>
      <protection hidden="1"/>
    </xf>
    <xf numFmtId="0" fontId="11" fillId="3" borderId="14" xfId="0" applyFont="1" applyFill="1" applyBorder="1" applyAlignment="1" applyProtection="1">
      <alignment horizontal="center" vertical="center"/>
      <protection hidden="1"/>
    </xf>
    <xf numFmtId="0" fontId="11" fillId="3" borderId="0" xfId="0" applyFont="1" applyFill="1" applyBorder="1" applyAlignment="1" applyProtection="1">
      <alignment horizontal="center" vertical="center"/>
      <protection hidden="1"/>
    </xf>
    <xf numFmtId="0" fontId="74" fillId="0" borderId="0" xfId="0" applyFont="1" applyAlignment="1">
      <alignment horizontal="center" vertical="center"/>
    </xf>
    <xf numFmtId="0" fontId="45" fillId="0" borderId="2" xfId="0" applyFont="1" applyBorder="1" applyAlignment="1">
      <alignment horizontal="center" vertical="center"/>
    </xf>
    <xf numFmtId="0" fontId="45" fillId="0" borderId="7" xfId="0" applyFont="1" applyBorder="1" applyAlignment="1">
      <alignment horizontal="center" vertical="center"/>
    </xf>
    <xf numFmtId="0" fontId="45" fillId="0" borderId="14" xfId="0" applyFont="1" applyBorder="1" applyAlignment="1">
      <alignment horizontal="center" vertical="center"/>
    </xf>
    <xf numFmtId="0" fontId="44" fillId="0" borderId="13" xfId="0" applyFont="1" applyBorder="1" applyAlignment="1">
      <alignment horizontal="center" vertical="center" wrapText="1"/>
    </xf>
    <xf numFmtId="15" fontId="44" fillId="0" borderId="64" xfId="0" applyNumberFormat="1" applyFont="1" applyBorder="1" applyAlignment="1">
      <alignment horizontal="left" vertical="center"/>
    </xf>
    <xf numFmtId="0" fontId="44" fillId="0" borderId="4" xfId="0" applyFont="1" applyBorder="1" applyAlignment="1">
      <alignment horizontal="left" vertical="center"/>
    </xf>
    <xf numFmtId="0" fontId="44" fillId="0" borderId="3" xfId="0" applyFont="1" applyBorder="1" applyAlignment="1">
      <alignment horizontal="left" vertical="center"/>
    </xf>
    <xf numFmtId="0" fontId="44" fillId="0" borderId="64" xfId="0" applyFont="1" applyBorder="1" applyAlignment="1">
      <alignment horizontal="left" vertical="center"/>
    </xf>
    <xf numFmtId="0" fontId="44" fillId="0" borderId="55" xfId="0" applyFont="1" applyBorder="1" applyAlignment="1">
      <alignment horizontal="left" vertical="center"/>
    </xf>
    <xf numFmtId="0" fontId="44" fillId="0" borderId="57" xfId="0" applyFont="1" applyBorder="1" applyAlignment="1">
      <alignment horizontal="left" vertical="center"/>
    </xf>
    <xf numFmtId="0" fontId="44" fillId="0" borderId="61" xfId="0" applyFont="1" applyBorder="1" applyAlignment="1">
      <alignment horizontal="left" vertical="center"/>
    </xf>
    <xf numFmtId="0" fontId="44" fillId="0" borderId="60" xfId="0" applyFont="1" applyBorder="1" applyAlignment="1">
      <alignment horizontal="left" vertical="center"/>
    </xf>
    <xf numFmtId="0" fontId="44" fillId="0" borderId="62" xfId="0" applyFont="1" applyBorder="1" applyAlignment="1">
      <alignment horizontal="left" vertical="center"/>
    </xf>
    <xf numFmtId="0" fontId="44" fillId="0" borderId="37" xfId="0" applyFont="1" applyBorder="1" applyAlignment="1">
      <alignment horizontal="left" vertical="center"/>
    </xf>
    <xf numFmtId="0" fontId="44" fillId="0" borderId="6" xfId="0" applyFont="1" applyBorder="1" applyAlignment="1">
      <alignment horizontal="left" vertical="center"/>
    </xf>
    <xf numFmtId="0" fontId="44" fillId="0" borderId="8" xfId="0" applyFont="1" applyBorder="1" applyAlignment="1">
      <alignment horizontal="left" vertical="center"/>
    </xf>
    <xf numFmtId="0" fontId="44" fillId="0" borderId="9" xfId="0" applyFont="1" applyBorder="1" applyAlignment="1">
      <alignment horizontal="left" vertical="center"/>
    </xf>
    <xf numFmtId="0" fontId="44" fillId="0" borderId="0" xfId="0" applyFont="1" applyBorder="1" applyAlignment="1">
      <alignment horizontal="left" vertical="center"/>
    </xf>
    <xf numFmtId="0" fontId="45" fillId="0" borderId="13" xfId="0" applyFont="1" applyBorder="1" applyAlignment="1">
      <alignment horizontal="center" vertical="center"/>
    </xf>
    <xf numFmtId="0" fontId="44" fillId="0" borderId="56" xfId="0" applyFont="1" applyBorder="1" applyAlignment="1">
      <alignment horizontal="left" vertical="center"/>
    </xf>
    <xf numFmtId="0" fontId="44" fillId="0" borderId="10" xfId="0" applyFont="1" applyBorder="1" applyAlignment="1">
      <alignment horizontal="left" vertical="center"/>
    </xf>
  </cellXfs>
  <cellStyles count="6">
    <cellStyle name="Hyperlink" xfId="1" builtinId="8"/>
    <cellStyle name="Normal" xfId="0" builtinId="0"/>
    <cellStyle name="Normal 2" xfId="2"/>
    <cellStyle name="Normal 4 2" xfId="3"/>
    <cellStyle name="Normal 4 3" xfId="5"/>
    <cellStyle name="Normal 7" xfId="4"/>
  </cellStyles>
  <dxfs count="7">
    <dxf>
      <font>
        <color rgb="FF9C0006"/>
      </font>
    </dxf>
    <dxf>
      <font>
        <color rgb="FF9C0006"/>
      </font>
    </dxf>
    <dxf>
      <fill>
        <patternFill patternType="solid">
          <bgColor theme="0"/>
        </patternFill>
      </fill>
    </dxf>
    <dxf>
      <font>
        <color rgb="FF9C0006"/>
      </font>
    </dxf>
    <dxf>
      <font>
        <color rgb="FF9C0006"/>
      </font>
    </dxf>
    <dxf>
      <font>
        <color rgb="FF9C0006"/>
      </font>
    </dxf>
    <dxf>
      <font>
        <color rgb="FF9C0006"/>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ctrlProps/ctrlProp1.xml><?xml version="1.0" encoding="utf-8"?>
<formControlPr xmlns="http://schemas.microsoft.com/office/spreadsheetml/2009/9/main" objectType="Scroll" dx="16" fmlaLink="$O$1" max="50" min="1" page="0" val="2"/>
</file>

<file path=xl/ctrlProps/ctrlProp2.xml><?xml version="1.0" encoding="utf-8"?>
<formControlPr xmlns="http://schemas.microsoft.com/office/spreadsheetml/2009/9/main" objectType="Drop" dropStyle="combo" dx="16" fmlaLink="$O$1" fmlaRange="Biodata!$C$9:$C$50" sel="2" val="0"/>
</file>

<file path=xl/ctrlProps/ctrlProp3.xml><?xml version="1.0" encoding="utf-8"?>
<formControlPr xmlns="http://schemas.microsoft.com/office/spreadsheetml/2009/9/main" objectType="Scroll" dx="16" fmlaLink="$O$1" max="50" min="1" page="0" val="34"/>
</file>

<file path=xl/ctrlProps/ctrlProp4.xml><?xml version="1.0" encoding="utf-8"?>
<formControlPr xmlns="http://schemas.microsoft.com/office/spreadsheetml/2009/9/main" objectType="Drop" dropStyle="combo" dx="16" fmlaLink="$O$1" fmlaRange="Biodata!$C$9:$C$50" sel="34" val="33"/>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Drop" dropLines="12" dropStyle="combo" dx="16" fmlaLink="$P$1" fmlaRange="Biodata!$C$9:$C$48" noThreeD="1" sel="4" val="0"/>
</file>

<file path=xl/ctrlProps/ctrlProp7.xml><?xml version="1.0" encoding="utf-8"?>
<formControlPr xmlns="http://schemas.microsoft.com/office/spreadsheetml/2009/9/main" objectType="Drop" dropLines="10" dropStyle="combo" dx="16" fmlaLink="$G$3" fmlaRange="Biodata!$C$9:$X$48" sel="33" val="24"/>
</file>

<file path=xl/drawings/_rels/drawing1.xml.rels><?xml version="1.0" encoding="UTF-8" standalone="yes"?>
<Relationships xmlns="http://schemas.openxmlformats.org/package/2006/relationships"><Relationship Id="rId3" Type="http://schemas.openxmlformats.org/officeDocument/2006/relationships/hyperlink" Target="#RAPORT!A1"/><Relationship Id="rId7" Type="http://schemas.openxmlformats.org/officeDocument/2006/relationships/hyperlink" Target="#PdhKeluar!A1"/><Relationship Id="rId2" Type="http://schemas.openxmlformats.org/officeDocument/2006/relationships/hyperlink" Target="#CatatPrestasi!A1"/><Relationship Id="rId1" Type="http://schemas.openxmlformats.org/officeDocument/2006/relationships/hyperlink" Target="#LEGER!A1"/><Relationship Id="rId6" Type="http://schemas.openxmlformats.org/officeDocument/2006/relationships/hyperlink" Target="#PdhMasuk!A1"/><Relationship Id="rId5" Type="http://schemas.openxmlformats.org/officeDocument/2006/relationships/hyperlink" Target="#Identitas!A1"/><Relationship Id="rId4" Type="http://schemas.openxmlformats.org/officeDocument/2006/relationships/hyperlink" Target="#COVER!A1"/></Relationships>
</file>

<file path=xl/drawings/_rels/drawing2.xml.rels><?xml version="1.0" encoding="UTF-8" standalone="yes"?>
<Relationships xmlns="http://schemas.openxmlformats.org/package/2006/relationships"><Relationship Id="rId3" Type="http://schemas.openxmlformats.org/officeDocument/2006/relationships/hyperlink" Target="#RAPORT!A1"/><Relationship Id="rId2" Type="http://schemas.openxmlformats.org/officeDocument/2006/relationships/hyperlink" Target="#CatatPrestasi!A1"/><Relationship Id="rId1" Type="http://schemas.openxmlformats.org/officeDocument/2006/relationships/hyperlink" Target="#Biodata!A1"/></Relationships>
</file>

<file path=xl/drawings/_rels/drawing3.xml.rels><?xml version="1.0" encoding="UTF-8" standalone="yes"?>
<Relationships xmlns="http://schemas.openxmlformats.org/package/2006/relationships"><Relationship Id="rId3" Type="http://schemas.openxmlformats.org/officeDocument/2006/relationships/hyperlink" Target="#RAPORT!A1"/><Relationship Id="rId2" Type="http://schemas.openxmlformats.org/officeDocument/2006/relationships/hyperlink" Target="#LEGER!A1"/><Relationship Id="rId1" Type="http://schemas.openxmlformats.org/officeDocument/2006/relationships/hyperlink" Target="#Biodata!A1"/></Relationships>
</file>

<file path=xl/drawings/_rels/drawing4.xml.rels><?xml version="1.0" encoding="UTF-8" standalone="yes"?>
<Relationships xmlns="http://schemas.openxmlformats.org/package/2006/relationships"><Relationship Id="rId3" Type="http://schemas.openxmlformats.org/officeDocument/2006/relationships/hyperlink" Target="#LEGER!A1"/><Relationship Id="rId2" Type="http://schemas.openxmlformats.org/officeDocument/2006/relationships/hyperlink" Target="#Biodata!A1"/><Relationship Id="rId1" Type="http://schemas.openxmlformats.org/officeDocument/2006/relationships/image" Target="../media/image1.jpeg"/><Relationship Id="rId5" Type="http://schemas.openxmlformats.org/officeDocument/2006/relationships/image" Target="../media/image2.jpeg"/><Relationship Id="rId4" Type="http://schemas.openxmlformats.org/officeDocument/2006/relationships/hyperlink" Target="#CatatPrestasi!A1"/></Relationships>
</file>

<file path=xl/drawings/_rels/drawing5.xml.rels><?xml version="1.0" encoding="UTF-8" standalone="yes"?>
<Relationships xmlns="http://schemas.openxmlformats.org/package/2006/relationships"><Relationship Id="rId3" Type="http://schemas.openxmlformats.org/officeDocument/2006/relationships/hyperlink" Target="#LEGER!A1"/><Relationship Id="rId2" Type="http://schemas.openxmlformats.org/officeDocument/2006/relationships/hyperlink" Target="#Biodata!A1"/><Relationship Id="rId1" Type="http://schemas.openxmlformats.org/officeDocument/2006/relationships/image" Target="../media/image1.jpeg"/><Relationship Id="rId5" Type="http://schemas.openxmlformats.org/officeDocument/2006/relationships/image" Target="../media/image3.jpeg"/><Relationship Id="rId4" Type="http://schemas.openxmlformats.org/officeDocument/2006/relationships/hyperlink" Target="#CatatPrestasi!A1"/></Relationships>
</file>

<file path=xl/drawings/_rels/drawing6.xml.rels><?xml version="1.0" encoding="UTF-8" standalone="yes"?>
<Relationships xmlns="http://schemas.openxmlformats.org/package/2006/relationships"><Relationship Id="rId8" Type="http://schemas.openxmlformats.org/officeDocument/2006/relationships/hyperlink" Target="#PdhMasuk!A1"/><Relationship Id="rId3" Type="http://schemas.openxmlformats.org/officeDocument/2006/relationships/image" Target="../media/image7.jpeg"/><Relationship Id="rId7" Type="http://schemas.openxmlformats.org/officeDocument/2006/relationships/hyperlink" Target="#RAPORT!A1"/><Relationship Id="rId2" Type="http://schemas.openxmlformats.org/officeDocument/2006/relationships/image" Target="../media/image6.jpeg"/><Relationship Id="rId1" Type="http://schemas.openxmlformats.org/officeDocument/2006/relationships/image" Target="../media/image5.jpeg"/><Relationship Id="rId6" Type="http://schemas.openxmlformats.org/officeDocument/2006/relationships/hyperlink" Target="#Identitas!A1"/><Relationship Id="rId5" Type="http://schemas.openxmlformats.org/officeDocument/2006/relationships/hyperlink" Target="#Biodata!A1"/><Relationship Id="rId4" Type="http://schemas.microsoft.com/office/2007/relationships/hdphoto" Target="../media/hdphoto1.wdp"/><Relationship Id="rId9" Type="http://schemas.openxmlformats.org/officeDocument/2006/relationships/hyperlink" Target="#PdhKeluar!A1"/></Relationships>
</file>

<file path=xl/drawings/_rels/drawing7.xml.rels><?xml version="1.0" encoding="UTF-8" standalone="yes"?>
<Relationships xmlns="http://schemas.openxmlformats.org/package/2006/relationships"><Relationship Id="rId3" Type="http://schemas.openxmlformats.org/officeDocument/2006/relationships/hyperlink" Target="#RAPORT!A1"/><Relationship Id="rId2" Type="http://schemas.openxmlformats.org/officeDocument/2006/relationships/hyperlink" Target="#LEGER!A1"/><Relationship Id="rId1" Type="http://schemas.openxmlformats.org/officeDocument/2006/relationships/hyperlink" Target="#Biodata!A1"/></Relationships>
</file>

<file path=xl/drawings/_rels/drawing8.xml.rels><?xml version="1.0" encoding="UTF-8" standalone="yes"?>
<Relationships xmlns="http://schemas.openxmlformats.org/package/2006/relationships"><Relationship Id="rId2" Type="http://schemas.openxmlformats.org/officeDocument/2006/relationships/hyperlink" Target="#COVER!A1"/><Relationship Id="rId1" Type="http://schemas.openxmlformats.org/officeDocument/2006/relationships/hyperlink" Target="#RAPORT!A1"/></Relationships>
</file>

<file path=xl/drawings/_rels/drawing9.xml.rels><?xml version="1.0" encoding="UTF-8" standalone="yes"?>
<Relationships xmlns="http://schemas.openxmlformats.org/package/2006/relationships"><Relationship Id="rId2" Type="http://schemas.openxmlformats.org/officeDocument/2006/relationships/hyperlink" Target="#COVER!A1"/><Relationship Id="rId1" Type="http://schemas.openxmlformats.org/officeDocument/2006/relationships/hyperlink" Target="#RAPORT!A1"/></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8</xdr:col>
      <xdr:colOff>19050</xdr:colOff>
      <xdr:row>1</xdr:row>
      <xdr:rowOff>38100</xdr:rowOff>
    </xdr:from>
    <xdr:to>
      <xdr:col>9</xdr:col>
      <xdr:colOff>447675</xdr:colOff>
      <xdr:row>3</xdr:row>
      <xdr:rowOff>38100</xdr:rowOff>
    </xdr:to>
    <xdr:sp macro="" textlink="">
      <xdr:nvSpPr>
        <xdr:cNvPr id="2" name="Rectangle 1">
          <a:hlinkClick xmlns:r="http://schemas.openxmlformats.org/officeDocument/2006/relationships" r:id="rId1"/>
        </xdr:cNvPr>
        <xdr:cNvSpPr/>
      </xdr:nvSpPr>
      <xdr:spPr>
        <a:xfrm>
          <a:off x="6743700" y="266700"/>
          <a:ext cx="885825" cy="323850"/>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t>LEGER</a:t>
          </a:r>
        </a:p>
      </xdr:txBody>
    </xdr:sp>
    <xdr:clientData/>
  </xdr:twoCellAnchor>
  <xdr:twoCellAnchor>
    <xdr:from>
      <xdr:col>9</xdr:col>
      <xdr:colOff>657225</xdr:colOff>
      <xdr:row>1</xdr:row>
      <xdr:rowOff>38100</xdr:rowOff>
    </xdr:from>
    <xdr:to>
      <xdr:col>11</xdr:col>
      <xdr:colOff>180975</xdr:colOff>
      <xdr:row>3</xdr:row>
      <xdr:rowOff>38100</xdr:rowOff>
    </xdr:to>
    <xdr:sp macro="" textlink="">
      <xdr:nvSpPr>
        <xdr:cNvPr id="3" name="Rectangle 2">
          <a:hlinkClick xmlns:r="http://schemas.openxmlformats.org/officeDocument/2006/relationships" r:id="rId2"/>
        </xdr:cNvPr>
        <xdr:cNvSpPr/>
      </xdr:nvSpPr>
      <xdr:spPr>
        <a:xfrm>
          <a:off x="7839075" y="266700"/>
          <a:ext cx="885825" cy="323850"/>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t>PRESTASI</a:t>
          </a:r>
        </a:p>
      </xdr:txBody>
    </xdr:sp>
    <xdr:clientData/>
  </xdr:twoCellAnchor>
  <xdr:twoCellAnchor>
    <xdr:from>
      <xdr:col>11</xdr:col>
      <xdr:colOff>400050</xdr:colOff>
      <xdr:row>1</xdr:row>
      <xdr:rowOff>38100</xdr:rowOff>
    </xdr:from>
    <xdr:to>
      <xdr:col>13</xdr:col>
      <xdr:colOff>66675</xdr:colOff>
      <xdr:row>3</xdr:row>
      <xdr:rowOff>38100</xdr:rowOff>
    </xdr:to>
    <xdr:sp macro="" textlink="">
      <xdr:nvSpPr>
        <xdr:cNvPr id="4" name="Rectangle 3">
          <a:hlinkClick xmlns:r="http://schemas.openxmlformats.org/officeDocument/2006/relationships" r:id="rId3"/>
        </xdr:cNvPr>
        <xdr:cNvSpPr/>
      </xdr:nvSpPr>
      <xdr:spPr>
        <a:xfrm>
          <a:off x="8943975" y="266700"/>
          <a:ext cx="885825" cy="323850"/>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t>RAPOR</a:t>
          </a:r>
        </a:p>
      </xdr:txBody>
    </xdr:sp>
    <xdr:clientData/>
  </xdr:twoCellAnchor>
  <xdr:twoCellAnchor>
    <xdr:from>
      <xdr:col>13</xdr:col>
      <xdr:colOff>209550</xdr:colOff>
      <xdr:row>1</xdr:row>
      <xdr:rowOff>38100</xdr:rowOff>
    </xdr:from>
    <xdr:to>
      <xdr:col>14</xdr:col>
      <xdr:colOff>485775</xdr:colOff>
      <xdr:row>3</xdr:row>
      <xdr:rowOff>38100</xdr:rowOff>
    </xdr:to>
    <xdr:sp macro="" textlink="">
      <xdr:nvSpPr>
        <xdr:cNvPr id="5" name="Rectangle 4">
          <a:hlinkClick xmlns:r="http://schemas.openxmlformats.org/officeDocument/2006/relationships" r:id="rId4"/>
        </xdr:cNvPr>
        <xdr:cNvSpPr/>
      </xdr:nvSpPr>
      <xdr:spPr>
        <a:xfrm>
          <a:off x="9972675" y="266700"/>
          <a:ext cx="885825" cy="323850"/>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t>COVER</a:t>
          </a:r>
        </a:p>
      </xdr:txBody>
    </xdr:sp>
    <xdr:clientData/>
  </xdr:twoCellAnchor>
  <xdr:twoCellAnchor>
    <xdr:from>
      <xdr:col>15</xdr:col>
      <xdr:colOff>28575</xdr:colOff>
      <xdr:row>1</xdr:row>
      <xdr:rowOff>38100</xdr:rowOff>
    </xdr:from>
    <xdr:to>
      <xdr:col>16</xdr:col>
      <xdr:colOff>304800</xdr:colOff>
      <xdr:row>3</xdr:row>
      <xdr:rowOff>38100</xdr:rowOff>
    </xdr:to>
    <xdr:sp macro="" textlink="">
      <xdr:nvSpPr>
        <xdr:cNvPr id="6" name="Rectangle 5">
          <a:hlinkClick xmlns:r="http://schemas.openxmlformats.org/officeDocument/2006/relationships" r:id="rId5"/>
        </xdr:cNvPr>
        <xdr:cNvSpPr/>
      </xdr:nvSpPr>
      <xdr:spPr>
        <a:xfrm>
          <a:off x="11010900" y="266700"/>
          <a:ext cx="885825" cy="323850"/>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t>IDENTITAS</a:t>
          </a:r>
        </a:p>
      </xdr:txBody>
    </xdr:sp>
    <xdr:clientData/>
  </xdr:twoCellAnchor>
  <xdr:twoCellAnchor>
    <xdr:from>
      <xdr:col>17</xdr:col>
      <xdr:colOff>9525</xdr:colOff>
      <xdr:row>2</xdr:row>
      <xdr:rowOff>76200</xdr:rowOff>
    </xdr:from>
    <xdr:to>
      <xdr:col>18</xdr:col>
      <xdr:colOff>285750</xdr:colOff>
      <xdr:row>4</xdr:row>
      <xdr:rowOff>76200</xdr:rowOff>
    </xdr:to>
    <xdr:sp macro="" textlink="">
      <xdr:nvSpPr>
        <xdr:cNvPr id="7" name="Rectangle 6">
          <a:hlinkClick xmlns:r="http://schemas.openxmlformats.org/officeDocument/2006/relationships" r:id="rId6"/>
        </xdr:cNvPr>
        <xdr:cNvSpPr/>
      </xdr:nvSpPr>
      <xdr:spPr>
        <a:xfrm>
          <a:off x="12211050" y="466725"/>
          <a:ext cx="885825" cy="323850"/>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t>Mutasi</a:t>
          </a:r>
          <a:r>
            <a:rPr lang="id-ID" sz="1200" b="1" baseline="0"/>
            <a:t>_M</a:t>
          </a:r>
          <a:endParaRPr lang="id-ID" sz="1200" b="1"/>
        </a:p>
      </xdr:txBody>
    </xdr:sp>
    <xdr:clientData/>
  </xdr:twoCellAnchor>
  <xdr:twoCellAnchor>
    <xdr:from>
      <xdr:col>17</xdr:col>
      <xdr:colOff>19050</xdr:colOff>
      <xdr:row>0</xdr:row>
      <xdr:rowOff>95250</xdr:rowOff>
    </xdr:from>
    <xdr:to>
      <xdr:col>18</xdr:col>
      <xdr:colOff>295275</xdr:colOff>
      <xdr:row>2</xdr:row>
      <xdr:rowOff>28575</xdr:rowOff>
    </xdr:to>
    <xdr:sp macro="" textlink="">
      <xdr:nvSpPr>
        <xdr:cNvPr id="8" name="Rectangle 7">
          <a:hlinkClick xmlns:r="http://schemas.openxmlformats.org/officeDocument/2006/relationships" r:id="rId7"/>
        </xdr:cNvPr>
        <xdr:cNvSpPr/>
      </xdr:nvSpPr>
      <xdr:spPr>
        <a:xfrm>
          <a:off x="12220575" y="95250"/>
          <a:ext cx="885825" cy="323850"/>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t>Mutasi_K</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16</xdr:col>
      <xdr:colOff>67235</xdr:colOff>
      <xdr:row>1</xdr:row>
      <xdr:rowOff>34738</xdr:rowOff>
    </xdr:from>
    <xdr:ext cx="3298275" cy="262572"/>
    <xdr:sp macro="" textlink="">
      <xdr:nvSpPr>
        <xdr:cNvPr id="2" name="TextBox 1"/>
        <xdr:cNvSpPr txBox="1"/>
      </xdr:nvSpPr>
      <xdr:spPr>
        <a:xfrm>
          <a:off x="5614147" y="225238"/>
          <a:ext cx="3298275" cy="262572"/>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wrap="none" rtlCol="0" anchor="t">
          <a:spAutoFit/>
        </a:bodyPr>
        <a:lstStyle/>
        <a:p>
          <a:r>
            <a:rPr lang="id-ID" sz="1100" b="1">
              <a:solidFill>
                <a:sysClr val="windowText" lastClr="000000"/>
              </a:solidFill>
              <a:latin typeface="Tahoma" panose="020B0604030504040204" pitchFamily="34" charset="0"/>
              <a:ea typeface="Tahoma" panose="020B0604030504040204" pitchFamily="34" charset="0"/>
              <a:cs typeface="Tahoma" panose="020B0604030504040204" pitchFamily="34" charset="0"/>
            </a:rPr>
            <a:t>NON MUSLIM Nilai BTQ diisi tanda strip ( - )</a:t>
          </a:r>
        </a:p>
      </xdr:txBody>
    </xdr:sp>
    <xdr:clientData/>
  </xdr:oneCellAnchor>
  <xdr:twoCellAnchor>
    <xdr:from>
      <xdr:col>27</xdr:col>
      <xdr:colOff>1064561</xdr:colOff>
      <xdr:row>0</xdr:row>
      <xdr:rowOff>156883</xdr:rowOff>
    </xdr:from>
    <xdr:to>
      <xdr:col>29</xdr:col>
      <xdr:colOff>370357</xdr:colOff>
      <xdr:row>2</xdr:row>
      <xdr:rowOff>99733</xdr:rowOff>
    </xdr:to>
    <xdr:sp macro="" textlink="">
      <xdr:nvSpPr>
        <xdr:cNvPr id="3" name="Rectangle 2">
          <a:hlinkClick xmlns:r="http://schemas.openxmlformats.org/officeDocument/2006/relationships" r:id="rId1"/>
        </xdr:cNvPr>
        <xdr:cNvSpPr/>
      </xdr:nvSpPr>
      <xdr:spPr>
        <a:xfrm>
          <a:off x="9838767" y="156883"/>
          <a:ext cx="807384" cy="323850"/>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t>BIODATA</a:t>
          </a:r>
        </a:p>
      </xdr:txBody>
    </xdr:sp>
    <xdr:clientData/>
  </xdr:twoCellAnchor>
  <xdr:twoCellAnchor>
    <xdr:from>
      <xdr:col>30</xdr:col>
      <xdr:colOff>29147</xdr:colOff>
      <xdr:row>0</xdr:row>
      <xdr:rowOff>152398</xdr:rowOff>
    </xdr:from>
    <xdr:to>
      <xdr:col>32</xdr:col>
      <xdr:colOff>74531</xdr:colOff>
      <xdr:row>2</xdr:row>
      <xdr:rowOff>95248</xdr:rowOff>
    </xdr:to>
    <xdr:sp macro="" textlink="">
      <xdr:nvSpPr>
        <xdr:cNvPr id="4" name="Rectangle 3">
          <a:hlinkClick xmlns:r="http://schemas.openxmlformats.org/officeDocument/2006/relationships" r:id="rId2"/>
        </xdr:cNvPr>
        <xdr:cNvSpPr/>
      </xdr:nvSpPr>
      <xdr:spPr>
        <a:xfrm>
          <a:off x="10798000" y="152398"/>
          <a:ext cx="784972" cy="323850"/>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t>PRESTASI</a:t>
          </a:r>
        </a:p>
      </xdr:txBody>
    </xdr:sp>
    <xdr:clientData/>
  </xdr:twoCellAnchor>
  <xdr:twoCellAnchor>
    <xdr:from>
      <xdr:col>32</xdr:col>
      <xdr:colOff>237586</xdr:colOff>
      <xdr:row>0</xdr:row>
      <xdr:rowOff>147914</xdr:rowOff>
    </xdr:from>
    <xdr:to>
      <xdr:col>32</xdr:col>
      <xdr:colOff>1123411</xdr:colOff>
      <xdr:row>2</xdr:row>
      <xdr:rowOff>90764</xdr:rowOff>
    </xdr:to>
    <xdr:sp macro="" textlink="">
      <xdr:nvSpPr>
        <xdr:cNvPr id="5" name="Rectangle 4">
          <a:hlinkClick xmlns:r="http://schemas.openxmlformats.org/officeDocument/2006/relationships" r:id="rId3"/>
        </xdr:cNvPr>
        <xdr:cNvSpPr/>
      </xdr:nvSpPr>
      <xdr:spPr>
        <a:xfrm>
          <a:off x="13370880" y="147914"/>
          <a:ext cx="885825" cy="323850"/>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t>RAPOR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66675</xdr:colOff>
      <xdr:row>0</xdr:row>
      <xdr:rowOff>104775</xdr:rowOff>
    </xdr:from>
    <xdr:to>
      <xdr:col>10</xdr:col>
      <xdr:colOff>561975</xdr:colOff>
      <xdr:row>2</xdr:row>
      <xdr:rowOff>76200</xdr:rowOff>
    </xdr:to>
    <xdr:sp macro="" textlink="">
      <xdr:nvSpPr>
        <xdr:cNvPr id="2" name="Rectangle 1">
          <a:hlinkClick xmlns:r="http://schemas.openxmlformats.org/officeDocument/2006/relationships" r:id="rId1"/>
        </xdr:cNvPr>
        <xdr:cNvSpPr/>
      </xdr:nvSpPr>
      <xdr:spPr>
        <a:xfrm>
          <a:off x="7439025" y="104775"/>
          <a:ext cx="1104900" cy="333375"/>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t>BIODATA</a:t>
          </a:r>
        </a:p>
      </xdr:txBody>
    </xdr:sp>
    <xdr:clientData/>
  </xdr:twoCellAnchor>
  <xdr:twoCellAnchor>
    <xdr:from>
      <xdr:col>11</xdr:col>
      <xdr:colOff>28575</xdr:colOff>
      <xdr:row>0</xdr:row>
      <xdr:rowOff>114300</xdr:rowOff>
    </xdr:from>
    <xdr:to>
      <xdr:col>12</xdr:col>
      <xdr:colOff>304800</xdr:colOff>
      <xdr:row>2</xdr:row>
      <xdr:rowOff>85725</xdr:rowOff>
    </xdr:to>
    <xdr:sp macro="" textlink="">
      <xdr:nvSpPr>
        <xdr:cNvPr id="3" name="Rectangle 2">
          <a:hlinkClick xmlns:r="http://schemas.openxmlformats.org/officeDocument/2006/relationships" r:id="rId2"/>
        </xdr:cNvPr>
        <xdr:cNvSpPr/>
      </xdr:nvSpPr>
      <xdr:spPr>
        <a:xfrm>
          <a:off x="8620125" y="114300"/>
          <a:ext cx="885825" cy="333375"/>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t>LEGER</a:t>
          </a:r>
        </a:p>
      </xdr:txBody>
    </xdr:sp>
    <xdr:clientData/>
  </xdr:twoCellAnchor>
  <xdr:twoCellAnchor>
    <xdr:from>
      <xdr:col>12</xdr:col>
      <xdr:colOff>390525</xdr:colOff>
      <xdr:row>0</xdr:row>
      <xdr:rowOff>123825</xdr:rowOff>
    </xdr:from>
    <xdr:to>
      <xdr:col>14</xdr:col>
      <xdr:colOff>57150</xdr:colOff>
      <xdr:row>2</xdr:row>
      <xdr:rowOff>95250</xdr:rowOff>
    </xdr:to>
    <xdr:sp macro="" textlink="">
      <xdr:nvSpPr>
        <xdr:cNvPr id="4" name="Rectangle 3">
          <a:hlinkClick xmlns:r="http://schemas.openxmlformats.org/officeDocument/2006/relationships" r:id="rId3"/>
        </xdr:cNvPr>
        <xdr:cNvSpPr/>
      </xdr:nvSpPr>
      <xdr:spPr>
        <a:xfrm>
          <a:off x="9591675" y="123825"/>
          <a:ext cx="885825" cy="333375"/>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t>RAPOR</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13</xdr:col>
          <xdr:colOff>104775</xdr:colOff>
          <xdr:row>2</xdr:row>
          <xdr:rowOff>161925</xdr:rowOff>
        </xdr:from>
        <xdr:to>
          <xdr:col>14</xdr:col>
          <xdr:colOff>28575</xdr:colOff>
          <xdr:row>12</xdr:row>
          <xdr:rowOff>295275</xdr:rowOff>
        </xdr:to>
        <xdr:sp macro="" textlink="">
          <xdr:nvSpPr>
            <xdr:cNvPr id="11331" name="Scroll Bar 67" hidden="1">
              <a:extLst>
                <a:ext uri="{63B3BB69-23CF-44E3-9099-C40C66FF867C}">
                  <a14:compatExt spid="_x0000_s11331"/>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95250</xdr:colOff>
          <xdr:row>0</xdr:row>
          <xdr:rowOff>76200</xdr:rowOff>
        </xdr:from>
        <xdr:to>
          <xdr:col>17</xdr:col>
          <xdr:colOff>2038350</xdr:colOff>
          <xdr:row>2</xdr:row>
          <xdr:rowOff>161925</xdr:rowOff>
        </xdr:to>
        <xdr:sp macro="" textlink="">
          <xdr:nvSpPr>
            <xdr:cNvPr id="11336" name="Drop Down 72" hidden="1">
              <a:extLst>
                <a:ext uri="{63B3BB69-23CF-44E3-9099-C40C66FF867C}">
                  <a14:compatExt spid="_x0000_s11336"/>
                </a:ext>
              </a:extLst>
            </xdr:cNvPr>
            <xdr:cNvSpPr/>
          </xdr:nvSpPr>
          <xdr:spPr>
            <a:xfrm>
              <a:off x="0" y="0"/>
              <a:ext cx="0" cy="0"/>
            </a:xfrm>
            <a:prstGeom prst="rect">
              <a:avLst/>
            </a:prstGeom>
          </xdr:spPr>
        </xdr:sp>
        <xdr:clientData fPrintsWithSheet="0"/>
      </xdr:twoCellAnchor>
    </mc:Choice>
    <mc:Fallback/>
  </mc:AlternateContent>
  <xdr:twoCellAnchor editAs="oneCell">
    <xdr:from>
      <xdr:col>5</xdr:col>
      <xdr:colOff>571499</xdr:colOff>
      <xdr:row>119</xdr:row>
      <xdr:rowOff>79808</xdr:rowOff>
    </xdr:from>
    <xdr:to>
      <xdr:col>6</xdr:col>
      <xdr:colOff>240</xdr:colOff>
      <xdr:row>121</xdr:row>
      <xdr:rowOff>159633</xdr:rowOff>
    </xdr:to>
    <xdr:pic>
      <xdr:nvPicPr>
        <xdr:cNvPr id="5" name="Picture 4" descr="@1.jpg"/>
        <xdr:cNvPicPr>
          <a:picLocks noChangeAspect="1"/>
        </xdr:cNvPicPr>
      </xdr:nvPicPr>
      <xdr:blipFill>
        <a:blip xmlns:r="http://schemas.openxmlformats.org/officeDocument/2006/relationships" r:embed="rId1" cstate="print"/>
        <a:stretch>
          <a:fillRect/>
        </a:stretch>
      </xdr:blipFill>
      <xdr:spPr>
        <a:xfrm>
          <a:off x="3409949" y="19882283"/>
          <a:ext cx="1485901" cy="453778"/>
        </a:xfrm>
        <a:prstGeom prst="rect">
          <a:avLst/>
        </a:prstGeom>
      </xdr:spPr>
    </xdr:pic>
    <xdr:clientData/>
  </xdr:twoCellAnchor>
  <xdr:twoCellAnchor>
    <xdr:from>
      <xdr:col>17</xdr:col>
      <xdr:colOff>1796943</xdr:colOff>
      <xdr:row>4</xdr:row>
      <xdr:rowOff>40821</xdr:rowOff>
    </xdr:from>
    <xdr:to>
      <xdr:col>17</xdr:col>
      <xdr:colOff>2812437</xdr:colOff>
      <xdr:row>5</xdr:row>
      <xdr:rowOff>171450</xdr:rowOff>
    </xdr:to>
    <xdr:sp macro="" textlink="">
      <xdr:nvSpPr>
        <xdr:cNvPr id="6" name="Rectangle 5">
          <a:hlinkClick xmlns:r="http://schemas.openxmlformats.org/officeDocument/2006/relationships" r:id="rId2"/>
        </xdr:cNvPr>
        <xdr:cNvSpPr/>
      </xdr:nvSpPr>
      <xdr:spPr>
        <a:xfrm>
          <a:off x="10459090" y="858850"/>
          <a:ext cx="1015494" cy="332335"/>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latin typeface="+mn-lt"/>
              <a:ea typeface="Tahoma" panose="020B0604030504040204" pitchFamily="34" charset="0"/>
              <a:cs typeface="Tahoma" panose="020B0604030504040204" pitchFamily="34" charset="0"/>
            </a:rPr>
            <a:t>BIODATA</a:t>
          </a:r>
        </a:p>
      </xdr:txBody>
    </xdr:sp>
    <xdr:clientData/>
  </xdr:twoCellAnchor>
  <xdr:twoCellAnchor>
    <xdr:from>
      <xdr:col>15</xdr:col>
      <xdr:colOff>424534</xdr:colOff>
      <xdr:row>4</xdr:row>
      <xdr:rowOff>27215</xdr:rowOff>
    </xdr:from>
    <xdr:to>
      <xdr:col>17</xdr:col>
      <xdr:colOff>530678</xdr:colOff>
      <xdr:row>5</xdr:row>
      <xdr:rowOff>152400</xdr:rowOff>
    </xdr:to>
    <xdr:sp macro="" textlink="">
      <xdr:nvSpPr>
        <xdr:cNvPr id="7" name="Rectangle 6">
          <a:hlinkClick xmlns:r="http://schemas.openxmlformats.org/officeDocument/2006/relationships" r:id="rId3"/>
        </xdr:cNvPr>
        <xdr:cNvSpPr/>
      </xdr:nvSpPr>
      <xdr:spPr>
        <a:xfrm>
          <a:off x="8177884" y="836840"/>
          <a:ext cx="1011019" cy="325210"/>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latin typeface="+mn-lt"/>
              <a:ea typeface="Tahoma" panose="020B0604030504040204" pitchFamily="34" charset="0"/>
              <a:cs typeface="Tahoma" panose="020B0604030504040204" pitchFamily="34" charset="0"/>
            </a:rPr>
            <a:t>LEGER</a:t>
          </a:r>
        </a:p>
      </xdr:txBody>
    </xdr:sp>
    <xdr:clientData/>
  </xdr:twoCellAnchor>
  <xdr:twoCellAnchor>
    <xdr:from>
      <xdr:col>17</xdr:col>
      <xdr:colOff>685780</xdr:colOff>
      <xdr:row>4</xdr:row>
      <xdr:rowOff>54428</xdr:rowOff>
    </xdr:from>
    <xdr:to>
      <xdr:col>17</xdr:col>
      <xdr:colOff>1673676</xdr:colOff>
      <xdr:row>5</xdr:row>
      <xdr:rowOff>152400</xdr:rowOff>
    </xdr:to>
    <xdr:sp macro="" textlink="">
      <xdr:nvSpPr>
        <xdr:cNvPr id="8" name="Rectangle 7">
          <a:hlinkClick xmlns:r="http://schemas.openxmlformats.org/officeDocument/2006/relationships" r:id="rId4"/>
        </xdr:cNvPr>
        <xdr:cNvSpPr/>
      </xdr:nvSpPr>
      <xdr:spPr>
        <a:xfrm>
          <a:off x="9344005" y="864053"/>
          <a:ext cx="987896" cy="297997"/>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latin typeface="+mn-lt"/>
              <a:ea typeface="Tahoma" panose="020B0604030504040204" pitchFamily="34" charset="0"/>
              <a:cs typeface="Tahoma" panose="020B0604030504040204" pitchFamily="34" charset="0"/>
            </a:rPr>
            <a:t>PRESTASI</a:t>
          </a:r>
        </a:p>
      </xdr:txBody>
    </xdr:sp>
    <xdr:clientData/>
  </xdr:twoCellAnchor>
  <xdr:twoCellAnchor editAs="oneCell">
    <xdr:from>
      <xdr:col>7</xdr:col>
      <xdr:colOff>0</xdr:colOff>
      <xdr:row>119</xdr:row>
      <xdr:rowOff>4084</xdr:rowOff>
    </xdr:from>
    <xdr:to>
      <xdr:col>9</xdr:col>
      <xdr:colOff>448479</xdr:colOff>
      <xdr:row>121</xdr:row>
      <xdr:rowOff>32929</xdr:rowOff>
    </xdr:to>
    <xdr:pic>
      <xdr:nvPicPr>
        <xdr:cNvPr id="2" name="Picture 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609850" y="34989409"/>
          <a:ext cx="1400979" cy="4288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13</xdr:col>
          <xdr:colOff>123825</xdr:colOff>
          <xdr:row>0</xdr:row>
          <xdr:rowOff>161925</xdr:rowOff>
        </xdr:from>
        <xdr:to>
          <xdr:col>14</xdr:col>
          <xdr:colOff>47625</xdr:colOff>
          <xdr:row>20</xdr:row>
          <xdr:rowOff>57150</xdr:rowOff>
        </xdr:to>
        <xdr:sp macro="" textlink="">
          <xdr:nvSpPr>
            <xdr:cNvPr id="87041" name="Scroll Bar 1" hidden="1">
              <a:extLst>
                <a:ext uri="{63B3BB69-23CF-44E3-9099-C40C66FF867C}">
                  <a14:compatExt spid="_x0000_s87041"/>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161925</xdr:colOff>
          <xdr:row>0</xdr:row>
          <xdr:rowOff>142875</xdr:rowOff>
        </xdr:from>
        <xdr:to>
          <xdr:col>17</xdr:col>
          <xdr:colOff>0</xdr:colOff>
          <xdr:row>3</xdr:row>
          <xdr:rowOff>28575</xdr:rowOff>
        </xdr:to>
        <xdr:sp macro="" textlink="">
          <xdr:nvSpPr>
            <xdr:cNvPr id="87042" name="Drop Down 2" hidden="1">
              <a:extLst>
                <a:ext uri="{63B3BB69-23CF-44E3-9099-C40C66FF867C}">
                  <a14:compatExt spid="_x0000_s87042"/>
                </a:ext>
              </a:extLst>
            </xdr:cNvPr>
            <xdr:cNvSpPr/>
          </xdr:nvSpPr>
          <xdr:spPr>
            <a:xfrm>
              <a:off x="0" y="0"/>
              <a:ext cx="0" cy="0"/>
            </a:xfrm>
            <a:prstGeom prst="rect">
              <a:avLst/>
            </a:prstGeom>
          </xdr:spPr>
        </xdr:sp>
        <xdr:clientData fPrintsWithSheet="0"/>
      </xdr:twoCellAnchor>
    </mc:Choice>
    <mc:Fallback/>
  </mc:AlternateContent>
  <xdr:twoCellAnchor editAs="oneCell">
    <xdr:from>
      <xdr:col>5</xdr:col>
      <xdr:colOff>571499</xdr:colOff>
      <xdr:row>81</xdr:row>
      <xdr:rowOff>79808</xdr:rowOff>
    </xdr:from>
    <xdr:to>
      <xdr:col>6</xdr:col>
      <xdr:colOff>240</xdr:colOff>
      <xdr:row>84</xdr:row>
      <xdr:rowOff>115929</xdr:rowOff>
    </xdr:to>
    <xdr:pic>
      <xdr:nvPicPr>
        <xdr:cNvPr id="4" name="Picture 3" descr="@1.jpg"/>
        <xdr:cNvPicPr>
          <a:picLocks noChangeAspect="1"/>
        </xdr:cNvPicPr>
      </xdr:nvPicPr>
      <xdr:blipFill>
        <a:blip xmlns:r="http://schemas.openxmlformats.org/officeDocument/2006/relationships" r:embed="rId1" cstate="print"/>
        <a:stretch>
          <a:fillRect/>
        </a:stretch>
      </xdr:blipFill>
      <xdr:spPr>
        <a:xfrm>
          <a:off x="2238374" y="35608058"/>
          <a:ext cx="241" cy="479874"/>
        </a:xfrm>
        <a:prstGeom prst="rect">
          <a:avLst/>
        </a:prstGeom>
      </xdr:spPr>
    </xdr:pic>
    <xdr:clientData/>
  </xdr:twoCellAnchor>
  <xdr:twoCellAnchor>
    <xdr:from>
      <xdr:col>16</xdr:col>
      <xdr:colOff>1796943</xdr:colOff>
      <xdr:row>5</xdr:row>
      <xdr:rowOff>40821</xdr:rowOff>
    </xdr:from>
    <xdr:to>
      <xdr:col>16</xdr:col>
      <xdr:colOff>2812437</xdr:colOff>
      <xdr:row>6</xdr:row>
      <xdr:rowOff>171450</xdr:rowOff>
    </xdr:to>
    <xdr:sp macro="" textlink="">
      <xdr:nvSpPr>
        <xdr:cNvPr id="5" name="Rectangle 4">
          <a:hlinkClick xmlns:r="http://schemas.openxmlformats.org/officeDocument/2006/relationships" r:id="rId2"/>
        </xdr:cNvPr>
        <xdr:cNvSpPr/>
      </xdr:nvSpPr>
      <xdr:spPr>
        <a:xfrm>
          <a:off x="10455168" y="850446"/>
          <a:ext cx="1015494" cy="330654"/>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latin typeface="+mn-lt"/>
              <a:ea typeface="Tahoma" panose="020B0604030504040204" pitchFamily="34" charset="0"/>
              <a:cs typeface="Tahoma" panose="020B0604030504040204" pitchFamily="34" charset="0"/>
            </a:rPr>
            <a:t>BIODATA</a:t>
          </a:r>
        </a:p>
      </xdr:txBody>
    </xdr:sp>
    <xdr:clientData/>
  </xdr:twoCellAnchor>
  <xdr:twoCellAnchor>
    <xdr:from>
      <xdr:col>15</xdr:col>
      <xdr:colOff>424534</xdr:colOff>
      <xdr:row>5</xdr:row>
      <xdr:rowOff>27215</xdr:rowOff>
    </xdr:from>
    <xdr:to>
      <xdr:col>16</xdr:col>
      <xdr:colOff>530678</xdr:colOff>
      <xdr:row>6</xdr:row>
      <xdr:rowOff>152400</xdr:rowOff>
    </xdr:to>
    <xdr:sp macro="" textlink="">
      <xdr:nvSpPr>
        <xdr:cNvPr id="6" name="Rectangle 5">
          <a:hlinkClick xmlns:r="http://schemas.openxmlformats.org/officeDocument/2006/relationships" r:id="rId3"/>
        </xdr:cNvPr>
        <xdr:cNvSpPr/>
      </xdr:nvSpPr>
      <xdr:spPr>
        <a:xfrm>
          <a:off x="8177884" y="836840"/>
          <a:ext cx="1011019" cy="325210"/>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latin typeface="+mn-lt"/>
              <a:ea typeface="Tahoma" panose="020B0604030504040204" pitchFamily="34" charset="0"/>
              <a:cs typeface="Tahoma" panose="020B0604030504040204" pitchFamily="34" charset="0"/>
            </a:rPr>
            <a:t>LEGER</a:t>
          </a:r>
        </a:p>
      </xdr:txBody>
    </xdr:sp>
    <xdr:clientData/>
  </xdr:twoCellAnchor>
  <xdr:twoCellAnchor>
    <xdr:from>
      <xdr:col>16</xdr:col>
      <xdr:colOff>685780</xdr:colOff>
      <xdr:row>5</xdr:row>
      <xdr:rowOff>54428</xdr:rowOff>
    </xdr:from>
    <xdr:to>
      <xdr:col>16</xdr:col>
      <xdr:colOff>1673676</xdr:colOff>
      <xdr:row>6</xdr:row>
      <xdr:rowOff>152400</xdr:rowOff>
    </xdr:to>
    <xdr:sp macro="" textlink="">
      <xdr:nvSpPr>
        <xdr:cNvPr id="7" name="Rectangle 6">
          <a:hlinkClick xmlns:r="http://schemas.openxmlformats.org/officeDocument/2006/relationships" r:id="rId4"/>
        </xdr:cNvPr>
        <xdr:cNvSpPr/>
      </xdr:nvSpPr>
      <xdr:spPr>
        <a:xfrm>
          <a:off x="9344005" y="864053"/>
          <a:ext cx="987896" cy="297997"/>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latin typeface="+mn-lt"/>
              <a:ea typeface="Tahoma" panose="020B0604030504040204" pitchFamily="34" charset="0"/>
              <a:cs typeface="Tahoma" panose="020B0604030504040204" pitchFamily="34" charset="0"/>
            </a:rPr>
            <a:t>PRESTASI</a:t>
          </a:r>
        </a:p>
      </xdr:txBody>
    </xdr:sp>
    <xdr:clientData/>
  </xdr:twoCellAnchor>
  <xdr:twoCellAnchor editAs="oneCell">
    <xdr:from>
      <xdr:col>6</xdr:col>
      <xdr:colOff>57150</xdr:colOff>
      <xdr:row>81</xdr:row>
      <xdr:rowOff>38100</xdr:rowOff>
    </xdr:from>
    <xdr:to>
      <xdr:col>8</xdr:col>
      <xdr:colOff>266700</xdr:colOff>
      <xdr:row>83</xdr:row>
      <xdr:rowOff>143604</xdr:rowOff>
    </xdr:to>
    <xdr:pic>
      <xdr:nvPicPr>
        <xdr:cNvPr id="8" name="Picture 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371725" y="16154400"/>
          <a:ext cx="1428750" cy="41030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381000</xdr:colOff>
      <xdr:row>0</xdr:row>
      <xdr:rowOff>0</xdr:rowOff>
    </xdr:from>
    <xdr:to>
      <xdr:col>6</xdr:col>
      <xdr:colOff>285750</xdr:colOff>
      <xdr:row>0</xdr:row>
      <xdr:rowOff>0</xdr:rowOff>
    </xdr:to>
    <xdr:pic>
      <xdr:nvPicPr>
        <xdr:cNvPr id="93279" name="Picture 3" descr="garuda-pancasila"/>
        <xdr:cNvPicPr>
          <a:picLocks noChangeAspect="1" noChangeArrowheads="1"/>
        </xdr:cNvPicPr>
      </xdr:nvPicPr>
      <xdr:blipFill>
        <a:blip xmlns:r="http://schemas.openxmlformats.org/officeDocument/2006/relationships" r:embed="rId1">
          <a:lum bright="-6000" contrast="30000"/>
          <a:extLst>
            <a:ext uri="{28A0092B-C50C-407E-A947-70E740481C1C}">
              <a14:useLocalDpi xmlns:a14="http://schemas.microsoft.com/office/drawing/2010/main" val="0"/>
            </a:ext>
          </a:extLst>
        </a:blip>
        <a:srcRect/>
        <a:stretch>
          <a:fillRect/>
        </a:stretch>
      </xdr:blipFill>
      <xdr:spPr bwMode="auto">
        <a:xfrm>
          <a:off x="2371725" y="0"/>
          <a:ext cx="1123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409575</xdr:colOff>
      <xdr:row>0</xdr:row>
      <xdr:rowOff>0</xdr:rowOff>
    </xdr:from>
    <xdr:to>
      <xdr:col>6</xdr:col>
      <xdr:colOff>333375</xdr:colOff>
      <xdr:row>0</xdr:row>
      <xdr:rowOff>0</xdr:rowOff>
    </xdr:to>
    <xdr:pic>
      <xdr:nvPicPr>
        <xdr:cNvPr id="93280" name="Picture 4" descr="logo pemkot"/>
        <xdr:cNvPicPr>
          <a:picLocks noChangeAspect="1" noChangeArrowheads="1"/>
        </xdr:cNvPicPr>
      </xdr:nvPicPr>
      <xdr:blipFill>
        <a:blip xmlns:r="http://schemas.openxmlformats.org/officeDocument/2006/relationships" r:embed="rId2">
          <a:lum bright="6000" contrast="36000"/>
          <a:extLst>
            <a:ext uri="{28A0092B-C50C-407E-A947-70E740481C1C}">
              <a14:useLocalDpi xmlns:a14="http://schemas.microsoft.com/office/drawing/2010/main" val="0"/>
            </a:ext>
          </a:extLst>
        </a:blip>
        <a:srcRect/>
        <a:stretch>
          <a:fillRect/>
        </a:stretch>
      </xdr:blipFill>
      <xdr:spPr bwMode="auto">
        <a:xfrm>
          <a:off x="2400300" y="0"/>
          <a:ext cx="1143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114300</xdr:colOff>
      <xdr:row>0</xdr:row>
      <xdr:rowOff>0</xdr:rowOff>
    </xdr:from>
    <xdr:to>
      <xdr:col>9</xdr:col>
      <xdr:colOff>495300</xdr:colOff>
      <xdr:row>0</xdr:row>
      <xdr:rowOff>0</xdr:rowOff>
    </xdr:to>
    <xdr:sp macro="" textlink="">
      <xdr:nvSpPr>
        <xdr:cNvPr id="74758" name="Text Box 6"/>
        <xdr:cNvSpPr txBox="1">
          <a:spLocks noChangeArrowheads="1"/>
        </xdr:cNvSpPr>
      </xdr:nvSpPr>
      <xdr:spPr bwMode="auto">
        <a:xfrm>
          <a:off x="114300" y="0"/>
          <a:ext cx="5257800" cy="0"/>
        </a:xfrm>
        <a:prstGeom prst="rect">
          <a:avLst/>
        </a:prstGeom>
        <a:solidFill>
          <a:srgbClr val="FFFFFF"/>
        </a:solidFill>
        <a:ln w="9525">
          <a:noFill/>
          <a:miter lim="800000"/>
          <a:headEnd/>
          <a:tailEnd/>
        </a:ln>
      </xdr:spPr>
      <xdr:txBody>
        <a:bodyPr vertOverflow="clip" wrap="square" lIns="91440" tIns="45720" rIns="91440" bIns="45720" anchor="t" upright="1"/>
        <a:lstStyle/>
        <a:p>
          <a:pPr algn="ctr" rtl="1">
            <a:defRPr sz="1000"/>
          </a:pPr>
          <a:r>
            <a:rPr lang="en-US" sz="2000" b="1" i="0" strike="noStrike">
              <a:solidFill>
                <a:srgbClr val="000000"/>
              </a:solidFill>
              <a:latin typeface="Times New Roman"/>
              <a:cs typeface="Times New Roman"/>
            </a:rPr>
            <a:t>SMA NEGERI 8 SAMARINDA</a:t>
          </a:r>
          <a:endParaRPr lang="en-US" sz="2000" b="0" i="0" strike="noStrike">
            <a:solidFill>
              <a:srgbClr val="000000"/>
            </a:solidFill>
            <a:latin typeface="Times New Roman"/>
            <a:cs typeface="Times New Roman"/>
          </a:endParaRPr>
        </a:p>
        <a:p>
          <a:pPr algn="ctr" rtl="1">
            <a:defRPr sz="1000"/>
          </a:pPr>
          <a:r>
            <a:rPr lang="en-US" sz="1100" b="0" i="0" strike="noStrike">
              <a:solidFill>
                <a:srgbClr val="000000"/>
              </a:solidFill>
              <a:latin typeface="Times New Roman"/>
              <a:cs typeface="Times New Roman"/>
            </a:rPr>
            <a:t>Jl. Untung Suropati – Sungai Kunjang</a:t>
          </a:r>
        </a:p>
        <a:p>
          <a:pPr algn="ctr" rtl="1">
            <a:defRPr sz="1000"/>
          </a:pPr>
          <a:r>
            <a:rPr lang="en-US" sz="1100" b="0" i="0" strike="noStrike">
              <a:solidFill>
                <a:srgbClr val="000000"/>
              </a:solidFill>
              <a:latin typeface="Times New Roman"/>
              <a:cs typeface="Times New Roman"/>
            </a:rPr>
            <a:t>Telp/Fax .(0541)273535  Kode Pos 75126 Samarinda</a:t>
          </a:r>
        </a:p>
        <a:p>
          <a:pPr algn="ctr" rtl="1">
            <a:defRPr sz="1000"/>
          </a:pPr>
          <a:r>
            <a:rPr lang="en-US" sz="1100" b="0" i="0" strike="noStrike">
              <a:solidFill>
                <a:srgbClr val="000000"/>
              </a:solidFill>
              <a:latin typeface="Times New Roman"/>
              <a:cs typeface="Times New Roman"/>
            </a:rPr>
            <a:t>E-mail: smapan@sman8samarinda.net, Website: www.sman8samarinda.net</a:t>
          </a:r>
        </a:p>
        <a:p>
          <a:pPr algn="ctr" rtl="1">
            <a:defRPr sz="1000"/>
          </a:pPr>
          <a:endParaRPr lang="en-US" sz="1100" b="0" i="0" strike="noStrike">
            <a:solidFill>
              <a:srgbClr val="000000"/>
            </a:solidFill>
            <a:latin typeface="Times New Roman"/>
            <a:cs typeface="Times New Roman"/>
          </a:endParaRPr>
        </a:p>
      </xdr:txBody>
    </xdr:sp>
    <xdr:clientData/>
  </xdr:twoCellAnchor>
  <xdr:twoCellAnchor>
    <xdr:from>
      <xdr:col>1</xdr:col>
      <xdr:colOff>381000</xdr:colOff>
      <xdr:row>0</xdr:row>
      <xdr:rowOff>0</xdr:rowOff>
    </xdr:from>
    <xdr:to>
      <xdr:col>9</xdr:col>
      <xdr:colOff>304800</xdr:colOff>
      <xdr:row>0</xdr:row>
      <xdr:rowOff>0</xdr:rowOff>
    </xdr:to>
    <xdr:sp macro="" textlink="">
      <xdr:nvSpPr>
        <xdr:cNvPr id="74759" name="Text Box 7"/>
        <xdr:cNvSpPr txBox="1">
          <a:spLocks noChangeArrowheads="1"/>
        </xdr:cNvSpPr>
      </xdr:nvSpPr>
      <xdr:spPr bwMode="auto">
        <a:xfrm>
          <a:off x="381000" y="0"/>
          <a:ext cx="4800600" cy="0"/>
        </a:xfrm>
        <a:prstGeom prst="rect">
          <a:avLst/>
        </a:prstGeom>
        <a:solidFill>
          <a:srgbClr val="FFFFFF"/>
        </a:solidFill>
        <a:ln w="9525">
          <a:noFill/>
          <a:miter lim="800000"/>
          <a:headEnd/>
          <a:tailEnd/>
        </a:ln>
      </xdr:spPr>
      <xdr:txBody>
        <a:bodyPr vertOverflow="clip" wrap="square" lIns="91440" tIns="45720" rIns="91440" bIns="45720" anchor="t" upright="1"/>
        <a:lstStyle/>
        <a:p>
          <a:pPr algn="ctr" rtl="1">
            <a:defRPr sz="1000"/>
          </a:pPr>
          <a:r>
            <a:rPr lang="en-US" sz="2000" b="1" i="0" strike="noStrike">
              <a:solidFill>
                <a:srgbClr val="000000"/>
              </a:solidFill>
              <a:latin typeface="Times New Roman"/>
              <a:cs typeface="Times New Roman"/>
            </a:rPr>
            <a:t>LAPORAN HASIL BELAJAR SISWA</a:t>
          </a:r>
        </a:p>
        <a:p>
          <a:pPr algn="ctr" rtl="1">
            <a:defRPr sz="1000"/>
          </a:pPr>
          <a:r>
            <a:rPr lang="en-US" sz="2000" b="1" i="0" strike="noStrike">
              <a:solidFill>
                <a:srgbClr val="000000"/>
              </a:solidFill>
              <a:latin typeface="Times New Roman"/>
              <a:cs typeface="Times New Roman"/>
            </a:rPr>
            <a:t>SEKOLAH MENENGAH ATAS</a:t>
          </a:r>
        </a:p>
        <a:p>
          <a:pPr algn="ctr" rtl="1">
            <a:defRPr sz="1000"/>
          </a:pPr>
          <a:r>
            <a:rPr lang="en-US" sz="2000" b="1" i="0" strike="noStrike">
              <a:solidFill>
                <a:srgbClr val="000000"/>
              </a:solidFill>
              <a:latin typeface="Times New Roman"/>
              <a:cs typeface="Times New Roman"/>
            </a:rPr>
            <a:t>( SMA )</a:t>
          </a:r>
          <a:endParaRPr lang="en-US" sz="2000" b="0" i="0" strike="noStrike">
            <a:solidFill>
              <a:srgbClr val="000000"/>
            </a:solidFill>
            <a:latin typeface="Calibri"/>
          </a:endParaRPr>
        </a:p>
        <a:p>
          <a:pPr algn="ctr" rtl="1">
            <a:defRPr sz="1000"/>
          </a:pPr>
          <a:endParaRPr lang="en-US" sz="2000" b="0" i="0" strike="noStrike">
            <a:solidFill>
              <a:srgbClr val="000000"/>
            </a:solidFill>
            <a:latin typeface="Calibri"/>
          </a:endParaRPr>
        </a:p>
      </xdr:txBody>
    </xdr:sp>
    <xdr:clientData/>
  </xdr:twoCellAnchor>
  <xdr:twoCellAnchor>
    <xdr:from>
      <xdr:col>0</xdr:col>
      <xdr:colOff>85725</xdr:colOff>
      <xdr:row>36</xdr:row>
      <xdr:rowOff>200024</xdr:rowOff>
    </xdr:from>
    <xdr:to>
      <xdr:col>9</xdr:col>
      <xdr:colOff>571500</xdr:colOff>
      <xdr:row>41</xdr:row>
      <xdr:rowOff>104774</xdr:rowOff>
    </xdr:to>
    <xdr:sp macro="" textlink="">
      <xdr:nvSpPr>
        <xdr:cNvPr id="74773" name="Text Box 21"/>
        <xdr:cNvSpPr txBox="1">
          <a:spLocks noChangeArrowheads="1"/>
        </xdr:cNvSpPr>
      </xdr:nvSpPr>
      <xdr:spPr bwMode="auto">
        <a:xfrm>
          <a:off x="85725" y="8000999"/>
          <a:ext cx="6315075" cy="904875"/>
        </a:xfrm>
        <a:prstGeom prst="rect">
          <a:avLst/>
        </a:prstGeom>
        <a:solidFill>
          <a:srgbClr val="FFFFFF"/>
        </a:solidFill>
        <a:ln w="9525">
          <a:noFill/>
          <a:miter lim="800000"/>
          <a:headEnd/>
          <a:tailEnd/>
        </a:ln>
      </xdr:spPr>
      <xdr:txBody>
        <a:bodyPr vertOverflow="clip" wrap="square" lIns="91440" tIns="45720" rIns="91440" bIns="45720" anchor="ctr" upright="1"/>
        <a:lstStyle/>
        <a:p>
          <a:pPr algn="ctr" rtl="0">
            <a:defRPr sz="1000"/>
          </a:pPr>
          <a:r>
            <a:rPr lang="en-US" sz="1800" b="1" i="0" strike="noStrike">
              <a:solidFill>
                <a:srgbClr val="000000"/>
              </a:solidFill>
              <a:latin typeface="Trebuchet MS" panose="020B0603020202020204" pitchFamily="34" charset="0"/>
              <a:cs typeface="Times New Roman" panose="02020603050405020304" pitchFamily="18" charset="0"/>
            </a:rPr>
            <a:t>K</a:t>
          </a:r>
          <a:r>
            <a:rPr lang="id-ID" sz="1800" b="1" i="0" strike="noStrike">
              <a:solidFill>
                <a:srgbClr val="000000"/>
              </a:solidFill>
              <a:latin typeface="Trebuchet MS" panose="020B0603020202020204" pitchFamily="34" charset="0"/>
              <a:cs typeface="Times New Roman" panose="02020603050405020304" pitchFamily="18" charset="0"/>
            </a:rPr>
            <a:t>EMENT</a:t>
          </a:r>
          <a:r>
            <a:rPr lang="en-US" sz="1800" b="1" i="0" strike="noStrike">
              <a:solidFill>
                <a:srgbClr val="000000"/>
              </a:solidFill>
              <a:latin typeface="Trebuchet MS" panose="020B0603020202020204" pitchFamily="34" charset="0"/>
              <a:cs typeface="Times New Roman" panose="02020603050405020304" pitchFamily="18" charset="0"/>
            </a:rPr>
            <a:t>E</a:t>
          </a:r>
          <a:r>
            <a:rPr lang="id-ID" sz="1800" b="1" i="0" strike="noStrike">
              <a:solidFill>
                <a:srgbClr val="000000"/>
              </a:solidFill>
              <a:latin typeface="Trebuchet MS" panose="020B0603020202020204" pitchFamily="34" charset="0"/>
              <a:cs typeface="Times New Roman" panose="02020603050405020304" pitchFamily="18" charset="0"/>
            </a:rPr>
            <a:t>RIAN PENDIDIKAN DAN KEBUDAYAAN</a:t>
          </a:r>
        </a:p>
        <a:p>
          <a:pPr algn="ctr" rtl="0">
            <a:defRPr sz="1000"/>
          </a:pPr>
          <a:r>
            <a:rPr lang="id-ID" sz="1800" b="1" i="0" strike="noStrike">
              <a:solidFill>
                <a:srgbClr val="000000"/>
              </a:solidFill>
              <a:latin typeface="Trebuchet MS" panose="020B0603020202020204" pitchFamily="34" charset="0"/>
              <a:cs typeface="Times New Roman" panose="02020603050405020304" pitchFamily="18" charset="0"/>
            </a:rPr>
            <a:t>REPUBLIK INDONESIA</a:t>
          </a:r>
          <a:endParaRPr lang="en-US" sz="1050" b="1" i="0" strike="noStrike">
            <a:solidFill>
              <a:srgbClr val="000000"/>
            </a:solidFill>
            <a:latin typeface="Trebuchet MS" panose="020B0603020202020204" pitchFamily="34" charset="0"/>
            <a:cs typeface="Times New Roman" panose="02020603050405020304" pitchFamily="18" charset="0"/>
          </a:endParaRPr>
        </a:p>
      </xdr:txBody>
    </xdr:sp>
    <xdr:clientData/>
  </xdr:twoCellAnchor>
  <xdr:twoCellAnchor>
    <xdr:from>
      <xdr:col>0</xdr:col>
      <xdr:colOff>104775</xdr:colOff>
      <xdr:row>2</xdr:row>
      <xdr:rowOff>9525</xdr:rowOff>
    </xdr:from>
    <xdr:to>
      <xdr:col>9</xdr:col>
      <xdr:colOff>561975</xdr:colOff>
      <xdr:row>10</xdr:row>
      <xdr:rowOff>28575</xdr:rowOff>
    </xdr:to>
    <xdr:sp macro="" textlink="">
      <xdr:nvSpPr>
        <xdr:cNvPr id="74774" name="Text Box 22"/>
        <xdr:cNvSpPr txBox="1">
          <a:spLocks noChangeArrowheads="1"/>
        </xdr:cNvSpPr>
      </xdr:nvSpPr>
      <xdr:spPr bwMode="auto">
        <a:xfrm>
          <a:off x="104775" y="428625"/>
          <a:ext cx="6286500" cy="1695450"/>
        </a:xfrm>
        <a:prstGeom prst="rect">
          <a:avLst/>
        </a:prstGeom>
        <a:solidFill>
          <a:srgbClr val="FFFFFF"/>
        </a:solidFill>
        <a:ln w="9525">
          <a:noFill/>
          <a:miter lim="800000"/>
          <a:headEnd/>
          <a:tailEnd/>
        </a:ln>
      </xdr:spPr>
      <xdr:txBody>
        <a:bodyPr vertOverflow="clip" wrap="square" lIns="91440" tIns="45720" rIns="91440" bIns="45720" anchor="ctr" upright="1"/>
        <a:lstStyle/>
        <a:p>
          <a:pPr algn="ctr" rtl="1">
            <a:defRPr sz="1000"/>
          </a:pPr>
          <a:r>
            <a:rPr lang="id-ID" sz="2800" b="1" i="0" strike="noStrike">
              <a:solidFill>
                <a:srgbClr val="000000"/>
              </a:solidFill>
              <a:latin typeface="Trebuchet MS" panose="020B0603020202020204" pitchFamily="34" charset="0"/>
              <a:cs typeface="Times New Roman" panose="02020603050405020304" pitchFamily="18" charset="0"/>
            </a:rPr>
            <a:t>R</a:t>
          </a:r>
          <a:r>
            <a:rPr lang="id-ID" sz="2800" b="1" i="0" strike="noStrike" baseline="0">
              <a:solidFill>
                <a:srgbClr val="000000"/>
              </a:solidFill>
              <a:latin typeface="Trebuchet MS" panose="020B0603020202020204" pitchFamily="34" charset="0"/>
              <a:cs typeface="Times New Roman" panose="02020603050405020304" pitchFamily="18" charset="0"/>
            </a:rPr>
            <a:t> A P O R</a:t>
          </a:r>
          <a:endParaRPr lang="id-ID" sz="2800" b="1" i="0" strike="noStrike">
            <a:solidFill>
              <a:srgbClr val="000000"/>
            </a:solidFill>
            <a:latin typeface="Trebuchet MS" panose="020B0603020202020204" pitchFamily="34" charset="0"/>
            <a:cs typeface="Times New Roman" panose="02020603050405020304" pitchFamily="18" charset="0"/>
          </a:endParaRPr>
        </a:p>
        <a:p>
          <a:pPr algn="ctr" rtl="1">
            <a:defRPr sz="1000"/>
          </a:pPr>
          <a:r>
            <a:rPr lang="en-US" sz="2800" b="1" i="0" strike="noStrike">
              <a:solidFill>
                <a:srgbClr val="000000"/>
              </a:solidFill>
              <a:latin typeface="Trebuchet MS" panose="020B0603020202020204" pitchFamily="34" charset="0"/>
              <a:cs typeface="Times New Roman" panose="02020603050405020304" pitchFamily="18" charset="0"/>
            </a:rPr>
            <a:t>SEKOLAH MENENGAH ATAS</a:t>
          </a:r>
        </a:p>
        <a:p>
          <a:pPr algn="ctr" rtl="1">
            <a:defRPr sz="1000"/>
          </a:pPr>
          <a:r>
            <a:rPr lang="en-US" sz="2800" b="1" i="0" strike="noStrike">
              <a:solidFill>
                <a:srgbClr val="000000"/>
              </a:solidFill>
              <a:latin typeface="Trebuchet MS" panose="020B0603020202020204" pitchFamily="34" charset="0"/>
              <a:cs typeface="Times New Roman" panose="02020603050405020304" pitchFamily="18" charset="0"/>
            </a:rPr>
            <a:t>( SMA )</a:t>
          </a:r>
        </a:p>
      </xdr:txBody>
    </xdr:sp>
    <xdr:clientData/>
  </xdr:twoCellAnchor>
  <xdr:twoCellAnchor editAs="oneCell">
    <xdr:from>
      <xdr:col>3</xdr:col>
      <xdr:colOff>504825</xdr:colOff>
      <xdr:row>12</xdr:row>
      <xdr:rowOff>171450</xdr:rowOff>
    </xdr:from>
    <xdr:to>
      <xdr:col>6</xdr:col>
      <xdr:colOff>152401</xdr:colOff>
      <xdr:row>20</xdr:row>
      <xdr:rowOff>76200</xdr:rowOff>
    </xdr:to>
    <xdr:pic>
      <xdr:nvPicPr>
        <xdr:cNvPr id="10" name="Picture 9"/>
        <xdr:cNvPicPr>
          <a:picLocks noChangeAspect="1"/>
        </xdr:cNvPicPr>
      </xdr:nvPicPr>
      <xdr:blipFill>
        <a:blip xmlns:r="http://schemas.openxmlformats.org/officeDocument/2006/relationships" r:embed="rId3">
          <a:grayscl/>
          <a:extLst>
            <a:ext uri="{BEBA8EAE-BF5A-486C-A8C5-ECC9F3942E4B}">
              <a14:imgProps xmlns:a14="http://schemas.microsoft.com/office/drawing/2010/main">
                <a14:imgLayer r:embed="rId4">
                  <a14:imgEffect>
                    <a14:sharpenSoften amount="500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2333625" y="2686050"/>
          <a:ext cx="1476376" cy="1581150"/>
        </a:xfrm>
        <a:prstGeom prst="rect">
          <a:avLst/>
        </a:prstGeom>
      </xdr:spPr>
    </xdr:pic>
    <xdr:clientData/>
  </xdr:twoCellAnchor>
  <mc:AlternateContent xmlns:mc="http://schemas.openxmlformats.org/markup-compatibility/2006">
    <mc:Choice xmlns:a14="http://schemas.microsoft.com/office/drawing/2010/main" Requires="a14">
      <xdr:twoCellAnchor>
        <xdr:from>
          <xdr:col>10</xdr:col>
          <xdr:colOff>47625</xdr:colOff>
          <xdr:row>0</xdr:row>
          <xdr:rowOff>0</xdr:rowOff>
        </xdr:from>
        <xdr:to>
          <xdr:col>11</xdr:col>
          <xdr:colOff>485775</xdr:colOff>
          <xdr:row>0</xdr:row>
          <xdr:rowOff>0</xdr:rowOff>
        </xdr:to>
        <xdr:sp macro="" textlink="">
          <xdr:nvSpPr>
            <xdr:cNvPr id="74757" name="Button 5" hidden="1">
              <a:extLst>
                <a:ext uri="{63B3BB69-23CF-44E3-9099-C40C66FF867C}">
                  <a14:compatExt spid="_x0000_s74757"/>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US" sz="1300" b="1" i="0" u="none" strike="noStrike" baseline="0">
                  <a:solidFill>
                    <a:srgbClr val="008000"/>
                  </a:solidFill>
                  <a:latin typeface="Arial"/>
                  <a:cs typeface="Arial"/>
                </a:rPr>
                <a:t>CETAK COVER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304800</xdr:colOff>
          <xdr:row>23</xdr:row>
          <xdr:rowOff>114300</xdr:rowOff>
        </xdr:from>
        <xdr:to>
          <xdr:col>14</xdr:col>
          <xdr:colOff>323850</xdr:colOff>
          <xdr:row>25</xdr:row>
          <xdr:rowOff>142875</xdr:rowOff>
        </xdr:to>
        <xdr:sp macro="" textlink="">
          <xdr:nvSpPr>
            <xdr:cNvPr id="74775" name="Drop Down 23" hidden="1">
              <a:extLst>
                <a:ext uri="{63B3BB69-23CF-44E3-9099-C40C66FF867C}">
                  <a14:compatExt spid="_x0000_s74775"/>
                </a:ext>
              </a:extLst>
            </xdr:cNvPr>
            <xdr:cNvSpPr/>
          </xdr:nvSpPr>
          <xdr:spPr>
            <a:xfrm>
              <a:off x="0" y="0"/>
              <a:ext cx="0" cy="0"/>
            </a:xfrm>
            <a:prstGeom prst="rect">
              <a:avLst/>
            </a:prstGeom>
          </xdr:spPr>
        </xdr:sp>
        <xdr:clientData fPrintsWithSheet="0"/>
      </xdr:twoCellAnchor>
    </mc:Choice>
    <mc:Fallback/>
  </mc:AlternateContent>
  <xdr:twoCellAnchor>
    <xdr:from>
      <xdr:col>10</xdr:col>
      <xdr:colOff>552450</xdr:colOff>
      <xdr:row>16</xdr:row>
      <xdr:rowOff>57150</xdr:rowOff>
    </xdr:from>
    <xdr:to>
      <xdr:col>12</xdr:col>
      <xdr:colOff>219075</xdr:colOff>
      <xdr:row>17</xdr:row>
      <xdr:rowOff>171450</xdr:rowOff>
    </xdr:to>
    <xdr:sp macro="" textlink="">
      <xdr:nvSpPr>
        <xdr:cNvPr id="11" name="Rectangle 10">
          <a:hlinkClick xmlns:r="http://schemas.openxmlformats.org/officeDocument/2006/relationships" r:id="rId5"/>
        </xdr:cNvPr>
        <xdr:cNvSpPr/>
      </xdr:nvSpPr>
      <xdr:spPr>
        <a:xfrm>
          <a:off x="6648450" y="3409950"/>
          <a:ext cx="885825" cy="323850"/>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t>BIODATA</a:t>
          </a:r>
        </a:p>
      </xdr:txBody>
    </xdr:sp>
    <xdr:clientData/>
  </xdr:twoCellAnchor>
  <xdr:twoCellAnchor>
    <xdr:from>
      <xdr:col>12</xdr:col>
      <xdr:colOff>57150</xdr:colOff>
      <xdr:row>18</xdr:row>
      <xdr:rowOff>95250</xdr:rowOff>
    </xdr:from>
    <xdr:to>
      <xdr:col>13</xdr:col>
      <xdr:colOff>381000</xdr:colOff>
      <xdr:row>20</xdr:row>
      <xdr:rowOff>0</xdr:rowOff>
    </xdr:to>
    <xdr:sp macro="" textlink="">
      <xdr:nvSpPr>
        <xdr:cNvPr id="12" name="Rectangle 11">
          <a:hlinkClick xmlns:r="http://schemas.openxmlformats.org/officeDocument/2006/relationships" r:id="rId6"/>
        </xdr:cNvPr>
        <xdr:cNvSpPr/>
      </xdr:nvSpPr>
      <xdr:spPr>
        <a:xfrm>
          <a:off x="7372350" y="3867150"/>
          <a:ext cx="933450" cy="323850"/>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t>IDENTITAS</a:t>
          </a:r>
        </a:p>
      </xdr:txBody>
    </xdr:sp>
    <xdr:clientData/>
  </xdr:twoCellAnchor>
  <xdr:twoCellAnchor>
    <xdr:from>
      <xdr:col>13</xdr:col>
      <xdr:colOff>47625</xdr:colOff>
      <xdr:row>21</xdr:row>
      <xdr:rowOff>47625</xdr:rowOff>
    </xdr:from>
    <xdr:to>
      <xdr:col>14</xdr:col>
      <xdr:colOff>323850</xdr:colOff>
      <xdr:row>22</xdr:row>
      <xdr:rowOff>161925</xdr:rowOff>
    </xdr:to>
    <xdr:sp macro="" textlink="">
      <xdr:nvSpPr>
        <xdr:cNvPr id="13" name="Rectangle 12">
          <a:hlinkClick xmlns:r="http://schemas.openxmlformats.org/officeDocument/2006/relationships" r:id="rId7"/>
        </xdr:cNvPr>
        <xdr:cNvSpPr/>
      </xdr:nvSpPr>
      <xdr:spPr>
        <a:xfrm>
          <a:off x="7972425" y="4448175"/>
          <a:ext cx="885825" cy="323850"/>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t>RAPOR</a:t>
          </a:r>
        </a:p>
      </xdr:txBody>
    </xdr:sp>
    <xdr:clientData/>
  </xdr:twoCellAnchor>
  <xdr:twoCellAnchor>
    <xdr:from>
      <xdr:col>15</xdr:col>
      <xdr:colOff>28575</xdr:colOff>
      <xdr:row>23</xdr:row>
      <xdr:rowOff>28575</xdr:rowOff>
    </xdr:from>
    <xdr:to>
      <xdr:col>16</xdr:col>
      <xdr:colOff>400050</xdr:colOff>
      <xdr:row>24</xdr:row>
      <xdr:rowOff>142875</xdr:rowOff>
    </xdr:to>
    <xdr:sp macro="" textlink="">
      <xdr:nvSpPr>
        <xdr:cNvPr id="14" name="Rectangle 13">
          <a:hlinkClick xmlns:r="http://schemas.openxmlformats.org/officeDocument/2006/relationships" r:id="rId8"/>
        </xdr:cNvPr>
        <xdr:cNvSpPr/>
      </xdr:nvSpPr>
      <xdr:spPr>
        <a:xfrm>
          <a:off x="9077325" y="4848225"/>
          <a:ext cx="981075" cy="323850"/>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t>P_MASUK</a:t>
          </a:r>
        </a:p>
      </xdr:txBody>
    </xdr:sp>
    <xdr:clientData/>
  </xdr:twoCellAnchor>
  <xdr:twoCellAnchor>
    <xdr:from>
      <xdr:col>16</xdr:col>
      <xdr:colOff>57150</xdr:colOff>
      <xdr:row>25</xdr:row>
      <xdr:rowOff>142875</xdr:rowOff>
    </xdr:from>
    <xdr:to>
      <xdr:col>17</xdr:col>
      <xdr:colOff>428625</xdr:colOff>
      <xdr:row>26</xdr:row>
      <xdr:rowOff>190500</xdr:rowOff>
    </xdr:to>
    <xdr:sp macro="" textlink="">
      <xdr:nvSpPr>
        <xdr:cNvPr id="15" name="Rectangle 14">
          <a:hlinkClick xmlns:r="http://schemas.openxmlformats.org/officeDocument/2006/relationships" r:id="rId9"/>
        </xdr:cNvPr>
        <xdr:cNvSpPr/>
      </xdr:nvSpPr>
      <xdr:spPr>
        <a:xfrm>
          <a:off x="9715500" y="5400675"/>
          <a:ext cx="981075" cy="323850"/>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t>P_KELUAR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1095375</xdr:colOff>
      <xdr:row>33</xdr:row>
      <xdr:rowOff>47625</xdr:rowOff>
    </xdr:from>
    <xdr:to>
      <xdr:col>3</xdr:col>
      <xdr:colOff>257175</xdr:colOff>
      <xdr:row>40</xdr:row>
      <xdr:rowOff>19051</xdr:rowOff>
    </xdr:to>
    <xdr:sp macro="" textlink="">
      <xdr:nvSpPr>
        <xdr:cNvPr id="4" name="TextBox 3"/>
        <xdr:cNvSpPr txBox="1"/>
      </xdr:nvSpPr>
      <xdr:spPr>
        <a:xfrm>
          <a:off x="1333500" y="7172325"/>
          <a:ext cx="1057275" cy="1304926"/>
        </a:xfrm>
        <a:prstGeom prst="rect">
          <a:avLst/>
        </a:prstGeom>
        <a:solidFill>
          <a:schemeClr val="lt1"/>
        </a:solidFill>
        <a:ln w="9525" cmpd="sng">
          <a:solidFill>
            <a:schemeClr val="tx1">
              <a:lumMod val="65000"/>
              <a:lumOff val="35000"/>
            </a:schemeClr>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id-ID" sz="800"/>
            <a:t>Pas Photo</a:t>
          </a:r>
        </a:p>
        <a:p>
          <a:pPr algn="ctr"/>
          <a:r>
            <a:rPr lang="id-ID" sz="800"/>
            <a:t>3 x 4</a:t>
          </a:r>
        </a:p>
      </xdr:txBody>
    </xdr:sp>
    <xdr:clientData/>
  </xdr:twoCellAnchor>
  <mc:AlternateContent xmlns:mc="http://schemas.openxmlformats.org/markup-compatibility/2006">
    <mc:Choice xmlns:a14="http://schemas.microsoft.com/office/drawing/2010/main" Requires="a14">
      <xdr:twoCellAnchor editAs="oneCell">
        <xdr:from>
          <xdr:col>5</xdr:col>
          <xdr:colOff>9525</xdr:colOff>
          <xdr:row>0</xdr:row>
          <xdr:rowOff>38100</xdr:rowOff>
        </xdr:from>
        <xdr:to>
          <xdr:col>8</xdr:col>
          <xdr:colOff>381000</xdr:colOff>
          <xdr:row>2</xdr:row>
          <xdr:rowOff>47625</xdr:rowOff>
        </xdr:to>
        <xdr:sp macro="" textlink="">
          <xdr:nvSpPr>
            <xdr:cNvPr id="78850" name="Drop Down 2" hidden="1">
              <a:extLst>
                <a:ext uri="{63B3BB69-23CF-44E3-9099-C40C66FF867C}">
                  <a14:compatExt spid="_x0000_s78850"/>
                </a:ext>
              </a:extLst>
            </xdr:cNvPr>
            <xdr:cNvSpPr/>
          </xdr:nvSpPr>
          <xdr:spPr>
            <a:xfrm>
              <a:off x="0" y="0"/>
              <a:ext cx="0" cy="0"/>
            </a:xfrm>
            <a:prstGeom prst="rect">
              <a:avLst/>
            </a:prstGeom>
          </xdr:spPr>
        </xdr:sp>
        <xdr:clientData fLocksWithSheet="0" fPrintsWithSheet="0"/>
      </xdr:twoCellAnchor>
    </mc:Choice>
    <mc:Fallback/>
  </mc:AlternateContent>
  <xdr:twoCellAnchor>
    <xdr:from>
      <xdr:col>5</xdr:col>
      <xdr:colOff>247650</xdr:colOff>
      <xdr:row>2</xdr:row>
      <xdr:rowOff>228600</xdr:rowOff>
    </xdr:from>
    <xdr:to>
      <xdr:col>6</xdr:col>
      <xdr:colOff>523875</xdr:colOff>
      <xdr:row>4</xdr:row>
      <xdr:rowOff>57150</xdr:rowOff>
    </xdr:to>
    <xdr:sp macro="" textlink="">
      <xdr:nvSpPr>
        <xdr:cNvPr id="5" name="Rectangle 4">
          <a:hlinkClick xmlns:r="http://schemas.openxmlformats.org/officeDocument/2006/relationships" r:id="rId1"/>
        </xdr:cNvPr>
        <xdr:cNvSpPr/>
      </xdr:nvSpPr>
      <xdr:spPr>
        <a:xfrm>
          <a:off x="6448425" y="619125"/>
          <a:ext cx="885825" cy="323850"/>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t>BIODATA</a:t>
          </a:r>
        </a:p>
      </xdr:txBody>
    </xdr:sp>
    <xdr:clientData/>
  </xdr:twoCellAnchor>
  <xdr:twoCellAnchor>
    <xdr:from>
      <xdr:col>7</xdr:col>
      <xdr:colOff>38100</xdr:colOff>
      <xdr:row>2</xdr:row>
      <xdr:rowOff>238125</xdr:rowOff>
    </xdr:from>
    <xdr:to>
      <xdr:col>8</xdr:col>
      <xdr:colOff>314325</xdr:colOff>
      <xdr:row>4</xdr:row>
      <xdr:rowOff>66675</xdr:rowOff>
    </xdr:to>
    <xdr:sp macro="" textlink="">
      <xdr:nvSpPr>
        <xdr:cNvPr id="6" name="Rectangle 5">
          <a:hlinkClick xmlns:r="http://schemas.openxmlformats.org/officeDocument/2006/relationships" r:id="rId2"/>
        </xdr:cNvPr>
        <xdr:cNvSpPr/>
      </xdr:nvSpPr>
      <xdr:spPr>
        <a:xfrm>
          <a:off x="7458075" y="628650"/>
          <a:ext cx="885825" cy="323850"/>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t>LEGER</a:t>
          </a:r>
        </a:p>
      </xdr:txBody>
    </xdr:sp>
    <xdr:clientData/>
  </xdr:twoCellAnchor>
  <xdr:twoCellAnchor>
    <xdr:from>
      <xdr:col>5</xdr:col>
      <xdr:colOff>257175</xdr:colOff>
      <xdr:row>4</xdr:row>
      <xdr:rowOff>161925</xdr:rowOff>
    </xdr:from>
    <xdr:to>
      <xdr:col>6</xdr:col>
      <xdr:colOff>533400</xdr:colOff>
      <xdr:row>5</xdr:row>
      <xdr:rowOff>238125</xdr:rowOff>
    </xdr:to>
    <xdr:sp macro="" textlink="">
      <xdr:nvSpPr>
        <xdr:cNvPr id="7" name="Rectangle 6">
          <a:hlinkClick xmlns:r="http://schemas.openxmlformats.org/officeDocument/2006/relationships" r:id="rId3"/>
        </xdr:cNvPr>
        <xdr:cNvSpPr/>
      </xdr:nvSpPr>
      <xdr:spPr>
        <a:xfrm>
          <a:off x="6457950" y="1047750"/>
          <a:ext cx="885825" cy="323850"/>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t>RAPOR</a:t>
          </a:r>
        </a:p>
      </xdr:txBody>
    </xdr:sp>
    <xdr:clientData/>
  </xdr:twoCellAnchor>
  <xdr:twoCellAnchor>
    <xdr:from>
      <xdr:col>7</xdr:col>
      <xdr:colOff>38100</xdr:colOff>
      <xdr:row>4</xdr:row>
      <xdr:rowOff>161925</xdr:rowOff>
    </xdr:from>
    <xdr:to>
      <xdr:col>8</xdr:col>
      <xdr:colOff>314325</xdr:colOff>
      <xdr:row>5</xdr:row>
      <xdr:rowOff>238125</xdr:rowOff>
    </xdr:to>
    <xdr:sp macro="" textlink="">
      <xdr:nvSpPr>
        <xdr:cNvPr id="8" name="Rectangle 7">
          <a:hlinkClick xmlns:r="http://schemas.openxmlformats.org/officeDocument/2006/relationships" r:id="rId3"/>
        </xdr:cNvPr>
        <xdr:cNvSpPr/>
      </xdr:nvSpPr>
      <xdr:spPr>
        <a:xfrm>
          <a:off x="7458075" y="1047750"/>
          <a:ext cx="885825" cy="323850"/>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t>COVER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361950</xdr:colOff>
      <xdr:row>4</xdr:row>
      <xdr:rowOff>19050</xdr:rowOff>
    </xdr:from>
    <xdr:to>
      <xdr:col>8</xdr:col>
      <xdr:colOff>28575</xdr:colOff>
      <xdr:row>5</xdr:row>
      <xdr:rowOff>180975</xdr:rowOff>
    </xdr:to>
    <xdr:sp macro="" textlink="">
      <xdr:nvSpPr>
        <xdr:cNvPr id="2" name="Rectangle 1">
          <a:hlinkClick xmlns:r="http://schemas.openxmlformats.org/officeDocument/2006/relationships" r:id="rId1"/>
        </xdr:cNvPr>
        <xdr:cNvSpPr/>
      </xdr:nvSpPr>
      <xdr:spPr>
        <a:xfrm>
          <a:off x="7334250" y="828675"/>
          <a:ext cx="885825" cy="352425"/>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100" b="1"/>
            <a:t>RAPOR</a:t>
          </a:r>
        </a:p>
      </xdr:txBody>
    </xdr:sp>
    <xdr:clientData/>
  </xdr:twoCellAnchor>
  <xdr:twoCellAnchor>
    <xdr:from>
      <xdr:col>8</xdr:col>
      <xdr:colOff>228600</xdr:colOff>
      <xdr:row>4</xdr:row>
      <xdr:rowOff>28575</xdr:rowOff>
    </xdr:from>
    <xdr:to>
      <xdr:col>9</xdr:col>
      <xdr:colOff>504825</xdr:colOff>
      <xdr:row>5</xdr:row>
      <xdr:rowOff>190500</xdr:rowOff>
    </xdr:to>
    <xdr:sp macro="" textlink="">
      <xdr:nvSpPr>
        <xdr:cNvPr id="3" name="Rectangle 2">
          <a:hlinkClick xmlns:r="http://schemas.openxmlformats.org/officeDocument/2006/relationships" r:id="rId2"/>
        </xdr:cNvPr>
        <xdr:cNvSpPr/>
      </xdr:nvSpPr>
      <xdr:spPr>
        <a:xfrm>
          <a:off x="8420100" y="838200"/>
          <a:ext cx="885825" cy="352425"/>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100" b="1"/>
            <a:t>COVER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561975</xdr:colOff>
      <xdr:row>3</xdr:row>
      <xdr:rowOff>28575</xdr:rowOff>
    </xdr:from>
    <xdr:to>
      <xdr:col>9</xdr:col>
      <xdr:colOff>304800</xdr:colOff>
      <xdr:row>4</xdr:row>
      <xdr:rowOff>171450</xdr:rowOff>
    </xdr:to>
    <xdr:sp macro="" textlink="">
      <xdr:nvSpPr>
        <xdr:cNvPr id="2" name="Rectangle 1">
          <a:hlinkClick xmlns:r="http://schemas.openxmlformats.org/officeDocument/2006/relationships" r:id="rId1"/>
        </xdr:cNvPr>
        <xdr:cNvSpPr/>
      </xdr:nvSpPr>
      <xdr:spPr>
        <a:xfrm>
          <a:off x="7620000" y="628650"/>
          <a:ext cx="962025" cy="352425"/>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t>RAPOR</a:t>
          </a:r>
        </a:p>
      </xdr:txBody>
    </xdr:sp>
    <xdr:clientData/>
  </xdr:twoCellAnchor>
  <xdr:twoCellAnchor>
    <xdr:from>
      <xdr:col>9</xdr:col>
      <xdr:colOff>485775</xdr:colOff>
      <xdr:row>3</xdr:row>
      <xdr:rowOff>38100</xdr:rowOff>
    </xdr:from>
    <xdr:to>
      <xdr:col>11</xdr:col>
      <xdr:colOff>228600</xdr:colOff>
      <xdr:row>4</xdr:row>
      <xdr:rowOff>180975</xdr:rowOff>
    </xdr:to>
    <xdr:sp macro="" textlink="">
      <xdr:nvSpPr>
        <xdr:cNvPr id="3" name="Rectangle 2">
          <a:hlinkClick xmlns:r="http://schemas.openxmlformats.org/officeDocument/2006/relationships" r:id="rId2"/>
        </xdr:cNvPr>
        <xdr:cNvSpPr/>
      </xdr:nvSpPr>
      <xdr:spPr>
        <a:xfrm>
          <a:off x="8763000" y="638175"/>
          <a:ext cx="962025" cy="352425"/>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200" b="1"/>
            <a:t>COVER</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nduan%20Raport/Borang_RAPOR/Model%20Rapor_1718/Rapors2_1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TUNJUK"/>
      <sheetName val="Biodata"/>
      <sheetName val="LEGER"/>
      <sheetName val="CatatPrestasi"/>
      <sheetName val="RAPORT"/>
      <sheetName val="NilKon"/>
      <sheetName val="COVER"/>
      <sheetName val="Identitas"/>
      <sheetName val="PdhKeluar"/>
      <sheetName val="PdhMasuk"/>
    </sheetNames>
    <sheetDataSet>
      <sheetData sheetId="0" refreshError="1"/>
      <sheetData sheetId="1" refreshError="1"/>
      <sheetData sheetId="2"/>
      <sheetData sheetId="3">
        <row r="5">
          <cell r="D5" t="str">
            <v>151610001A</v>
          </cell>
          <cell r="E5" t="str">
            <v>Pencak Silat</v>
          </cell>
          <cell r="F5" t="str">
            <v>Juara I Tingkat Propinsi</v>
          </cell>
          <cell r="G5" t="str">
            <v>Belajarlah lebih rajin dan minta pengayaan !</v>
          </cell>
          <cell r="H5" t="str">
            <v>Naik ke kelas XI MIPA</v>
          </cell>
        </row>
        <row r="6">
          <cell r="D6" t="str">
            <v>151610001B</v>
          </cell>
          <cell r="E6" t="str">
            <v>-</v>
          </cell>
          <cell r="F6" t="str">
            <v>-</v>
          </cell>
        </row>
        <row r="7">
          <cell r="D7" t="str">
            <v>151610001C</v>
          </cell>
          <cell r="E7" t="str">
            <v>-</v>
          </cell>
          <cell r="F7" t="str">
            <v>-</v>
          </cell>
        </row>
        <row r="8">
          <cell r="D8" t="str">
            <v>151610001D</v>
          </cell>
          <cell r="E8" t="str">
            <v>-</v>
          </cell>
          <cell r="F8" t="str">
            <v>-</v>
          </cell>
        </row>
        <row r="9">
          <cell r="D9" t="str">
            <v>151610002A</v>
          </cell>
          <cell r="E9" t="str">
            <v>-</v>
          </cell>
          <cell r="F9" t="str">
            <v>-</v>
          </cell>
          <cell r="G9" t="str">
            <v>Luangkan waktu untuk belajar, hadir di kelas, rajin ke sekolah, &amp; perbaiki mapel yang belum tuntas !</v>
          </cell>
          <cell r="H9" t="str">
            <v>NAIK REMEDIAL</v>
          </cell>
        </row>
        <row r="10">
          <cell r="D10" t="str">
            <v>151610002B</v>
          </cell>
          <cell r="E10" t="str">
            <v>-</v>
          </cell>
          <cell r="F10" t="str">
            <v>-</v>
          </cell>
        </row>
        <row r="11">
          <cell r="D11" t="str">
            <v>151610002C</v>
          </cell>
          <cell r="E11" t="str">
            <v>-</v>
          </cell>
          <cell r="F11" t="str">
            <v>-</v>
          </cell>
        </row>
        <row r="12">
          <cell r="D12" t="str">
            <v>151610002D</v>
          </cell>
          <cell r="E12" t="str">
            <v>-</v>
          </cell>
          <cell r="F12" t="str">
            <v>-</v>
          </cell>
        </row>
        <row r="13">
          <cell r="D13" t="str">
            <v>151610003A</v>
          </cell>
          <cell r="E13" t="str">
            <v>-</v>
          </cell>
          <cell r="F13" t="str">
            <v>-</v>
          </cell>
          <cell r="G13" t="str">
            <v>--</v>
          </cell>
          <cell r="H13" t="str">
            <v>--</v>
          </cell>
        </row>
        <row r="14">
          <cell r="D14" t="str">
            <v>151610003B</v>
          </cell>
          <cell r="E14" t="str">
            <v>-</v>
          </cell>
          <cell r="F14" t="str">
            <v>-</v>
          </cell>
        </row>
        <row r="15">
          <cell r="D15" t="str">
            <v>151610003C</v>
          </cell>
          <cell r="E15" t="str">
            <v>-</v>
          </cell>
          <cell r="F15" t="str">
            <v>-</v>
          </cell>
        </row>
        <row r="16">
          <cell r="D16" t="str">
            <v>151610003D</v>
          </cell>
          <cell r="E16" t="str">
            <v>-</v>
          </cell>
          <cell r="F16" t="str">
            <v>-</v>
          </cell>
        </row>
        <row r="17">
          <cell r="D17" t="str">
            <v>151610004A</v>
          </cell>
          <cell r="E17" t="str">
            <v>-</v>
          </cell>
          <cell r="F17" t="str">
            <v>-</v>
          </cell>
          <cell r="G17" t="str">
            <v>--</v>
          </cell>
          <cell r="H17" t="str">
            <v>--</v>
          </cell>
        </row>
        <row r="18">
          <cell r="D18" t="str">
            <v>151610004B</v>
          </cell>
          <cell r="E18" t="str">
            <v>-</v>
          </cell>
          <cell r="F18" t="str">
            <v>-</v>
          </cell>
        </row>
        <row r="19">
          <cell r="D19" t="str">
            <v>151610004C</v>
          </cell>
          <cell r="E19" t="str">
            <v>-</v>
          </cell>
          <cell r="F19" t="str">
            <v>-</v>
          </cell>
        </row>
        <row r="20">
          <cell r="D20" t="str">
            <v>151610004D</v>
          </cell>
          <cell r="E20" t="str">
            <v>-</v>
          </cell>
          <cell r="F20" t="str">
            <v>-</v>
          </cell>
        </row>
        <row r="21">
          <cell r="D21" t="str">
            <v>151610005A</v>
          </cell>
          <cell r="E21" t="str">
            <v>-</v>
          </cell>
          <cell r="F21" t="str">
            <v>-</v>
          </cell>
          <cell r="G21" t="str">
            <v>--</v>
          </cell>
          <cell r="H21" t="str">
            <v>--</v>
          </cell>
        </row>
        <row r="22">
          <cell r="D22" t="str">
            <v>151610005B</v>
          </cell>
          <cell r="E22" t="str">
            <v>-</v>
          </cell>
          <cell r="F22" t="str">
            <v>-</v>
          </cell>
        </row>
        <row r="23">
          <cell r="D23" t="str">
            <v>151610005C</v>
          </cell>
          <cell r="E23" t="str">
            <v>-</v>
          </cell>
          <cell r="F23" t="str">
            <v>-</v>
          </cell>
        </row>
        <row r="24">
          <cell r="D24" t="str">
            <v>151610005D</v>
          </cell>
          <cell r="E24" t="str">
            <v>-</v>
          </cell>
          <cell r="F24" t="str">
            <v>-</v>
          </cell>
        </row>
        <row r="25">
          <cell r="D25" t="str">
            <v>151610006A</v>
          </cell>
          <cell r="E25" t="str">
            <v>-</v>
          </cell>
          <cell r="F25" t="str">
            <v>-</v>
          </cell>
          <cell r="G25" t="str">
            <v>--</v>
          </cell>
          <cell r="H25" t="str">
            <v>--</v>
          </cell>
        </row>
        <row r="26">
          <cell r="D26" t="str">
            <v>151610006B</v>
          </cell>
          <cell r="E26" t="str">
            <v>-</v>
          </cell>
          <cell r="F26" t="str">
            <v>-</v>
          </cell>
        </row>
        <row r="27">
          <cell r="D27" t="str">
            <v>151610006C</v>
          </cell>
          <cell r="E27" t="str">
            <v>-</v>
          </cell>
          <cell r="F27" t="str">
            <v>-</v>
          </cell>
        </row>
        <row r="28">
          <cell r="D28" t="str">
            <v>151610006D</v>
          </cell>
          <cell r="E28" t="str">
            <v>-</v>
          </cell>
          <cell r="F28" t="str">
            <v>-</v>
          </cell>
        </row>
        <row r="29">
          <cell r="D29" t="str">
            <v>151610007A</v>
          </cell>
          <cell r="E29" t="str">
            <v>-</v>
          </cell>
          <cell r="F29" t="str">
            <v>-</v>
          </cell>
          <cell r="G29" t="str">
            <v>--</v>
          </cell>
          <cell r="H29" t="str">
            <v>--</v>
          </cell>
        </row>
        <row r="30">
          <cell r="D30" t="str">
            <v>151610007B</v>
          </cell>
          <cell r="E30" t="str">
            <v>-</v>
          </cell>
          <cell r="F30" t="str">
            <v>-</v>
          </cell>
        </row>
        <row r="31">
          <cell r="D31" t="str">
            <v>151610007C</v>
          </cell>
          <cell r="E31" t="str">
            <v>-</v>
          </cell>
          <cell r="F31" t="str">
            <v>-</v>
          </cell>
        </row>
        <row r="32">
          <cell r="D32" t="str">
            <v>151610007D</v>
          </cell>
          <cell r="E32" t="str">
            <v>-</v>
          </cell>
          <cell r="F32" t="str">
            <v>-</v>
          </cell>
        </row>
        <row r="33">
          <cell r="D33" t="str">
            <v>151610008A</v>
          </cell>
          <cell r="E33" t="str">
            <v>-</v>
          </cell>
          <cell r="F33" t="str">
            <v>-</v>
          </cell>
          <cell r="G33" t="str">
            <v>--</v>
          </cell>
          <cell r="H33" t="str">
            <v>--</v>
          </cell>
        </row>
        <row r="34">
          <cell r="D34" t="str">
            <v>151610008B</v>
          </cell>
          <cell r="E34" t="str">
            <v>-</v>
          </cell>
          <cell r="F34" t="str">
            <v>-</v>
          </cell>
        </row>
        <row r="35">
          <cell r="D35" t="str">
            <v>151610008C</v>
          </cell>
          <cell r="E35" t="str">
            <v>-</v>
          </cell>
          <cell r="F35" t="str">
            <v>-</v>
          </cell>
        </row>
        <row r="36">
          <cell r="D36" t="str">
            <v>151610008D</v>
          </cell>
          <cell r="E36" t="str">
            <v>-</v>
          </cell>
          <cell r="F36" t="str">
            <v>-</v>
          </cell>
        </row>
        <row r="37">
          <cell r="D37" t="str">
            <v>151610009A</v>
          </cell>
          <cell r="E37" t="str">
            <v>-</v>
          </cell>
          <cell r="F37" t="str">
            <v>-</v>
          </cell>
          <cell r="G37" t="str">
            <v>--</v>
          </cell>
          <cell r="H37" t="str">
            <v>--</v>
          </cell>
        </row>
        <row r="38">
          <cell r="D38" t="str">
            <v>151610009B</v>
          </cell>
          <cell r="E38" t="str">
            <v>-</v>
          </cell>
          <cell r="F38" t="str">
            <v>-</v>
          </cell>
        </row>
        <row r="39">
          <cell r="D39" t="str">
            <v>151610009C</v>
          </cell>
          <cell r="E39" t="str">
            <v>-</v>
          </cell>
          <cell r="F39" t="str">
            <v>-</v>
          </cell>
        </row>
        <row r="40">
          <cell r="D40" t="str">
            <v>151610009D</v>
          </cell>
          <cell r="E40" t="str">
            <v>-</v>
          </cell>
          <cell r="F40" t="str">
            <v>-</v>
          </cell>
        </row>
        <row r="41">
          <cell r="D41" t="str">
            <v>151610010A</v>
          </cell>
          <cell r="E41" t="str">
            <v>-</v>
          </cell>
          <cell r="F41" t="str">
            <v>-</v>
          </cell>
          <cell r="G41" t="str">
            <v>--</v>
          </cell>
          <cell r="H41" t="str">
            <v>--</v>
          </cell>
        </row>
        <row r="42">
          <cell r="D42" t="str">
            <v>151610010B</v>
          </cell>
          <cell r="E42" t="str">
            <v>-</v>
          </cell>
          <cell r="F42" t="str">
            <v>-</v>
          </cell>
        </row>
        <row r="43">
          <cell r="D43" t="str">
            <v>151610010C</v>
          </cell>
          <cell r="E43" t="str">
            <v>-</v>
          </cell>
          <cell r="F43" t="str">
            <v>-</v>
          </cell>
        </row>
        <row r="44">
          <cell r="D44" t="str">
            <v>151610010D</v>
          </cell>
          <cell r="E44" t="str">
            <v>-</v>
          </cell>
          <cell r="F44" t="str">
            <v>-</v>
          </cell>
        </row>
        <row r="45">
          <cell r="D45" t="str">
            <v>151610011A</v>
          </cell>
          <cell r="E45" t="str">
            <v>-</v>
          </cell>
          <cell r="F45" t="str">
            <v>-</v>
          </cell>
          <cell r="G45" t="str">
            <v>--</v>
          </cell>
          <cell r="H45" t="str">
            <v>--</v>
          </cell>
        </row>
        <row r="46">
          <cell r="D46" t="str">
            <v>151610011B</v>
          </cell>
          <cell r="E46" t="str">
            <v>-</v>
          </cell>
          <cell r="F46" t="str">
            <v>-</v>
          </cell>
        </row>
        <row r="47">
          <cell r="D47" t="str">
            <v>151610011C</v>
          </cell>
          <cell r="E47" t="str">
            <v>-</v>
          </cell>
          <cell r="F47" t="str">
            <v>-</v>
          </cell>
        </row>
        <row r="48">
          <cell r="D48" t="str">
            <v>151610011D</v>
          </cell>
          <cell r="E48" t="str">
            <v>-</v>
          </cell>
          <cell r="F48" t="str">
            <v>-</v>
          </cell>
        </row>
        <row r="49">
          <cell r="D49" t="str">
            <v>151610012A</v>
          </cell>
          <cell r="E49" t="str">
            <v>-</v>
          </cell>
          <cell r="F49" t="str">
            <v>-</v>
          </cell>
          <cell r="G49" t="str">
            <v>--</v>
          </cell>
          <cell r="H49" t="str">
            <v>--</v>
          </cell>
        </row>
        <row r="50">
          <cell r="D50" t="str">
            <v>151610012B</v>
          </cell>
          <cell r="E50" t="str">
            <v>-</v>
          </cell>
          <cell r="F50" t="str">
            <v>-</v>
          </cell>
        </row>
        <row r="51">
          <cell r="D51" t="str">
            <v>151610012C</v>
          </cell>
          <cell r="E51" t="str">
            <v>-</v>
          </cell>
          <cell r="F51" t="str">
            <v>-</v>
          </cell>
        </row>
        <row r="52">
          <cell r="D52" t="str">
            <v>151610012D</v>
          </cell>
          <cell r="E52" t="str">
            <v>-</v>
          </cell>
          <cell r="F52" t="str">
            <v>-</v>
          </cell>
        </row>
        <row r="53">
          <cell r="D53" t="str">
            <v>151610013A</v>
          </cell>
          <cell r="E53" t="str">
            <v>-</v>
          </cell>
          <cell r="F53" t="str">
            <v>-</v>
          </cell>
          <cell r="G53" t="str">
            <v>--</v>
          </cell>
          <cell r="H53" t="str">
            <v>--</v>
          </cell>
        </row>
        <row r="54">
          <cell r="D54" t="str">
            <v>151610013B</v>
          </cell>
          <cell r="E54" t="str">
            <v>-</v>
          </cell>
          <cell r="F54" t="str">
            <v>-</v>
          </cell>
        </row>
        <row r="55">
          <cell r="D55" t="str">
            <v>151610013C</v>
          </cell>
          <cell r="E55" t="str">
            <v>-</v>
          </cell>
          <cell r="F55" t="str">
            <v>-</v>
          </cell>
        </row>
        <row r="56">
          <cell r="D56" t="str">
            <v>151610013D</v>
          </cell>
          <cell r="E56" t="str">
            <v>-</v>
          </cell>
          <cell r="F56" t="str">
            <v>-</v>
          </cell>
        </row>
        <row r="57">
          <cell r="D57" t="str">
            <v>151610014A</v>
          </cell>
          <cell r="E57" t="str">
            <v>-</v>
          </cell>
          <cell r="F57" t="str">
            <v>-</v>
          </cell>
          <cell r="G57" t="str">
            <v>--</v>
          </cell>
          <cell r="H57" t="str">
            <v>--</v>
          </cell>
        </row>
        <row r="58">
          <cell r="D58" t="str">
            <v>151610014B</v>
          </cell>
          <cell r="E58" t="str">
            <v>-</v>
          </cell>
          <cell r="F58" t="str">
            <v>-</v>
          </cell>
        </row>
        <row r="59">
          <cell r="D59" t="str">
            <v>151610014C</v>
          </cell>
          <cell r="E59" t="str">
            <v>-</v>
          </cell>
          <cell r="F59" t="str">
            <v>-</v>
          </cell>
        </row>
        <row r="60">
          <cell r="D60" t="str">
            <v>151610014D</v>
          </cell>
          <cell r="E60" t="str">
            <v>-</v>
          </cell>
          <cell r="F60" t="str">
            <v>-</v>
          </cell>
        </row>
        <row r="61">
          <cell r="D61" t="str">
            <v>151610015A</v>
          </cell>
          <cell r="E61" t="str">
            <v>-</v>
          </cell>
          <cell r="F61" t="str">
            <v>-</v>
          </cell>
          <cell r="G61" t="str">
            <v>--</v>
          </cell>
          <cell r="H61" t="str">
            <v>--</v>
          </cell>
        </row>
        <row r="62">
          <cell r="D62" t="str">
            <v>151610015B</v>
          </cell>
          <cell r="E62" t="str">
            <v>-</v>
          </cell>
          <cell r="F62" t="str">
            <v>-</v>
          </cell>
        </row>
        <row r="63">
          <cell r="D63" t="str">
            <v>151610015c</v>
          </cell>
          <cell r="E63" t="str">
            <v>-</v>
          </cell>
          <cell r="F63" t="str">
            <v>-</v>
          </cell>
        </row>
        <row r="64">
          <cell r="D64" t="str">
            <v>151610015D</v>
          </cell>
          <cell r="E64" t="str">
            <v>-</v>
          </cell>
          <cell r="F64" t="str">
            <v>-</v>
          </cell>
        </row>
        <row r="65">
          <cell r="D65" t="str">
            <v>151610016A</v>
          </cell>
          <cell r="E65" t="str">
            <v>-</v>
          </cell>
          <cell r="F65" t="str">
            <v>-</v>
          </cell>
          <cell r="G65" t="str">
            <v>--</v>
          </cell>
          <cell r="H65" t="str">
            <v>--</v>
          </cell>
        </row>
        <row r="66">
          <cell r="D66" t="str">
            <v>151610016B</v>
          </cell>
          <cell r="E66" t="str">
            <v>-</v>
          </cell>
          <cell r="F66" t="str">
            <v>-</v>
          </cell>
        </row>
        <row r="67">
          <cell r="D67" t="str">
            <v>151610016C</v>
          </cell>
          <cell r="E67" t="str">
            <v>-</v>
          </cell>
          <cell r="F67" t="str">
            <v>-</v>
          </cell>
        </row>
        <row r="68">
          <cell r="D68" t="str">
            <v>151610016D</v>
          </cell>
          <cell r="E68" t="str">
            <v>-</v>
          </cell>
          <cell r="F68" t="str">
            <v>-</v>
          </cell>
        </row>
        <row r="69">
          <cell r="D69" t="str">
            <v>151610017A</v>
          </cell>
          <cell r="E69" t="str">
            <v>-</v>
          </cell>
          <cell r="F69" t="str">
            <v>-</v>
          </cell>
          <cell r="G69" t="str">
            <v>--</v>
          </cell>
          <cell r="H69" t="str">
            <v>--</v>
          </cell>
        </row>
        <row r="70">
          <cell r="D70" t="str">
            <v>151610017B</v>
          </cell>
          <cell r="E70" t="str">
            <v>-</v>
          </cell>
          <cell r="F70" t="str">
            <v>-</v>
          </cell>
        </row>
        <row r="71">
          <cell r="D71" t="str">
            <v>151610017C</v>
          </cell>
          <cell r="E71" t="str">
            <v>-</v>
          </cell>
          <cell r="F71" t="str">
            <v>-</v>
          </cell>
        </row>
        <row r="72">
          <cell r="D72" t="str">
            <v>151610017D</v>
          </cell>
          <cell r="E72" t="str">
            <v>-</v>
          </cell>
          <cell r="F72" t="str">
            <v>-</v>
          </cell>
        </row>
        <row r="73">
          <cell r="D73" t="str">
            <v>151610018A</v>
          </cell>
          <cell r="E73" t="str">
            <v>-</v>
          </cell>
          <cell r="F73" t="str">
            <v>-</v>
          </cell>
          <cell r="G73" t="str">
            <v>--</v>
          </cell>
          <cell r="H73" t="str">
            <v>--</v>
          </cell>
        </row>
        <row r="74">
          <cell r="D74" t="str">
            <v>151610018B</v>
          </cell>
          <cell r="E74" t="str">
            <v>-</v>
          </cell>
          <cell r="F74" t="str">
            <v>-</v>
          </cell>
        </row>
        <row r="75">
          <cell r="D75" t="str">
            <v>151610018C</v>
          </cell>
          <cell r="E75" t="str">
            <v>-</v>
          </cell>
          <cell r="F75" t="str">
            <v>-</v>
          </cell>
        </row>
        <row r="76">
          <cell r="D76" t="str">
            <v>151610018D</v>
          </cell>
          <cell r="E76" t="str">
            <v>-</v>
          </cell>
          <cell r="F76" t="str">
            <v>-</v>
          </cell>
        </row>
        <row r="77">
          <cell r="D77" t="str">
            <v>151610019A</v>
          </cell>
          <cell r="E77" t="str">
            <v>-</v>
          </cell>
          <cell r="F77" t="str">
            <v>-</v>
          </cell>
          <cell r="G77" t="str">
            <v>--</v>
          </cell>
          <cell r="H77" t="str">
            <v>--</v>
          </cell>
        </row>
        <row r="78">
          <cell r="D78" t="str">
            <v>151610019B</v>
          </cell>
          <cell r="E78" t="str">
            <v>-</v>
          </cell>
          <cell r="F78" t="str">
            <v>-</v>
          </cell>
        </row>
        <row r="79">
          <cell r="D79" t="str">
            <v>151610019C</v>
          </cell>
          <cell r="E79" t="str">
            <v>-</v>
          </cell>
          <cell r="F79" t="str">
            <v>-</v>
          </cell>
        </row>
        <row r="80">
          <cell r="D80" t="str">
            <v>151610019D</v>
          </cell>
          <cell r="E80" t="str">
            <v>-</v>
          </cell>
          <cell r="F80" t="str">
            <v>-</v>
          </cell>
        </row>
        <row r="81">
          <cell r="D81" t="str">
            <v>151610020A</v>
          </cell>
          <cell r="E81" t="str">
            <v>-</v>
          </cell>
          <cell r="F81" t="str">
            <v>-</v>
          </cell>
          <cell r="G81" t="str">
            <v>--</v>
          </cell>
          <cell r="H81" t="str">
            <v>--</v>
          </cell>
        </row>
        <row r="82">
          <cell r="D82" t="str">
            <v>151610020B</v>
          </cell>
          <cell r="E82" t="str">
            <v>-</v>
          </cell>
          <cell r="F82" t="str">
            <v>-</v>
          </cell>
        </row>
        <row r="83">
          <cell r="D83" t="str">
            <v>151610020C</v>
          </cell>
          <cell r="E83" t="str">
            <v>-</v>
          </cell>
          <cell r="F83" t="str">
            <v>-</v>
          </cell>
        </row>
        <row r="84">
          <cell r="D84" t="str">
            <v>151610020D</v>
          </cell>
          <cell r="E84" t="str">
            <v>-</v>
          </cell>
          <cell r="F84" t="str">
            <v>-</v>
          </cell>
        </row>
        <row r="85">
          <cell r="D85" t="str">
            <v>151610021A</v>
          </cell>
          <cell r="E85" t="str">
            <v>-</v>
          </cell>
          <cell r="F85" t="str">
            <v>-</v>
          </cell>
          <cell r="G85" t="str">
            <v>--</v>
          </cell>
          <cell r="H85" t="str">
            <v>--</v>
          </cell>
        </row>
        <row r="86">
          <cell r="D86" t="str">
            <v>151610021B</v>
          </cell>
          <cell r="E86" t="str">
            <v>-</v>
          </cell>
          <cell r="F86" t="str">
            <v>-</v>
          </cell>
        </row>
        <row r="87">
          <cell r="D87" t="str">
            <v>151610021C</v>
          </cell>
          <cell r="E87" t="str">
            <v>-</v>
          </cell>
          <cell r="F87" t="str">
            <v>-</v>
          </cell>
        </row>
        <row r="88">
          <cell r="D88" t="str">
            <v>151610021D</v>
          </cell>
          <cell r="E88" t="str">
            <v>-</v>
          </cell>
          <cell r="F88" t="str">
            <v>-</v>
          </cell>
        </row>
        <row r="89">
          <cell r="D89" t="str">
            <v>151610022A</v>
          </cell>
          <cell r="E89" t="str">
            <v>-</v>
          </cell>
          <cell r="F89" t="str">
            <v>-</v>
          </cell>
          <cell r="G89" t="str">
            <v>--</v>
          </cell>
          <cell r="H89" t="str">
            <v>--</v>
          </cell>
        </row>
        <row r="90">
          <cell r="D90" t="str">
            <v>151610022B</v>
          </cell>
          <cell r="E90" t="str">
            <v>-</v>
          </cell>
          <cell r="F90" t="str">
            <v>-</v>
          </cell>
        </row>
        <row r="91">
          <cell r="D91" t="str">
            <v>151610022C</v>
          </cell>
          <cell r="E91" t="str">
            <v>-</v>
          </cell>
          <cell r="F91" t="str">
            <v>-</v>
          </cell>
        </row>
        <row r="92">
          <cell r="D92" t="str">
            <v>151610022D</v>
          </cell>
          <cell r="E92" t="str">
            <v>-</v>
          </cell>
          <cell r="F92" t="str">
            <v>-</v>
          </cell>
        </row>
        <row r="93">
          <cell r="D93" t="str">
            <v>151610023A</v>
          </cell>
          <cell r="E93" t="str">
            <v>-</v>
          </cell>
          <cell r="F93" t="str">
            <v>-</v>
          </cell>
          <cell r="G93" t="str">
            <v>--</v>
          </cell>
          <cell r="H93" t="str">
            <v>--</v>
          </cell>
        </row>
        <row r="94">
          <cell r="D94" t="str">
            <v>151610023B</v>
          </cell>
          <cell r="E94" t="str">
            <v>-</v>
          </cell>
          <cell r="F94" t="str">
            <v>-</v>
          </cell>
        </row>
        <row r="95">
          <cell r="D95" t="str">
            <v>151610023C</v>
          </cell>
          <cell r="E95" t="str">
            <v>-</v>
          </cell>
          <cell r="F95" t="str">
            <v>-</v>
          </cell>
        </row>
        <row r="96">
          <cell r="D96" t="str">
            <v>151610023D</v>
          </cell>
          <cell r="E96" t="str">
            <v>-</v>
          </cell>
          <cell r="F96" t="str">
            <v>-</v>
          </cell>
        </row>
        <row r="97">
          <cell r="D97" t="str">
            <v>151610024A</v>
          </cell>
          <cell r="E97" t="str">
            <v>-</v>
          </cell>
          <cell r="F97" t="str">
            <v>-</v>
          </cell>
          <cell r="G97" t="str">
            <v>--</v>
          </cell>
          <cell r="H97" t="str">
            <v>--</v>
          </cell>
        </row>
        <row r="98">
          <cell r="D98" t="str">
            <v>151610024B</v>
          </cell>
          <cell r="E98" t="str">
            <v>-</v>
          </cell>
          <cell r="F98" t="str">
            <v>-</v>
          </cell>
        </row>
        <row r="99">
          <cell r="D99" t="str">
            <v>151610024C</v>
          </cell>
          <cell r="E99" t="str">
            <v>-</v>
          </cell>
          <cell r="F99" t="str">
            <v>-</v>
          </cell>
        </row>
        <row r="100">
          <cell r="D100" t="str">
            <v>151610024D</v>
          </cell>
          <cell r="E100" t="str">
            <v>-</v>
          </cell>
          <cell r="F100" t="str">
            <v>-</v>
          </cell>
        </row>
        <row r="101">
          <cell r="D101" t="str">
            <v>151610025A</v>
          </cell>
          <cell r="E101" t="str">
            <v>-</v>
          </cell>
          <cell r="F101" t="str">
            <v>-</v>
          </cell>
          <cell r="G101" t="str">
            <v>--</v>
          </cell>
          <cell r="H101" t="str">
            <v>--</v>
          </cell>
        </row>
        <row r="102">
          <cell r="D102" t="str">
            <v>151610025B</v>
          </cell>
          <cell r="E102" t="str">
            <v>-</v>
          </cell>
          <cell r="F102" t="str">
            <v>-</v>
          </cell>
        </row>
        <row r="103">
          <cell r="D103" t="str">
            <v>151610025C</v>
          </cell>
          <cell r="E103" t="str">
            <v>-</v>
          </cell>
          <cell r="F103" t="str">
            <v>-</v>
          </cell>
        </row>
        <row r="104">
          <cell r="D104" t="str">
            <v>151610025D</v>
          </cell>
          <cell r="E104" t="str">
            <v>-</v>
          </cell>
          <cell r="F104" t="str">
            <v>-</v>
          </cell>
        </row>
        <row r="105">
          <cell r="D105" t="str">
            <v>151610026A</v>
          </cell>
          <cell r="E105" t="str">
            <v>-</v>
          </cell>
          <cell r="F105" t="str">
            <v>-</v>
          </cell>
          <cell r="G105" t="str">
            <v>--</v>
          </cell>
          <cell r="H105" t="str">
            <v>--</v>
          </cell>
        </row>
        <row r="106">
          <cell r="D106" t="str">
            <v>151610026B</v>
          </cell>
          <cell r="E106" t="str">
            <v>-</v>
          </cell>
          <cell r="F106" t="str">
            <v>-</v>
          </cell>
        </row>
        <row r="107">
          <cell r="D107" t="str">
            <v>151610026C</v>
          </cell>
          <cell r="E107" t="str">
            <v>-</v>
          </cell>
          <cell r="F107" t="str">
            <v>-</v>
          </cell>
        </row>
        <row r="108">
          <cell r="D108" t="str">
            <v>151610026D</v>
          </cell>
          <cell r="E108" t="str">
            <v>-</v>
          </cell>
          <cell r="F108" t="str">
            <v>-</v>
          </cell>
        </row>
        <row r="109">
          <cell r="D109" t="str">
            <v>151610027A</v>
          </cell>
          <cell r="E109" t="str">
            <v>-</v>
          </cell>
          <cell r="F109" t="str">
            <v>-</v>
          </cell>
          <cell r="G109" t="str">
            <v>--</v>
          </cell>
          <cell r="H109" t="str">
            <v>--</v>
          </cell>
        </row>
        <row r="110">
          <cell r="D110" t="str">
            <v>151610027B</v>
          </cell>
          <cell r="E110" t="str">
            <v>-</v>
          </cell>
          <cell r="F110" t="str">
            <v>-</v>
          </cell>
        </row>
        <row r="111">
          <cell r="D111" t="str">
            <v>151610027C</v>
          </cell>
          <cell r="E111" t="str">
            <v>-</v>
          </cell>
          <cell r="F111" t="str">
            <v>-</v>
          </cell>
        </row>
        <row r="112">
          <cell r="D112" t="str">
            <v>151610027D</v>
          </cell>
          <cell r="E112" t="str">
            <v>-</v>
          </cell>
          <cell r="F112" t="str">
            <v>-</v>
          </cell>
        </row>
        <row r="113">
          <cell r="D113" t="str">
            <v>151610028A</v>
          </cell>
          <cell r="E113" t="str">
            <v>-</v>
          </cell>
          <cell r="F113" t="str">
            <v>-</v>
          </cell>
          <cell r="G113" t="str">
            <v>--</v>
          </cell>
          <cell r="H113" t="str">
            <v>--</v>
          </cell>
        </row>
        <row r="114">
          <cell r="D114" t="str">
            <v>151610028B</v>
          </cell>
          <cell r="E114" t="str">
            <v>-</v>
          </cell>
          <cell r="F114" t="str">
            <v>-</v>
          </cell>
        </row>
        <row r="115">
          <cell r="D115" t="str">
            <v>151610028C</v>
          </cell>
          <cell r="E115" t="str">
            <v>-</v>
          </cell>
          <cell r="F115" t="str">
            <v>-</v>
          </cell>
        </row>
        <row r="116">
          <cell r="D116" t="str">
            <v>151610028D</v>
          </cell>
          <cell r="E116" t="str">
            <v>-</v>
          </cell>
          <cell r="F116" t="str">
            <v>-</v>
          </cell>
        </row>
        <row r="117">
          <cell r="D117" t="str">
            <v>151610029A</v>
          </cell>
          <cell r="E117" t="str">
            <v>-</v>
          </cell>
          <cell r="F117" t="str">
            <v>-</v>
          </cell>
          <cell r="G117" t="str">
            <v>--</v>
          </cell>
          <cell r="H117" t="str">
            <v>--</v>
          </cell>
        </row>
        <row r="118">
          <cell r="D118" t="str">
            <v>151610029B</v>
          </cell>
          <cell r="E118" t="str">
            <v>-</v>
          </cell>
          <cell r="F118" t="str">
            <v>-</v>
          </cell>
        </row>
        <row r="119">
          <cell r="D119" t="str">
            <v>151610029C</v>
          </cell>
          <cell r="E119" t="str">
            <v>-</v>
          </cell>
          <cell r="F119" t="str">
            <v>-</v>
          </cell>
        </row>
        <row r="120">
          <cell r="D120" t="str">
            <v>151610029D</v>
          </cell>
          <cell r="E120" t="str">
            <v>-</v>
          </cell>
          <cell r="F120" t="str">
            <v>-</v>
          </cell>
        </row>
        <row r="121">
          <cell r="D121" t="str">
            <v>151610030A</v>
          </cell>
          <cell r="E121" t="str">
            <v>-</v>
          </cell>
          <cell r="F121" t="str">
            <v>-</v>
          </cell>
          <cell r="G121" t="str">
            <v>--</v>
          </cell>
          <cell r="H121" t="str">
            <v>--</v>
          </cell>
        </row>
        <row r="122">
          <cell r="D122" t="str">
            <v>151610030B</v>
          </cell>
          <cell r="E122" t="str">
            <v>-</v>
          </cell>
          <cell r="F122" t="str">
            <v>-</v>
          </cell>
        </row>
        <row r="123">
          <cell r="D123" t="str">
            <v>151610030C</v>
          </cell>
          <cell r="E123" t="str">
            <v>-</v>
          </cell>
          <cell r="F123" t="str">
            <v>-</v>
          </cell>
        </row>
        <row r="124">
          <cell r="D124" t="str">
            <v>151610030D</v>
          </cell>
          <cell r="E124" t="str">
            <v>-</v>
          </cell>
          <cell r="F124" t="str">
            <v>-</v>
          </cell>
        </row>
        <row r="125">
          <cell r="D125" t="str">
            <v>151610031A</v>
          </cell>
          <cell r="E125" t="str">
            <v>-</v>
          </cell>
          <cell r="F125" t="str">
            <v>-</v>
          </cell>
          <cell r="G125" t="str">
            <v>--</v>
          </cell>
          <cell r="H125" t="str">
            <v>--</v>
          </cell>
        </row>
        <row r="126">
          <cell r="D126" t="str">
            <v>151610031B</v>
          </cell>
          <cell r="E126" t="str">
            <v>-</v>
          </cell>
          <cell r="F126" t="str">
            <v>-</v>
          </cell>
        </row>
        <row r="127">
          <cell r="D127" t="str">
            <v>151610031C</v>
          </cell>
          <cell r="E127" t="str">
            <v>-</v>
          </cell>
          <cell r="F127" t="str">
            <v>-</v>
          </cell>
        </row>
        <row r="128">
          <cell r="D128" t="str">
            <v>151610031D</v>
          </cell>
          <cell r="E128" t="str">
            <v>-</v>
          </cell>
          <cell r="F128" t="str">
            <v>-</v>
          </cell>
        </row>
        <row r="129">
          <cell r="D129" t="str">
            <v>151610032A</v>
          </cell>
          <cell r="E129" t="str">
            <v>-</v>
          </cell>
          <cell r="F129" t="str">
            <v>-</v>
          </cell>
          <cell r="G129" t="str">
            <v>--</v>
          </cell>
          <cell r="H129" t="str">
            <v>--</v>
          </cell>
        </row>
        <row r="130">
          <cell r="D130" t="str">
            <v>151610032B</v>
          </cell>
          <cell r="E130" t="str">
            <v>-</v>
          </cell>
          <cell r="F130" t="str">
            <v>-</v>
          </cell>
        </row>
        <row r="131">
          <cell r="D131" t="str">
            <v>151610032C</v>
          </cell>
          <cell r="E131" t="str">
            <v>-</v>
          </cell>
          <cell r="F131" t="str">
            <v>-</v>
          </cell>
        </row>
        <row r="132">
          <cell r="D132" t="str">
            <v>151610032D</v>
          </cell>
          <cell r="E132" t="str">
            <v>-</v>
          </cell>
          <cell r="F132" t="str">
            <v>-</v>
          </cell>
        </row>
        <row r="133">
          <cell r="D133" t="str">
            <v>151610033A</v>
          </cell>
          <cell r="E133" t="str">
            <v>-</v>
          </cell>
          <cell r="F133" t="str">
            <v>-</v>
          </cell>
          <cell r="G133" t="str">
            <v>--</v>
          </cell>
          <cell r="H133" t="str">
            <v>--</v>
          </cell>
        </row>
        <row r="134">
          <cell r="D134" t="str">
            <v>151610033B</v>
          </cell>
          <cell r="E134" t="str">
            <v>-</v>
          </cell>
          <cell r="F134" t="str">
            <v>-</v>
          </cell>
        </row>
        <row r="135">
          <cell r="D135" t="str">
            <v>151610033C</v>
          </cell>
          <cell r="E135" t="str">
            <v>-</v>
          </cell>
          <cell r="F135" t="str">
            <v>-</v>
          </cell>
        </row>
        <row r="136">
          <cell r="D136" t="str">
            <v>151610033D</v>
          </cell>
          <cell r="E136" t="str">
            <v>-</v>
          </cell>
          <cell r="F136" t="str">
            <v>-</v>
          </cell>
        </row>
        <row r="137">
          <cell r="D137" t="str">
            <v>151610034A</v>
          </cell>
          <cell r="E137" t="str">
            <v>-</v>
          </cell>
          <cell r="F137" t="str">
            <v>-</v>
          </cell>
          <cell r="G137" t="str">
            <v>--</v>
          </cell>
          <cell r="H137" t="str">
            <v>--</v>
          </cell>
        </row>
        <row r="138">
          <cell r="D138" t="str">
            <v>151610034B</v>
          </cell>
          <cell r="E138" t="str">
            <v>-</v>
          </cell>
          <cell r="F138" t="str">
            <v>-</v>
          </cell>
        </row>
        <row r="139">
          <cell r="D139" t="str">
            <v>151610034C</v>
          </cell>
          <cell r="E139" t="str">
            <v>-</v>
          </cell>
          <cell r="F139" t="str">
            <v>-</v>
          </cell>
        </row>
        <row r="140">
          <cell r="D140" t="str">
            <v>151610034D</v>
          </cell>
          <cell r="E140" t="str">
            <v>-</v>
          </cell>
          <cell r="F140" t="str">
            <v>-</v>
          </cell>
        </row>
        <row r="141">
          <cell r="D141" t="str">
            <v>151610035A</v>
          </cell>
          <cell r="E141" t="str">
            <v>-</v>
          </cell>
          <cell r="F141" t="str">
            <v>-</v>
          </cell>
          <cell r="G141" t="str">
            <v>--</v>
          </cell>
          <cell r="H141" t="str">
            <v>--</v>
          </cell>
        </row>
        <row r="142">
          <cell r="D142" t="str">
            <v>151610035B</v>
          </cell>
          <cell r="E142" t="str">
            <v>-</v>
          </cell>
          <cell r="F142" t="str">
            <v>-</v>
          </cell>
        </row>
        <row r="143">
          <cell r="D143" t="str">
            <v>151610035C</v>
          </cell>
          <cell r="E143" t="str">
            <v>-</v>
          </cell>
          <cell r="F143" t="str">
            <v>-</v>
          </cell>
        </row>
        <row r="144">
          <cell r="D144" t="str">
            <v>151610035D</v>
          </cell>
          <cell r="E144" t="str">
            <v>-</v>
          </cell>
          <cell r="F144" t="str">
            <v>-</v>
          </cell>
        </row>
        <row r="145">
          <cell r="D145" t="str">
            <v>151610036A</v>
          </cell>
          <cell r="E145" t="str">
            <v>-</v>
          </cell>
          <cell r="F145" t="str">
            <v>-</v>
          </cell>
          <cell r="G145" t="str">
            <v>--</v>
          </cell>
          <cell r="H145" t="str">
            <v>--</v>
          </cell>
        </row>
        <row r="146">
          <cell r="D146" t="str">
            <v>151610036B</v>
          </cell>
          <cell r="E146" t="str">
            <v>-</v>
          </cell>
          <cell r="F146" t="str">
            <v>-</v>
          </cell>
        </row>
        <row r="147">
          <cell r="D147" t="str">
            <v>151610036C</v>
          </cell>
          <cell r="E147" t="str">
            <v>-</v>
          </cell>
          <cell r="F147" t="str">
            <v>-</v>
          </cell>
        </row>
        <row r="148">
          <cell r="D148" t="str">
            <v>151610036D</v>
          </cell>
          <cell r="E148" t="str">
            <v>-</v>
          </cell>
          <cell r="F148" t="str">
            <v>-</v>
          </cell>
        </row>
        <row r="149">
          <cell r="D149" t="str">
            <v>151610037A</v>
          </cell>
          <cell r="E149" t="str">
            <v>-</v>
          </cell>
          <cell r="F149" t="str">
            <v>-</v>
          </cell>
          <cell r="G149" t="str">
            <v>--</v>
          </cell>
          <cell r="H149" t="str">
            <v>--</v>
          </cell>
        </row>
        <row r="150">
          <cell r="D150" t="str">
            <v>151610037B</v>
          </cell>
          <cell r="E150" t="str">
            <v>-</v>
          </cell>
          <cell r="F150" t="str">
            <v>-</v>
          </cell>
        </row>
        <row r="151">
          <cell r="D151" t="str">
            <v>151610037C</v>
          </cell>
          <cell r="E151" t="str">
            <v>-</v>
          </cell>
          <cell r="F151" t="str">
            <v>-</v>
          </cell>
        </row>
        <row r="152">
          <cell r="D152" t="str">
            <v>151610037D</v>
          </cell>
          <cell r="E152" t="str">
            <v>-</v>
          </cell>
          <cell r="F152" t="str">
            <v>-</v>
          </cell>
        </row>
        <row r="153">
          <cell r="D153" t="str">
            <v>151610038A</v>
          </cell>
          <cell r="E153" t="str">
            <v>-</v>
          </cell>
          <cell r="F153" t="str">
            <v>-</v>
          </cell>
          <cell r="G153" t="str">
            <v>--</v>
          </cell>
          <cell r="H153" t="str">
            <v>--</v>
          </cell>
        </row>
        <row r="154">
          <cell r="D154" t="str">
            <v>151610038B</v>
          </cell>
          <cell r="E154" t="str">
            <v>-</v>
          </cell>
          <cell r="F154" t="str">
            <v>-</v>
          </cell>
        </row>
        <row r="155">
          <cell r="D155" t="str">
            <v>151610038C</v>
          </cell>
          <cell r="E155" t="str">
            <v>-</v>
          </cell>
          <cell r="F155" t="str">
            <v>-</v>
          </cell>
        </row>
        <row r="156">
          <cell r="D156" t="str">
            <v>151610038D</v>
          </cell>
          <cell r="E156" t="str">
            <v>-</v>
          </cell>
          <cell r="F156" t="str">
            <v>-</v>
          </cell>
        </row>
        <row r="157">
          <cell r="D157" t="str">
            <v>151610039A</v>
          </cell>
          <cell r="E157" t="str">
            <v>-</v>
          </cell>
          <cell r="F157" t="str">
            <v>-</v>
          </cell>
          <cell r="G157" t="str">
            <v>--</v>
          </cell>
          <cell r="H157" t="str">
            <v>--</v>
          </cell>
        </row>
        <row r="158">
          <cell r="D158" t="str">
            <v>151610039B</v>
          </cell>
          <cell r="E158" t="str">
            <v>-</v>
          </cell>
          <cell r="F158" t="str">
            <v>-</v>
          </cell>
        </row>
        <row r="159">
          <cell r="D159" t="str">
            <v>151610039C</v>
          </cell>
          <cell r="E159" t="str">
            <v>-</v>
          </cell>
          <cell r="F159" t="str">
            <v>-</v>
          </cell>
        </row>
        <row r="160">
          <cell r="D160" t="str">
            <v>151610039D</v>
          </cell>
          <cell r="E160" t="str">
            <v>-</v>
          </cell>
          <cell r="F160" t="str">
            <v>-</v>
          </cell>
        </row>
        <row r="161">
          <cell r="D161" t="str">
            <v>151610040A</v>
          </cell>
          <cell r="E161" t="str">
            <v>-</v>
          </cell>
          <cell r="F161" t="str">
            <v>-</v>
          </cell>
          <cell r="G161" t="str">
            <v>--</v>
          </cell>
          <cell r="H161" t="str">
            <v>--</v>
          </cell>
        </row>
        <row r="162">
          <cell r="D162" t="str">
            <v>151610040B</v>
          </cell>
          <cell r="E162" t="str">
            <v>-</v>
          </cell>
          <cell r="F162" t="str">
            <v>-</v>
          </cell>
        </row>
        <row r="163">
          <cell r="D163" t="str">
            <v>151610040C</v>
          </cell>
          <cell r="E163" t="str">
            <v>-</v>
          </cell>
          <cell r="F163" t="str">
            <v>-</v>
          </cell>
        </row>
        <row r="164">
          <cell r="D164" t="str">
            <v>151610040D</v>
          </cell>
          <cell r="E164" t="str">
            <v>-</v>
          </cell>
          <cell r="F164" t="str">
            <v>-</v>
          </cell>
        </row>
        <row r="165">
          <cell r="D165" t="str">
            <v>151610041A</v>
          </cell>
          <cell r="E165" t="str">
            <v>-</v>
          </cell>
          <cell r="F165" t="str">
            <v>-</v>
          </cell>
          <cell r="G165" t="str">
            <v>--</v>
          </cell>
          <cell r="H165" t="str">
            <v>--</v>
          </cell>
        </row>
        <row r="166">
          <cell r="D166" t="str">
            <v>151610041B</v>
          </cell>
          <cell r="E166" t="str">
            <v>-</v>
          </cell>
          <cell r="F166" t="str">
            <v>-</v>
          </cell>
        </row>
        <row r="167">
          <cell r="D167" t="str">
            <v>151610041C</v>
          </cell>
          <cell r="E167" t="str">
            <v>-</v>
          </cell>
          <cell r="F167" t="str">
            <v>-</v>
          </cell>
        </row>
        <row r="168">
          <cell r="D168" t="str">
            <v>151610041D</v>
          </cell>
          <cell r="E168" t="str">
            <v>-</v>
          </cell>
          <cell r="F168" t="str">
            <v>-</v>
          </cell>
        </row>
        <row r="169">
          <cell r="D169" t="str">
            <v>151610042A</v>
          </cell>
          <cell r="E169" t="str">
            <v>-</v>
          </cell>
          <cell r="F169" t="str">
            <v>-</v>
          </cell>
          <cell r="G169" t="str">
            <v>--</v>
          </cell>
          <cell r="H169" t="str">
            <v>--</v>
          </cell>
        </row>
        <row r="170">
          <cell r="D170" t="str">
            <v>151610042B</v>
          </cell>
          <cell r="E170" t="str">
            <v>-</v>
          </cell>
          <cell r="F170" t="str">
            <v>-</v>
          </cell>
        </row>
        <row r="171">
          <cell r="D171" t="str">
            <v>151610042C</v>
          </cell>
          <cell r="E171" t="str">
            <v>-</v>
          </cell>
          <cell r="F171" t="str">
            <v>-</v>
          </cell>
        </row>
        <row r="172">
          <cell r="D172" t="str">
            <v>151610042D</v>
          </cell>
          <cell r="E172" t="str">
            <v>-</v>
          </cell>
          <cell r="F172" t="str">
            <v>-</v>
          </cell>
        </row>
        <row r="173">
          <cell r="D173" t="str">
            <v>151610043A</v>
          </cell>
          <cell r="E173" t="str">
            <v>-</v>
          </cell>
          <cell r="F173" t="str">
            <v>-</v>
          </cell>
          <cell r="G173" t="str">
            <v>--</v>
          </cell>
          <cell r="H173" t="str">
            <v>--</v>
          </cell>
        </row>
        <row r="174">
          <cell r="D174" t="str">
            <v>151610043B</v>
          </cell>
          <cell r="E174" t="str">
            <v>-</v>
          </cell>
          <cell r="F174" t="str">
            <v>-</v>
          </cell>
        </row>
        <row r="175">
          <cell r="D175" t="str">
            <v>151610043C</v>
          </cell>
          <cell r="E175" t="str">
            <v>-</v>
          </cell>
          <cell r="F175" t="str">
            <v>-</v>
          </cell>
        </row>
        <row r="176">
          <cell r="D176" t="str">
            <v>151610043D</v>
          </cell>
          <cell r="E176" t="str">
            <v>-</v>
          </cell>
          <cell r="F176" t="str">
            <v>-</v>
          </cell>
        </row>
        <row r="177">
          <cell r="D177" t="str">
            <v>151610044A</v>
          </cell>
          <cell r="E177" t="str">
            <v>-</v>
          </cell>
          <cell r="F177" t="str">
            <v>-</v>
          </cell>
          <cell r="G177" t="str">
            <v>--</v>
          </cell>
          <cell r="H177" t="str">
            <v>--</v>
          </cell>
        </row>
        <row r="178">
          <cell r="D178" t="str">
            <v>151610044B</v>
          </cell>
          <cell r="E178" t="str">
            <v>-</v>
          </cell>
          <cell r="F178" t="str">
            <v>-</v>
          </cell>
        </row>
        <row r="179">
          <cell r="D179" t="str">
            <v>151610044C</v>
          </cell>
          <cell r="E179" t="str">
            <v>-</v>
          </cell>
          <cell r="F179" t="str">
            <v>-</v>
          </cell>
        </row>
        <row r="180">
          <cell r="D180" t="str">
            <v>151610044D</v>
          </cell>
          <cell r="E180" t="str">
            <v>-</v>
          </cell>
          <cell r="F180" t="str">
            <v>-</v>
          </cell>
        </row>
        <row r="181">
          <cell r="D181" t="str">
            <v>151610045A</v>
          </cell>
          <cell r="E181" t="str">
            <v>-</v>
          </cell>
          <cell r="F181" t="str">
            <v>-</v>
          </cell>
          <cell r="G181" t="str">
            <v>--</v>
          </cell>
          <cell r="H181" t="str">
            <v>--</v>
          </cell>
        </row>
        <row r="182">
          <cell r="D182" t="str">
            <v>151610045B</v>
          </cell>
          <cell r="E182" t="str">
            <v>-</v>
          </cell>
          <cell r="F182" t="str">
            <v>-</v>
          </cell>
        </row>
        <row r="183">
          <cell r="D183" t="str">
            <v>151610045C</v>
          </cell>
          <cell r="E183" t="str">
            <v>-</v>
          </cell>
          <cell r="F183" t="str">
            <v>-</v>
          </cell>
        </row>
        <row r="184">
          <cell r="D184" t="str">
            <v>151610045D</v>
          </cell>
          <cell r="E184" t="str">
            <v>-</v>
          </cell>
          <cell r="F184" t="str">
            <v>-</v>
          </cell>
        </row>
        <row r="185">
          <cell r="D185" t="str">
            <v>151610046A</v>
          </cell>
          <cell r="E185" t="str">
            <v>-</v>
          </cell>
          <cell r="F185" t="str">
            <v>-</v>
          </cell>
          <cell r="G185" t="str">
            <v>--</v>
          </cell>
          <cell r="H185" t="str">
            <v>--</v>
          </cell>
        </row>
        <row r="186">
          <cell r="D186" t="str">
            <v>151610046B</v>
          </cell>
          <cell r="E186" t="str">
            <v>-</v>
          </cell>
          <cell r="F186" t="str">
            <v>-</v>
          </cell>
        </row>
        <row r="187">
          <cell r="D187" t="str">
            <v>151610046C</v>
          </cell>
          <cell r="E187" t="str">
            <v>-</v>
          </cell>
          <cell r="F187" t="str">
            <v>-</v>
          </cell>
        </row>
        <row r="188">
          <cell r="D188" t="str">
            <v>151610046D</v>
          </cell>
          <cell r="E188" t="str">
            <v>-</v>
          </cell>
          <cell r="F188" t="str">
            <v>-</v>
          </cell>
        </row>
        <row r="189">
          <cell r="D189" t="str">
            <v>151610047A</v>
          </cell>
          <cell r="E189" t="str">
            <v>-</v>
          </cell>
          <cell r="F189" t="str">
            <v>-</v>
          </cell>
          <cell r="G189" t="str">
            <v>--</v>
          </cell>
          <cell r="H189" t="str">
            <v>--</v>
          </cell>
        </row>
        <row r="190">
          <cell r="D190" t="str">
            <v>151610047B</v>
          </cell>
          <cell r="E190" t="str">
            <v>-</v>
          </cell>
          <cell r="F190" t="str">
            <v>-</v>
          </cell>
        </row>
        <row r="191">
          <cell r="D191" t="str">
            <v>151610047C</v>
          </cell>
          <cell r="E191" t="str">
            <v>-</v>
          </cell>
          <cell r="F191" t="str">
            <v>-</v>
          </cell>
        </row>
        <row r="192">
          <cell r="D192" t="str">
            <v>151610047D</v>
          </cell>
          <cell r="E192" t="str">
            <v>-</v>
          </cell>
          <cell r="F192" t="str">
            <v>-</v>
          </cell>
        </row>
        <row r="193">
          <cell r="D193" t="str">
            <v>151610048A</v>
          </cell>
          <cell r="E193" t="str">
            <v>-</v>
          </cell>
          <cell r="F193" t="str">
            <v>-</v>
          </cell>
          <cell r="G193" t="str">
            <v>Pertahankan Prestasimu !</v>
          </cell>
          <cell r="H193" t="str">
            <v>Naik ke kelas XI MIPA</v>
          </cell>
        </row>
        <row r="194">
          <cell r="D194" t="str">
            <v>151610048B</v>
          </cell>
          <cell r="E194" t="str">
            <v>-</v>
          </cell>
          <cell r="F194" t="str">
            <v>-</v>
          </cell>
        </row>
        <row r="195">
          <cell r="D195" t="str">
            <v>151610048C</v>
          </cell>
          <cell r="E195" t="str">
            <v>-</v>
          </cell>
          <cell r="F195" t="str">
            <v>-</v>
          </cell>
        </row>
        <row r="196">
          <cell r="D196" t="str">
            <v>151610048D</v>
          </cell>
          <cell r="E196" t="str">
            <v>-</v>
          </cell>
          <cell r="F196" t="str">
            <v>-</v>
          </cell>
        </row>
      </sheetData>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8.bin"/><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50"/>
  </sheetPr>
  <dimension ref="A1:C29"/>
  <sheetViews>
    <sheetView showGridLines="0" zoomScaleNormal="100" zoomScaleSheetLayoutView="100" workbookViewId="0">
      <selection activeCell="B7" sqref="B7"/>
    </sheetView>
  </sheetViews>
  <sheetFormatPr defaultColWidth="9.140625" defaultRowHeight="12.75" x14ac:dyDescent="0.2"/>
  <cols>
    <col min="1" max="1" width="3.28515625" style="55" customWidth="1"/>
    <col min="2" max="2" width="136.85546875" style="128" customWidth="1"/>
    <col min="3" max="3" width="2.7109375" style="55" customWidth="1"/>
    <col min="4" max="16384" width="9.140625" style="55"/>
  </cols>
  <sheetData>
    <row r="1" spans="1:3" ht="12.75" customHeight="1" x14ac:dyDescent="0.25">
      <c r="A1" s="138"/>
      <c r="B1" s="126" t="s">
        <v>149</v>
      </c>
      <c r="C1" s="56"/>
    </row>
    <row r="2" spans="1:3" ht="30" x14ac:dyDescent="0.25">
      <c r="A2" s="125"/>
      <c r="B2" s="133" t="s">
        <v>148</v>
      </c>
      <c r="C2" s="56"/>
    </row>
    <row r="3" spans="1:3" ht="15" x14ac:dyDescent="0.2">
      <c r="A3" s="135">
        <v>1</v>
      </c>
      <c r="B3" s="134" t="s">
        <v>236</v>
      </c>
      <c r="C3" s="56"/>
    </row>
    <row r="4" spans="1:3" ht="15" x14ac:dyDescent="0.2">
      <c r="A4" s="135">
        <v>2</v>
      </c>
      <c r="B4" s="134" t="s">
        <v>237</v>
      </c>
      <c r="C4" s="56"/>
    </row>
    <row r="5" spans="1:3" ht="15" x14ac:dyDescent="0.2">
      <c r="A5" s="135">
        <v>3</v>
      </c>
      <c r="B5" s="134" t="s">
        <v>238</v>
      </c>
      <c r="C5" s="56"/>
    </row>
    <row r="6" spans="1:3" ht="30" x14ac:dyDescent="0.2">
      <c r="A6" s="135">
        <v>4</v>
      </c>
      <c r="B6" s="134" t="s">
        <v>334</v>
      </c>
      <c r="C6" s="56"/>
    </row>
    <row r="7" spans="1:3" ht="15" x14ac:dyDescent="0.2">
      <c r="A7" s="135">
        <v>5</v>
      </c>
      <c r="B7" s="136" t="s">
        <v>239</v>
      </c>
      <c r="C7" s="56"/>
    </row>
    <row r="8" spans="1:3" ht="15" x14ac:dyDescent="0.2">
      <c r="A8" s="135">
        <v>6</v>
      </c>
      <c r="B8" s="134" t="s">
        <v>240</v>
      </c>
      <c r="C8" s="56"/>
    </row>
    <row r="9" spans="1:3" ht="15" x14ac:dyDescent="0.2">
      <c r="A9" s="135">
        <v>7</v>
      </c>
      <c r="B9" s="134" t="s">
        <v>254</v>
      </c>
      <c r="C9" s="56"/>
    </row>
    <row r="10" spans="1:3" ht="15" x14ac:dyDescent="0.2">
      <c r="A10" s="135">
        <v>8</v>
      </c>
      <c r="B10" s="134" t="s">
        <v>241</v>
      </c>
      <c r="C10" s="56"/>
    </row>
    <row r="11" spans="1:3" ht="30" x14ac:dyDescent="0.2">
      <c r="A11" s="135">
        <v>9</v>
      </c>
      <c r="B11" s="134" t="s">
        <v>242</v>
      </c>
      <c r="C11" s="56"/>
    </row>
    <row r="12" spans="1:3" ht="30" x14ac:dyDescent="0.2">
      <c r="A12" s="135">
        <v>10</v>
      </c>
      <c r="B12" s="134" t="s">
        <v>243</v>
      </c>
      <c r="C12" s="56"/>
    </row>
    <row r="13" spans="1:3" ht="30" x14ac:dyDescent="0.2">
      <c r="A13" s="135">
        <v>11</v>
      </c>
      <c r="B13" s="134" t="s">
        <v>244</v>
      </c>
      <c r="C13" s="56"/>
    </row>
    <row r="14" spans="1:3" ht="30" x14ac:dyDescent="0.2">
      <c r="A14" s="135">
        <v>12</v>
      </c>
      <c r="B14" s="134" t="s">
        <v>245</v>
      </c>
      <c r="C14" s="56"/>
    </row>
    <row r="15" spans="1:3" ht="15" x14ac:dyDescent="0.2">
      <c r="A15" s="135">
        <v>13</v>
      </c>
      <c r="B15" s="134" t="s">
        <v>246</v>
      </c>
      <c r="C15" s="56"/>
    </row>
    <row r="16" spans="1:3" ht="15" x14ac:dyDescent="0.2">
      <c r="A16" s="135">
        <v>14</v>
      </c>
      <c r="B16" s="134" t="s">
        <v>247</v>
      </c>
      <c r="C16" s="56"/>
    </row>
    <row r="17" spans="1:3" ht="15" x14ac:dyDescent="0.2">
      <c r="A17" s="135">
        <v>15</v>
      </c>
      <c r="B17" s="134" t="s">
        <v>248</v>
      </c>
      <c r="C17" s="56"/>
    </row>
    <row r="18" spans="1:3" ht="15" x14ac:dyDescent="0.25">
      <c r="A18" s="125"/>
      <c r="B18" s="139"/>
      <c r="C18" s="56"/>
    </row>
    <row r="19" spans="1:3" ht="15.75" x14ac:dyDescent="0.25">
      <c r="A19" s="138"/>
      <c r="B19" s="126" t="s">
        <v>252</v>
      </c>
      <c r="C19" s="56"/>
    </row>
    <row r="20" spans="1:3" ht="15" x14ac:dyDescent="0.2">
      <c r="A20" s="135">
        <v>1</v>
      </c>
      <c r="B20" s="134" t="s">
        <v>249</v>
      </c>
      <c r="C20" s="56"/>
    </row>
    <row r="21" spans="1:3" ht="15" x14ac:dyDescent="0.2">
      <c r="A21" s="135">
        <v>2</v>
      </c>
      <c r="B21" s="134" t="s">
        <v>250</v>
      </c>
      <c r="C21" s="56"/>
    </row>
    <row r="22" spans="1:3" ht="15" x14ac:dyDescent="0.2">
      <c r="A22" s="135">
        <v>3</v>
      </c>
      <c r="B22" s="134" t="s">
        <v>234</v>
      </c>
      <c r="C22" s="56"/>
    </row>
    <row r="23" spans="1:3" ht="15" x14ac:dyDescent="0.2">
      <c r="A23" s="135">
        <v>4</v>
      </c>
      <c r="B23" s="134" t="s">
        <v>272</v>
      </c>
      <c r="C23" s="56"/>
    </row>
    <row r="24" spans="1:3" ht="15" x14ac:dyDescent="0.2">
      <c r="A24" s="135">
        <v>5</v>
      </c>
      <c r="B24" s="134" t="s">
        <v>235</v>
      </c>
      <c r="C24" s="56"/>
    </row>
    <row r="25" spans="1:3" ht="15" x14ac:dyDescent="0.2">
      <c r="A25" s="135">
        <v>6</v>
      </c>
      <c r="B25" s="134" t="s">
        <v>333</v>
      </c>
      <c r="C25" s="56"/>
    </row>
    <row r="26" spans="1:3" ht="15" x14ac:dyDescent="0.25">
      <c r="A26" s="138"/>
      <c r="B26" s="137" t="s">
        <v>251</v>
      </c>
      <c r="C26" s="56"/>
    </row>
    <row r="27" spans="1:3" ht="15" x14ac:dyDescent="0.25">
      <c r="A27" s="138"/>
      <c r="B27" s="125"/>
      <c r="C27" s="56"/>
    </row>
    <row r="28" spans="1:3" ht="15" x14ac:dyDescent="0.25">
      <c r="A28" s="138"/>
      <c r="B28" s="140" t="s">
        <v>253</v>
      </c>
      <c r="C28" s="56"/>
    </row>
    <row r="29" spans="1:3" x14ac:dyDescent="0.2">
      <c r="A29" s="56"/>
      <c r="B29" s="127"/>
      <c r="C29" s="56"/>
    </row>
  </sheetData>
  <sheetProtection sheet="1" objects="1" scenarios="1"/>
  <printOptions horizontalCentered="1"/>
  <pageMargins left="0.39370078740157483" right="0.23622047244094491" top="0.47244094488188981" bottom="0.35433070866141736" header="0.47244094488188981" footer="0.35433070866141736"/>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B050"/>
  </sheetPr>
  <dimension ref="A1:J28"/>
  <sheetViews>
    <sheetView showGridLines="0" topLeftCell="A4" workbookViewId="0">
      <selection activeCell="C8" sqref="C8:D14"/>
    </sheetView>
  </sheetViews>
  <sheetFormatPr defaultRowHeight="16.5" x14ac:dyDescent="0.3"/>
  <cols>
    <col min="1" max="1" width="13.7109375" style="93" customWidth="1"/>
    <col min="2" max="2" width="12.85546875" style="93" customWidth="1"/>
    <col min="3" max="3" width="1.140625" style="93" customWidth="1"/>
    <col min="4" max="4" width="33.5703125" style="93" customWidth="1"/>
    <col min="5" max="5" width="34.140625" style="93" customWidth="1"/>
    <col min="6" max="7" width="9.140625" style="93"/>
  </cols>
  <sheetData>
    <row r="1" spans="1:10" ht="18" x14ac:dyDescent="0.25">
      <c r="A1" s="708" t="s">
        <v>189</v>
      </c>
      <c r="B1" s="708"/>
      <c r="C1" s="708"/>
      <c r="D1" s="708"/>
      <c r="E1" s="708"/>
      <c r="F1" s="90"/>
      <c r="G1" s="90"/>
      <c r="H1" s="90"/>
      <c r="I1" s="90"/>
    </row>
    <row r="2" spans="1:10" s="92" customFormat="1" ht="15" x14ac:dyDescent="0.3">
      <c r="A2" s="91"/>
      <c r="B2" s="91"/>
      <c r="C2" s="91"/>
      <c r="D2" s="91"/>
      <c r="E2" s="91"/>
      <c r="F2" s="91"/>
      <c r="G2" s="91"/>
    </row>
    <row r="3" spans="1:10" x14ac:dyDescent="0.3">
      <c r="A3" s="93" t="s">
        <v>14</v>
      </c>
      <c r="C3" s="94" t="s">
        <v>3</v>
      </c>
      <c r="D3" s="93" t="s">
        <v>367</v>
      </c>
    </row>
    <row r="4" spans="1:10" x14ac:dyDescent="0.3">
      <c r="A4" s="93" t="s">
        <v>190</v>
      </c>
      <c r="C4" s="94" t="s">
        <v>3</v>
      </c>
      <c r="D4" s="494">
        <v>181910008</v>
      </c>
    </row>
    <row r="5" spans="1:10" s="92" customFormat="1" ht="15" x14ac:dyDescent="0.3">
      <c r="A5" s="91"/>
      <c r="B5" s="91"/>
      <c r="C5" s="91"/>
      <c r="D5" s="91"/>
      <c r="E5" s="91"/>
      <c r="F5" s="91"/>
      <c r="G5" s="91"/>
    </row>
    <row r="6" spans="1:10" ht="21" customHeight="1" x14ac:dyDescent="0.3">
      <c r="A6" s="709" t="s">
        <v>191</v>
      </c>
      <c r="B6" s="710"/>
      <c r="C6" s="710"/>
      <c r="D6" s="710"/>
      <c r="E6" s="711"/>
      <c r="F6" s="95"/>
      <c r="G6" s="95"/>
      <c r="H6" s="95"/>
      <c r="I6" s="95"/>
      <c r="J6" s="95"/>
    </row>
    <row r="7" spans="1:10" ht="50.25" thickBot="1" x14ac:dyDescent="0.35">
      <c r="A7" s="96" t="s">
        <v>192</v>
      </c>
      <c r="B7" s="97" t="s">
        <v>193</v>
      </c>
      <c r="C7" s="712" t="s">
        <v>194</v>
      </c>
      <c r="D7" s="712"/>
      <c r="E7" s="97" t="s">
        <v>195</v>
      </c>
    </row>
    <row r="8" spans="1:10" ht="21" customHeight="1" thickTop="1" x14ac:dyDescent="0.3">
      <c r="A8" s="713">
        <v>43563</v>
      </c>
      <c r="B8" s="716" t="s">
        <v>439</v>
      </c>
      <c r="C8" s="717"/>
      <c r="D8" s="718"/>
      <c r="E8" s="98" t="s">
        <v>196</v>
      </c>
    </row>
    <row r="9" spans="1:10" x14ac:dyDescent="0.3">
      <c r="A9" s="714"/>
      <c r="B9" s="714"/>
      <c r="C9" s="719"/>
      <c r="D9" s="720"/>
      <c r="E9" s="99" t="s">
        <v>1</v>
      </c>
    </row>
    <row r="10" spans="1:10" ht="50.1" customHeight="1" x14ac:dyDescent="0.3">
      <c r="A10" s="714"/>
      <c r="B10" s="714"/>
      <c r="C10" s="719"/>
      <c r="D10" s="720"/>
      <c r="E10" s="100" t="s">
        <v>197</v>
      </c>
    </row>
    <row r="11" spans="1:10" x14ac:dyDescent="0.3">
      <c r="A11" s="714"/>
      <c r="B11" s="714"/>
      <c r="C11" s="719"/>
      <c r="D11" s="720"/>
      <c r="E11" s="101" t="s">
        <v>198</v>
      </c>
    </row>
    <row r="12" spans="1:10" x14ac:dyDescent="0.3">
      <c r="A12" s="714"/>
      <c r="B12" s="714"/>
      <c r="C12" s="719"/>
      <c r="D12" s="720"/>
      <c r="E12" s="99" t="s">
        <v>199</v>
      </c>
    </row>
    <row r="13" spans="1:10" ht="50.1" customHeight="1" x14ac:dyDescent="0.3">
      <c r="A13" s="714"/>
      <c r="B13" s="714"/>
      <c r="C13" s="719"/>
      <c r="D13" s="720"/>
      <c r="E13" s="100" t="s">
        <v>200</v>
      </c>
    </row>
    <row r="14" spans="1:10" x14ac:dyDescent="0.3">
      <c r="A14" s="715"/>
      <c r="B14" s="715"/>
      <c r="C14" s="721"/>
      <c r="D14" s="722"/>
      <c r="E14" s="102"/>
    </row>
    <row r="15" spans="1:10" ht="21" customHeight="1" x14ac:dyDescent="0.3">
      <c r="A15" s="723"/>
      <c r="B15" s="723"/>
      <c r="C15" s="724"/>
      <c r="D15" s="725"/>
      <c r="E15" s="103" t="s">
        <v>196</v>
      </c>
    </row>
    <row r="16" spans="1:10" x14ac:dyDescent="0.3">
      <c r="A16" s="714"/>
      <c r="B16" s="714"/>
      <c r="C16" s="719"/>
      <c r="D16" s="720"/>
      <c r="E16" s="99" t="s">
        <v>1</v>
      </c>
    </row>
    <row r="17" spans="1:5" customFormat="1" ht="50.1" customHeight="1" x14ac:dyDescent="0.3">
      <c r="A17" s="714"/>
      <c r="B17" s="714"/>
      <c r="C17" s="719"/>
      <c r="D17" s="720"/>
      <c r="E17" s="100" t="s">
        <v>197</v>
      </c>
    </row>
    <row r="18" spans="1:5" customFormat="1" x14ac:dyDescent="0.3">
      <c r="A18" s="714"/>
      <c r="B18" s="714"/>
      <c r="C18" s="719"/>
      <c r="D18" s="720"/>
      <c r="E18" s="101" t="s">
        <v>198</v>
      </c>
    </row>
    <row r="19" spans="1:5" customFormat="1" x14ac:dyDescent="0.2">
      <c r="A19" s="714"/>
      <c r="B19" s="714"/>
      <c r="C19" s="719"/>
      <c r="D19" s="720"/>
      <c r="E19" s="99" t="s">
        <v>199</v>
      </c>
    </row>
    <row r="20" spans="1:5" customFormat="1" ht="50.1" customHeight="1" x14ac:dyDescent="0.3">
      <c r="A20" s="714"/>
      <c r="B20" s="714"/>
      <c r="C20" s="719"/>
      <c r="D20" s="720"/>
      <c r="E20" s="100" t="s">
        <v>200</v>
      </c>
    </row>
    <row r="21" spans="1:5" customFormat="1" x14ac:dyDescent="0.3">
      <c r="A21" s="715"/>
      <c r="B21" s="715"/>
      <c r="C21" s="721"/>
      <c r="D21" s="722"/>
      <c r="E21" s="104"/>
    </row>
    <row r="22" spans="1:5" customFormat="1" ht="21" customHeight="1" x14ac:dyDescent="0.3">
      <c r="A22" s="714"/>
      <c r="B22" s="714"/>
      <c r="C22" s="719"/>
      <c r="D22" s="720"/>
      <c r="E22" s="102" t="s">
        <v>196</v>
      </c>
    </row>
    <row r="23" spans="1:5" customFormat="1" x14ac:dyDescent="0.2">
      <c r="A23" s="714"/>
      <c r="B23" s="714"/>
      <c r="C23" s="719"/>
      <c r="D23" s="720"/>
      <c r="E23" s="99" t="s">
        <v>1</v>
      </c>
    </row>
    <row r="24" spans="1:5" customFormat="1" ht="50.1" customHeight="1" x14ac:dyDescent="0.3">
      <c r="A24" s="714"/>
      <c r="B24" s="714"/>
      <c r="C24" s="719"/>
      <c r="D24" s="720"/>
      <c r="E24" s="100" t="s">
        <v>197</v>
      </c>
    </row>
    <row r="25" spans="1:5" customFormat="1" x14ac:dyDescent="0.3">
      <c r="A25" s="714"/>
      <c r="B25" s="714"/>
      <c r="C25" s="719"/>
      <c r="D25" s="720"/>
      <c r="E25" s="101" t="s">
        <v>198</v>
      </c>
    </row>
    <row r="26" spans="1:5" customFormat="1" x14ac:dyDescent="0.2">
      <c r="A26" s="714"/>
      <c r="B26" s="714"/>
      <c r="C26" s="719"/>
      <c r="D26" s="720"/>
      <c r="E26" s="99" t="s">
        <v>199</v>
      </c>
    </row>
    <row r="27" spans="1:5" customFormat="1" ht="50.1" customHeight="1" x14ac:dyDescent="0.3">
      <c r="A27" s="714"/>
      <c r="B27" s="714"/>
      <c r="C27" s="719"/>
      <c r="D27" s="720"/>
      <c r="E27" s="100" t="s">
        <v>200</v>
      </c>
    </row>
    <row r="28" spans="1:5" customFormat="1" x14ac:dyDescent="0.3">
      <c r="A28" s="715"/>
      <c r="B28" s="715"/>
      <c r="C28" s="721"/>
      <c r="D28" s="722"/>
      <c r="E28" s="105"/>
    </row>
  </sheetData>
  <mergeCells count="12">
    <mergeCell ref="A15:A21"/>
    <mergeCell ref="B15:B21"/>
    <mergeCell ref="C15:D21"/>
    <mergeCell ref="A22:A28"/>
    <mergeCell ref="B22:B28"/>
    <mergeCell ref="C22:D28"/>
    <mergeCell ref="A1:E1"/>
    <mergeCell ref="A6:E6"/>
    <mergeCell ref="C7:D7"/>
    <mergeCell ref="A8:A14"/>
    <mergeCell ref="B8:B14"/>
    <mergeCell ref="C8:D14"/>
  </mergeCells>
  <printOptions horizontalCentered="1"/>
  <pageMargins left="0.42" right="0.15748031496062992" top="0.74803149606299213" bottom="0.74803149606299213" header="0.31496062992125984" footer="0.31496062992125984"/>
  <pageSetup paperSize="9" orientation="portrait" horizontalDpi="4294967293"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B050"/>
  </sheetPr>
  <dimension ref="A1:F30"/>
  <sheetViews>
    <sheetView showGridLines="0" workbookViewId="0">
      <selection sqref="A1:F1"/>
    </sheetView>
  </sheetViews>
  <sheetFormatPr defaultRowHeight="16.5" x14ac:dyDescent="0.3"/>
  <cols>
    <col min="1" max="1" width="4.7109375" style="107" customWidth="1"/>
    <col min="2" max="2" width="19.85546875" style="93" customWidth="1"/>
    <col min="3" max="3" width="1.85546875" style="93" customWidth="1"/>
    <col min="4" max="4" width="11.7109375" style="93" customWidth="1"/>
    <col min="5" max="5" width="14.7109375" style="93" customWidth="1"/>
    <col min="6" max="6" width="34.42578125" customWidth="1"/>
  </cols>
  <sheetData>
    <row r="1" spans="1:6" ht="18" x14ac:dyDescent="0.2">
      <c r="A1" s="708" t="s">
        <v>189</v>
      </c>
      <c r="B1" s="708"/>
      <c r="C1" s="708"/>
      <c r="D1" s="708"/>
      <c r="E1" s="708"/>
      <c r="F1" s="708"/>
    </row>
    <row r="2" spans="1:6" s="92" customFormat="1" ht="15" x14ac:dyDescent="0.3">
      <c r="A2" s="106"/>
      <c r="B2" s="91"/>
      <c r="C2" s="91"/>
      <c r="D2" s="91"/>
      <c r="E2" s="91"/>
    </row>
    <row r="3" spans="1:6" x14ac:dyDescent="0.3">
      <c r="A3" s="107" t="s">
        <v>14</v>
      </c>
      <c r="C3" s="94" t="s">
        <v>3</v>
      </c>
      <c r="D3" s="107" t="str">
        <f>RAPORT!E3</f>
        <v xml:space="preserve">ADNES KOMALA DEWI </v>
      </c>
      <c r="E3" s="107"/>
    </row>
    <row r="4" spans="1:6" x14ac:dyDescent="0.3">
      <c r="A4" s="107" t="s">
        <v>190</v>
      </c>
      <c r="C4" s="94" t="s">
        <v>3</v>
      </c>
      <c r="D4" s="181" t="str">
        <f>RAPORT!E4</f>
        <v>181910011</v>
      </c>
      <c r="E4" s="181" t="str">
        <f>RAPORT!H4</f>
        <v>/     -</v>
      </c>
    </row>
    <row r="5" spans="1:6" s="92" customFormat="1" ht="15" x14ac:dyDescent="0.3">
      <c r="A5" s="106"/>
      <c r="B5" s="91"/>
      <c r="C5" s="91"/>
      <c r="D5" s="91"/>
      <c r="E5" s="91"/>
    </row>
    <row r="6" spans="1:6" ht="24.95" customHeight="1" thickBot="1" x14ac:dyDescent="0.25">
      <c r="A6" s="108" t="s">
        <v>188</v>
      </c>
      <c r="B6" s="727" t="s">
        <v>201</v>
      </c>
      <c r="C6" s="727"/>
      <c r="D6" s="727"/>
      <c r="E6" s="727"/>
      <c r="F6" s="727"/>
    </row>
    <row r="7" spans="1:6" ht="24.95" customHeight="1" thickTop="1" x14ac:dyDescent="0.3">
      <c r="A7" s="99">
        <v>1</v>
      </c>
      <c r="B7" s="182" t="s">
        <v>202</v>
      </c>
      <c r="C7" s="94" t="s">
        <v>3</v>
      </c>
      <c r="D7" s="728" t="str">
        <f>IFERROR($D$3,"")</f>
        <v xml:space="preserve">ADNES KOMALA DEWI </v>
      </c>
      <c r="E7" s="718"/>
      <c r="F7" s="102" t="str">
        <f>"Banjaran, " &amp; D11</f>
        <v>Banjaran, -</v>
      </c>
    </row>
    <row r="8" spans="1:6" ht="24.95" customHeight="1" x14ac:dyDescent="0.3">
      <c r="A8" s="99">
        <v>2</v>
      </c>
      <c r="B8" s="183" t="s">
        <v>190</v>
      </c>
      <c r="C8" s="94" t="s">
        <v>3</v>
      </c>
      <c r="D8" s="726" t="str">
        <f>$D$4</f>
        <v>181910011</v>
      </c>
      <c r="E8" s="720"/>
      <c r="F8" s="102" t="s">
        <v>204</v>
      </c>
    </row>
    <row r="9" spans="1:6" ht="24.95" customHeight="1" x14ac:dyDescent="0.3">
      <c r="A9" s="99">
        <v>3</v>
      </c>
      <c r="B9" s="183" t="s">
        <v>183</v>
      </c>
      <c r="C9" s="94" t="s">
        <v>3</v>
      </c>
      <c r="D9" s="726" t="s">
        <v>185</v>
      </c>
      <c r="E9" s="720"/>
      <c r="F9" s="102"/>
    </row>
    <row r="10" spans="1:6" ht="24.95" customHeight="1" x14ac:dyDescent="0.3">
      <c r="A10" s="99">
        <v>4</v>
      </c>
      <c r="B10" s="183" t="s">
        <v>275</v>
      </c>
      <c r="C10" s="94"/>
      <c r="D10" s="726"/>
      <c r="E10" s="720"/>
      <c r="F10" s="102"/>
    </row>
    <row r="11" spans="1:6" ht="24.95" customHeight="1" x14ac:dyDescent="0.3">
      <c r="A11" s="99"/>
      <c r="B11" s="183" t="s">
        <v>205</v>
      </c>
      <c r="C11" s="94" t="s">
        <v>3</v>
      </c>
      <c r="D11" s="726" t="str">
        <f>VLOOKUP($D$4,Biodata!$B$9:$N$48,13,TRUE)</f>
        <v>-</v>
      </c>
      <c r="E11" s="720"/>
      <c r="F11" s="100" t="str">
        <f>RAPORT!H122</f>
        <v>Dra. Hj. Happy Mariana, M.Si</v>
      </c>
    </row>
    <row r="12" spans="1:6" ht="24.95" customHeight="1" x14ac:dyDescent="0.2">
      <c r="A12" s="99"/>
      <c r="B12" s="183" t="s">
        <v>207</v>
      </c>
      <c r="C12" s="94" t="s">
        <v>3</v>
      </c>
      <c r="D12" s="726" t="str">
        <f>VLOOKUP($D$4,Biodata!$B$9:$N$48,12,TRUE)</f>
        <v>-</v>
      </c>
      <c r="E12" s="720"/>
      <c r="F12" s="188" t="str">
        <f>RAPORT!H123</f>
        <v>NIP. --</v>
      </c>
    </row>
    <row r="13" spans="1:6" ht="24.95" customHeight="1" x14ac:dyDescent="0.2">
      <c r="A13" s="109">
        <v>5</v>
      </c>
      <c r="B13" s="184" t="s">
        <v>47</v>
      </c>
      <c r="C13" s="94" t="s">
        <v>3</v>
      </c>
      <c r="D13" s="726" t="s">
        <v>276</v>
      </c>
      <c r="E13" s="720"/>
      <c r="F13" s="110"/>
    </row>
    <row r="14" spans="1:6" ht="24.95" customHeight="1" x14ac:dyDescent="0.3">
      <c r="A14" s="99">
        <v>1</v>
      </c>
      <c r="B14" s="185" t="s">
        <v>202</v>
      </c>
      <c r="C14" s="186" t="s">
        <v>3</v>
      </c>
      <c r="D14" s="729"/>
      <c r="E14" s="725"/>
      <c r="F14" s="102" t="s">
        <v>203</v>
      </c>
    </row>
    <row r="15" spans="1:6" ht="24.95" customHeight="1" x14ac:dyDescent="0.3">
      <c r="A15" s="99">
        <v>2</v>
      </c>
      <c r="B15" s="183" t="s">
        <v>190</v>
      </c>
      <c r="C15" s="94" t="s">
        <v>3</v>
      </c>
      <c r="D15" s="726"/>
      <c r="E15" s="720"/>
      <c r="F15" s="102" t="s">
        <v>204</v>
      </c>
    </row>
    <row r="16" spans="1:6" ht="24.95" customHeight="1" x14ac:dyDescent="0.3">
      <c r="A16" s="99">
        <v>3</v>
      </c>
      <c r="B16" s="183" t="s">
        <v>183</v>
      </c>
      <c r="C16" s="94" t="s">
        <v>3</v>
      </c>
      <c r="D16" s="726"/>
      <c r="E16" s="720"/>
      <c r="F16" s="102"/>
    </row>
    <row r="17" spans="1:6" ht="24.95" customHeight="1" x14ac:dyDescent="0.3">
      <c r="A17" s="99">
        <v>4</v>
      </c>
      <c r="B17" s="183" t="s">
        <v>275</v>
      </c>
      <c r="C17" s="94"/>
      <c r="D17" s="726"/>
      <c r="E17" s="720"/>
      <c r="F17" s="102"/>
    </row>
    <row r="18" spans="1:6" ht="24.95" customHeight="1" x14ac:dyDescent="0.3">
      <c r="A18" s="99"/>
      <c r="B18" s="183" t="s">
        <v>209</v>
      </c>
      <c r="C18" s="94" t="s">
        <v>3</v>
      </c>
      <c r="D18" s="726"/>
      <c r="E18" s="720"/>
      <c r="F18" s="100" t="s">
        <v>206</v>
      </c>
    </row>
    <row r="19" spans="1:6" ht="24.95" customHeight="1" x14ac:dyDescent="0.3">
      <c r="A19" s="99"/>
      <c r="B19" s="183" t="s">
        <v>210</v>
      </c>
      <c r="C19" s="94" t="s">
        <v>3</v>
      </c>
      <c r="D19" s="726"/>
      <c r="E19" s="720"/>
      <c r="F19" s="101" t="s">
        <v>208</v>
      </c>
    </row>
    <row r="20" spans="1:6" ht="24.95" customHeight="1" x14ac:dyDescent="0.2">
      <c r="A20" s="109">
        <v>5</v>
      </c>
      <c r="B20" s="184" t="s">
        <v>47</v>
      </c>
      <c r="C20" s="94" t="s">
        <v>3</v>
      </c>
      <c r="D20" s="726"/>
      <c r="E20" s="720"/>
      <c r="F20" s="110"/>
    </row>
    <row r="21" spans="1:6" ht="24.95" customHeight="1" x14ac:dyDescent="0.3">
      <c r="A21" s="99">
        <v>1</v>
      </c>
      <c r="B21" s="185" t="s">
        <v>202</v>
      </c>
      <c r="C21" s="186" t="s">
        <v>3</v>
      </c>
      <c r="D21" s="729"/>
      <c r="E21" s="725"/>
      <c r="F21" s="102" t="s">
        <v>203</v>
      </c>
    </row>
    <row r="22" spans="1:6" ht="24.95" customHeight="1" x14ac:dyDescent="0.3">
      <c r="A22" s="99">
        <v>2</v>
      </c>
      <c r="B22" s="183" t="s">
        <v>190</v>
      </c>
      <c r="C22" s="94" t="s">
        <v>3</v>
      </c>
      <c r="D22" s="726"/>
      <c r="E22" s="720"/>
      <c r="F22" s="102" t="s">
        <v>204</v>
      </c>
    </row>
    <row r="23" spans="1:6" ht="24.95" customHeight="1" x14ac:dyDescent="0.3">
      <c r="A23" s="99">
        <v>3</v>
      </c>
      <c r="B23" s="183" t="s">
        <v>183</v>
      </c>
      <c r="C23" s="94" t="s">
        <v>3</v>
      </c>
      <c r="D23" s="726"/>
      <c r="E23" s="720"/>
      <c r="F23" s="102"/>
    </row>
    <row r="24" spans="1:6" ht="24.95" customHeight="1" x14ac:dyDescent="0.3">
      <c r="A24" s="99">
        <v>4</v>
      </c>
      <c r="B24" s="183" t="s">
        <v>275</v>
      </c>
      <c r="C24" s="94"/>
      <c r="D24" s="726"/>
      <c r="E24" s="720"/>
      <c r="F24" s="102"/>
    </row>
    <row r="25" spans="1:6" ht="24.95" customHeight="1" x14ac:dyDescent="0.3">
      <c r="A25" s="99"/>
      <c r="B25" s="183" t="s">
        <v>211</v>
      </c>
      <c r="C25" s="94" t="s">
        <v>3</v>
      </c>
      <c r="D25" s="726"/>
      <c r="E25" s="720"/>
      <c r="F25" s="100" t="s">
        <v>206</v>
      </c>
    </row>
    <row r="26" spans="1:6" ht="24.95" customHeight="1" x14ac:dyDescent="0.3">
      <c r="A26" s="99"/>
      <c r="B26" s="183" t="s">
        <v>212</v>
      </c>
      <c r="C26" s="94" t="s">
        <v>3</v>
      </c>
      <c r="D26" s="726"/>
      <c r="E26" s="720"/>
      <c r="F26" s="101" t="s">
        <v>208</v>
      </c>
    </row>
    <row r="27" spans="1:6" ht="24.95" customHeight="1" x14ac:dyDescent="0.2">
      <c r="A27" s="109">
        <v>5</v>
      </c>
      <c r="B27" s="184" t="s">
        <v>47</v>
      </c>
      <c r="C27" s="94" t="s">
        <v>3</v>
      </c>
      <c r="D27" s="726"/>
      <c r="E27" s="720"/>
      <c r="F27" s="110"/>
    </row>
    <row r="28" spans="1:6" x14ac:dyDescent="0.3">
      <c r="A28" s="111"/>
      <c r="C28" s="187"/>
      <c r="D28" s="187"/>
      <c r="E28" s="187"/>
    </row>
    <row r="29" spans="1:6" x14ac:dyDescent="0.3">
      <c r="A29" s="111"/>
    </row>
    <row r="30" spans="1:6" x14ac:dyDescent="0.3">
      <c r="A30" s="111"/>
    </row>
  </sheetData>
  <sheetProtection sheet="1" objects="1" scenarios="1"/>
  <mergeCells count="23">
    <mergeCell ref="D18:E18"/>
    <mergeCell ref="D19:E19"/>
    <mergeCell ref="D20:E20"/>
    <mergeCell ref="D21:E21"/>
    <mergeCell ref="D22:E22"/>
    <mergeCell ref="D13:E13"/>
    <mergeCell ref="D14:E14"/>
    <mergeCell ref="D15:E15"/>
    <mergeCell ref="D16:E16"/>
    <mergeCell ref="D17:E17"/>
    <mergeCell ref="D23:E23"/>
    <mergeCell ref="D24:E24"/>
    <mergeCell ref="D25:E25"/>
    <mergeCell ref="D26:E26"/>
    <mergeCell ref="D27:E27"/>
    <mergeCell ref="D9:E9"/>
    <mergeCell ref="D10:E10"/>
    <mergeCell ref="D11:E11"/>
    <mergeCell ref="D12:E12"/>
    <mergeCell ref="A1:F1"/>
    <mergeCell ref="B6:F6"/>
    <mergeCell ref="D8:E8"/>
    <mergeCell ref="D7:E7"/>
  </mergeCells>
  <printOptions horizontalCentered="1"/>
  <pageMargins left="0.43307086614173229" right="0.15748031496062992" top="0.74803149606299213" bottom="0.74803149606299213" header="0.31496062992125984" footer="0.31496062992125984"/>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A28" workbookViewId="0">
      <selection activeCell="D5" sqref="D5"/>
    </sheetView>
  </sheetViews>
  <sheetFormatPr defaultRowHeight="11.25" x14ac:dyDescent="0.2"/>
  <cols>
    <col min="1" max="1" width="3.7109375" style="422" customWidth="1"/>
    <col min="2" max="2" width="7.140625" style="422" customWidth="1"/>
    <col min="3" max="3" width="21.7109375" style="425" customWidth="1"/>
    <col min="4" max="4" width="11.85546875" style="422" customWidth="1"/>
    <col min="5" max="5" width="8" style="422" customWidth="1"/>
    <col min="6" max="6" width="12" style="422" customWidth="1"/>
    <col min="7" max="7" width="8" style="422" customWidth="1"/>
    <col min="8" max="8" width="5.28515625" style="422" customWidth="1"/>
    <col min="9" max="9" width="20.7109375" style="422" customWidth="1"/>
    <col min="10" max="10" width="6.42578125" style="422" customWidth="1"/>
    <col min="11" max="11" width="20.7109375" style="422" customWidth="1"/>
    <col min="12" max="17" width="9.140625" style="425"/>
    <col min="18" max="18" width="26.140625" style="425" customWidth="1"/>
    <col min="19" max="16384" width="9.140625" style="425"/>
  </cols>
  <sheetData>
    <row r="1" spans="1:19" x14ac:dyDescent="0.2">
      <c r="C1" s="423" t="s">
        <v>322</v>
      </c>
      <c r="D1" s="424" t="str">
        <f>Biodata!C4</f>
        <v xml:space="preserve"> X / IPS_5 </v>
      </c>
    </row>
    <row r="2" spans="1:19" x14ac:dyDescent="0.2">
      <c r="C2" s="423" t="s">
        <v>321</v>
      </c>
      <c r="D2" s="424" t="str">
        <f>Biodata!C5</f>
        <v>2 / Genap</v>
      </c>
    </row>
    <row r="3" spans="1:19" x14ac:dyDescent="0.2">
      <c r="D3" s="424"/>
    </row>
    <row r="4" spans="1:19" x14ac:dyDescent="0.2">
      <c r="C4" s="423" t="s">
        <v>320</v>
      </c>
      <c r="D4" s="424" t="str">
        <f>LEGER!F6</f>
        <v>Pendidikan Agama dan Budi Pekerti</v>
      </c>
    </row>
    <row r="5" spans="1:19" x14ac:dyDescent="0.2">
      <c r="C5" s="423" t="s">
        <v>319</v>
      </c>
      <c r="D5" s="424">
        <f>RAPORT!C82</f>
        <v>70</v>
      </c>
    </row>
    <row r="6" spans="1:19" x14ac:dyDescent="0.2">
      <c r="A6" s="422" t="s">
        <v>323</v>
      </c>
      <c r="B6" s="422" t="s">
        <v>10</v>
      </c>
      <c r="C6" s="425" t="s">
        <v>324</v>
      </c>
      <c r="D6" s="422" t="s">
        <v>74</v>
      </c>
      <c r="E6" s="422" t="s">
        <v>72</v>
      </c>
      <c r="F6" s="422" t="s">
        <v>146</v>
      </c>
      <c r="G6" s="422" t="s">
        <v>72</v>
      </c>
      <c r="H6" s="422" t="s">
        <v>325</v>
      </c>
      <c r="I6" s="422" t="s">
        <v>326</v>
      </c>
      <c r="J6" s="422" t="s">
        <v>303</v>
      </c>
      <c r="K6" s="422" t="s">
        <v>326</v>
      </c>
      <c r="Q6" s="426" t="s">
        <v>72</v>
      </c>
      <c r="R6" s="426" t="s">
        <v>327</v>
      </c>
      <c r="S6" s="426" t="s">
        <v>328</v>
      </c>
    </row>
    <row r="7" spans="1:19" x14ac:dyDescent="0.2">
      <c r="A7" s="422">
        <f>Biodata!A9</f>
        <v>1</v>
      </c>
      <c r="B7" s="427" t="str">
        <f>Biodata!B9</f>
        <v>181910008</v>
      </c>
      <c r="C7" s="428" t="str">
        <f>Biodata!C9</f>
        <v>ADITA TRI KURNIA PUTRI</v>
      </c>
      <c r="D7" s="422">
        <f>IFERROR(VLOOKUP(B7&amp;"A",leggerx1,3,0),"")</f>
        <v>0</v>
      </c>
      <c r="E7" s="422" t="str">
        <f t="shared" ref="E7:E46" si="0">IFERROR(VLOOKUP(B7&amp;"C",leggerx1,3,0),"")</f>
        <v/>
      </c>
      <c r="F7" s="422">
        <f t="shared" ref="F7:F46" si="1">IFERROR(VLOOKUP(B7&amp;"B",leggerx1,3,0),"")</f>
        <v>0</v>
      </c>
      <c r="G7" s="422" t="str">
        <f t="shared" ref="G7:G46" si="2">IFERROR(VLOOKUP(B7&amp;"D",leggerx1,3,0),"")</f>
        <v/>
      </c>
      <c r="H7" s="422">
        <f t="shared" ref="H7:H46" si="3">IFERROR(VLOOKUP(B7&amp;"A",leggerx1,20,0),"")</f>
        <v>0</v>
      </c>
      <c r="I7" s="428" t="str">
        <f>IFERROR(VLOOKUP(H7,$Q$7:$S$10,2,TRUE),"-")</f>
        <v>-</v>
      </c>
      <c r="J7" s="422">
        <f t="shared" ref="J7:J46" si="4">IFERROR(VLOOKUP(B7&amp;"A",leggerx1,21,0),"")</f>
        <v>0</v>
      </c>
      <c r="K7" s="428" t="str">
        <f>IFERROR(VLOOKUP(J7,$Q$7:$S$10,3,TRUE),"-")</f>
        <v>-</v>
      </c>
      <c r="Q7" s="426" t="s">
        <v>285</v>
      </c>
      <c r="R7" s="429" t="s">
        <v>166</v>
      </c>
      <c r="S7" s="430" t="s">
        <v>169</v>
      </c>
    </row>
    <row r="8" spans="1:19" x14ac:dyDescent="0.2">
      <c r="A8" s="422">
        <f>Biodata!A10</f>
        <v>2</v>
      </c>
      <c r="B8" s="427" t="str">
        <f>Biodata!B10</f>
        <v>181910011</v>
      </c>
      <c r="C8" s="428" t="str">
        <f>Biodata!C10</f>
        <v xml:space="preserve">ADNES KOMALA DEWI </v>
      </c>
      <c r="D8" s="422">
        <f t="shared" ref="D8:D46" si="5">IFERROR(VLOOKUP(B8&amp;"A",leggerx1,3,0),"")</f>
        <v>50</v>
      </c>
      <c r="E8" s="422" t="str">
        <f t="shared" si="0"/>
        <v>D</v>
      </c>
      <c r="F8" s="422">
        <f t="shared" si="1"/>
        <v>50</v>
      </c>
      <c r="G8" s="422" t="str">
        <f t="shared" si="2"/>
        <v>D</v>
      </c>
      <c r="H8" s="422" t="str">
        <f t="shared" si="3"/>
        <v>B</v>
      </c>
      <c r="I8" s="431" t="str">
        <f t="shared" ref="I8:I46" si="6">IFERROR(VLOOKUP(H8,$Q$7:$S$10,2,TRUE),"-")</f>
        <v>Selalu bersyukur dan selalu berdoa sebelum melakukan kegiatan, memiliki toleran pada agama yang berbeda, ketaatan beribadah mulai berkembang.</v>
      </c>
      <c r="J8" s="422" t="str">
        <f t="shared" si="4"/>
        <v>B</v>
      </c>
      <c r="K8" s="431" t="str">
        <f t="shared" ref="K8:K46" si="7">IFERROR(VLOOKUP(J8,$Q$7:$S$10,3,TRUE),"-")</f>
        <v>Memiliki sikap santun, disiplin, tanggung jawab yang baik, sikap kepedulian mulai meningkat.</v>
      </c>
      <c r="Q8" s="426" t="s">
        <v>6</v>
      </c>
      <c r="R8" s="429" t="s">
        <v>167</v>
      </c>
      <c r="S8" s="430" t="s">
        <v>170</v>
      </c>
    </row>
    <row r="9" spans="1:19" x14ac:dyDescent="0.2">
      <c r="A9" s="422">
        <f>Biodata!A11</f>
        <v>3</v>
      </c>
      <c r="B9" s="427" t="str">
        <f>Biodata!B11</f>
        <v>181910014</v>
      </c>
      <c r="C9" s="428" t="str">
        <f>Biodata!C11</f>
        <v>AGUNG BUDI PRASTAWA</v>
      </c>
      <c r="D9" s="422">
        <f t="shared" si="5"/>
        <v>60</v>
      </c>
      <c r="E9" s="422" t="str">
        <f t="shared" si="0"/>
        <v>D</v>
      </c>
      <c r="F9" s="422">
        <f t="shared" si="1"/>
        <v>60</v>
      </c>
      <c r="G9" s="422" t="str">
        <f t="shared" si="2"/>
        <v>D</v>
      </c>
      <c r="H9" s="422" t="str">
        <f t="shared" si="3"/>
        <v>B</v>
      </c>
      <c r="I9" s="431" t="str">
        <f t="shared" si="6"/>
        <v>Selalu bersyukur dan selalu berdoa sebelum melakukan kegiatan, memiliki toleran pada agama yang berbeda, ketaatan beribadah mulai berkembang.</v>
      </c>
      <c r="J9" s="422" t="str">
        <f t="shared" si="4"/>
        <v>B</v>
      </c>
      <c r="K9" s="431" t="str">
        <f t="shared" si="7"/>
        <v>Memiliki sikap santun, disiplin, tanggung jawab yang baik, sikap kepedulian mulai meningkat.</v>
      </c>
      <c r="Q9" s="426" t="s">
        <v>18</v>
      </c>
      <c r="R9" s="429" t="s">
        <v>168</v>
      </c>
      <c r="S9" s="430" t="s">
        <v>171</v>
      </c>
    </row>
    <row r="10" spans="1:19" x14ac:dyDescent="0.2">
      <c r="A10" s="422">
        <f>Biodata!A12</f>
        <v>4</v>
      </c>
      <c r="B10" s="427" t="str">
        <f>Biodata!B12</f>
        <v>181910045</v>
      </c>
      <c r="C10" s="428" t="str">
        <f>Biodata!C12</f>
        <v>ARYA DYTA WIGUNA</v>
      </c>
      <c r="D10" s="422">
        <f t="shared" si="5"/>
        <v>80</v>
      </c>
      <c r="E10" s="422" t="str">
        <f t="shared" si="0"/>
        <v>B</v>
      </c>
      <c r="F10" s="422">
        <f t="shared" si="1"/>
        <v>80</v>
      </c>
      <c r="G10" s="422" t="str">
        <f t="shared" si="2"/>
        <v>B</v>
      </c>
      <c r="H10" s="422" t="str">
        <f t="shared" si="3"/>
        <v>B</v>
      </c>
      <c r="I10" s="431" t="str">
        <f t="shared" si="6"/>
        <v>Selalu bersyukur dan selalu berdoa sebelum melakukan kegiatan, memiliki toleran pada agama yang berbeda, ketaatan beribadah mulai berkembang.</v>
      </c>
      <c r="J10" s="422" t="str">
        <f t="shared" si="4"/>
        <v>SB</v>
      </c>
      <c r="K10" s="431" t="str">
        <f t="shared" si="7"/>
        <v>Memiliki sikap santun, disiplin, dan tanggung jawab cukup baik, namun sikap kepedulian perlu ditingkatkan.</v>
      </c>
      <c r="Q10" s="426" t="s">
        <v>294</v>
      </c>
      <c r="R10" s="429" t="s">
        <v>178</v>
      </c>
      <c r="S10" s="430" t="s">
        <v>179</v>
      </c>
    </row>
    <row r="11" spans="1:19" x14ac:dyDescent="0.2">
      <c r="A11" s="422">
        <f>Biodata!A13</f>
        <v>5</v>
      </c>
      <c r="B11" s="427" t="str">
        <f>Biodata!B13</f>
        <v>181910054</v>
      </c>
      <c r="C11" s="428" t="str">
        <f>Biodata!C13</f>
        <v>AZRIEL TAMA SANTIAJI</v>
      </c>
      <c r="D11" s="422">
        <f t="shared" si="5"/>
        <v>50</v>
      </c>
      <c r="E11" s="422" t="str">
        <f t="shared" si="0"/>
        <v>D</v>
      </c>
      <c r="F11" s="422">
        <f t="shared" si="1"/>
        <v>50</v>
      </c>
      <c r="G11" s="422" t="str">
        <f t="shared" si="2"/>
        <v>D</v>
      </c>
      <c r="H11" s="422" t="str">
        <f t="shared" si="3"/>
        <v>B</v>
      </c>
      <c r="I11" s="431" t="str">
        <f t="shared" si="6"/>
        <v>Selalu bersyukur dan selalu berdoa sebelum melakukan kegiatan, memiliki toleran pada agama yang berbeda, ketaatan beribadah mulai berkembang.</v>
      </c>
      <c r="J11" s="422" t="str">
        <f t="shared" si="4"/>
        <v>B</v>
      </c>
      <c r="K11" s="431" t="str">
        <f t="shared" si="7"/>
        <v>Memiliki sikap santun, disiplin, tanggung jawab yang baik, sikap kepedulian mulai meningkat.</v>
      </c>
    </row>
    <row r="12" spans="1:19" x14ac:dyDescent="0.2">
      <c r="A12" s="422">
        <f>Biodata!A14</f>
        <v>6</v>
      </c>
      <c r="B12" s="427" t="str">
        <f>Biodata!B14</f>
        <v>181910055</v>
      </c>
      <c r="C12" s="428" t="str">
        <f>Biodata!C14</f>
        <v>AZZUHRI HAUDI</v>
      </c>
      <c r="D12" s="422">
        <f t="shared" si="5"/>
        <v>60</v>
      </c>
      <c r="E12" s="422" t="str">
        <f t="shared" si="0"/>
        <v>D</v>
      </c>
      <c r="F12" s="422">
        <f t="shared" si="1"/>
        <v>60</v>
      </c>
      <c r="G12" s="422" t="str">
        <f t="shared" si="2"/>
        <v>D</v>
      </c>
      <c r="H12" s="422" t="str">
        <f t="shared" si="3"/>
        <v>B</v>
      </c>
      <c r="I12" s="431" t="str">
        <f t="shared" si="6"/>
        <v>Selalu bersyukur dan selalu berdoa sebelum melakukan kegiatan, memiliki toleran pada agama yang berbeda, ketaatan beribadah mulai berkembang.</v>
      </c>
      <c r="J12" s="422" t="str">
        <f t="shared" si="4"/>
        <v>B</v>
      </c>
      <c r="K12" s="431" t="str">
        <f t="shared" si="7"/>
        <v>Memiliki sikap santun, disiplin, tanggung jawab yang baik, sikap kepedulian mulai meningkat.</v>
      </c>
    </row>
    <row r="13" spans="1:19" x14ac:dyDescent="0.2">
      <c r="A13" s="422">
        <f>Biodata!A15</f>
        <v>7</v>
      </c>
      <c r="B13" s="427" t="str">
        <f>Biodata!B15</f>
        <v>181910056</v>
      </c>
      <c r="C13" s="428" t="str">
        <f>Biodata!C15</f>
        <v>BAYU BATARA SURYA PUTRA</v>
      </c>
      <c r="D13" s="422">
        <f t="shared" si="5"/>
        <v>60</v>
      </c>
      <c r="E13" s="422" t="str">
        <f t="shared" si="0"/>
        <v>D</v>
      </c>
      <c r="F13" s="422">
        <f t="shared" si="1"/>
        <v>60</v>
      </c>
      <c r="G13" s="422" t="str">
        <f t="shared" si="2"/>
        <v>D</v>
      </c>
      <c r="H13" s="422" t="str">
        <f t="shared" si="3"/>
        <v>B</v>
      </c>
      <c r="I13" s="431" t="str">
        <f t="shared" si="6"/>
        <v>Selalu bersyukur dan selalu berdoa sebelum melakukan kegiatan, memiliki toleran pada agama yang berbeda, ketaatan beribadah mulai berkembang.</v>
      </c>
      <c r="J13" s="422" t="str">
        <f t="shared" si="4"/>
        <v>B</v>
      </c>
      <c r="K13" s="431" t="str">
        <f t="shared" si="7"/>
        <v>Memiliki sikap santun, disiplin, tanggung jawab yang baik, sikap kepedulian mulai meningkat.</v>
      </c>
    </row>
    <row r="14" spans="1:19" x14ac:dyDescent="0.2">
      <c r="A14" s="422">
        <f>Biodata!A16</f>
        <v>8</v>
      </c>
      <c r="B14" s="427" t="str">
        <f>Biodata!B16</f>
        <v>181910069</v>
      </c>
      <c r="C14" s="428" t="str">
        <f>Biodata!C16</f>
        <v>DANDY ERVAN PRATAMA</v>
      </c>
      <c r="D14" s="422">
        <f t="shared" si="5"/>
        <v>55</v>
      </c>
      <c r="E14" s="422" t="str">
        <f t="shared" si="0"/>
        <v>D</v>
      </c>
      <c r="F14" s="422">
        <f t="shared" si="1"/>
        <v>55</v>
      </c>
      <c r="G14" s="422" t="str">
        <f t="shared" si="2"/>
        <v>D</v>
      </c>
      <c r="H14" s="422" t="str">
        <f t="shared" si="3"/>
        <v>B</v>
      </c>
      <c r="I14" s="431" t="str">
        <f t="shared" si="6"/>
        <v>Selalu bersyukur dan selalu berdoa sebelum melakukan kegiatan, memiliki toleran pada agama yang berbeda, ketaatan beribadah mulai berkembang.</v>
      </c>
      <c r="J14" s="422" t="str">
        <f t="shared" si="4"/>
        <v>B</v>
      </c>
      <c r="K14" s="431" t="str">
        <f t="shared" si="7"/>
        <v>Memiliki sikap santun, disiplin, tanggung jawab yang baik, sikap kepedulian mulai meningkat.</v>
      </c>
    </row>
    <row r="15" spans="1:19" x14ac:dyDescent="0.2">
      <c r="A15" s="422">
        <f>Biodata!A17</f>
        <v>9</v>
      </c>
      <c r="B15" s="427" t="str">
        <f>Biodata!B17</f>
        <v>181910085</v>
      </c>
      <c r="C15" s="428" t="str">
        <f>Biodata!C17</f>
        <v>DENISA ASTI RAHMAWATI</v>
      </c>
      <c r="D15" s="422">
        <f t="shared" si="5"/>
        <v>70</v>
      </c>
      <c r="E15" s="422" t="str">
        <f t="shared" si="0"/>
        <v>C</v>
      </c>
      <c r="F15" s="422">
        <f t="shared" si="1"/>
        <v>70</v>
      </c>
      <c r="G15" s="422" t="str">
        <f t="shared" si="2"/>
        <v>C</v>
      </c>
      <c r="H15" s="422" t="str">
        <f t="shared" si="3"/>
        <v>B</v>
      </c>
      <c r="I15" s="431" t="str">
        <f t="shared" si="6"/>
        <v>Selalu bersyukur dan selalu berdoa sebelum melakukan kegiatan, memiliki toleran pada agama yang berbeda, ketaatan beribadah mulai berkembang.</v>
      </c>
      <c r="J15" s="422" t="str">
        <f t="shared" si="4"/>
        <v>B</v>
      </c>
      <c r="K15" s="431" t="str">
        <f t="shared" si="7"/>
        <v>Memiliki sikap santun, disiplin, tanggung jawab yang baik, sikap kepedulian mulai meningkat.</v>
      </c>
    </row>
    <row r="16" spans="1:19" x14ac:dyDescent="0.2">
      <c r="A16" s="422">
        <f>Biodata!A18</f>
        <v>10</v>
      </c>
      <c r="B16" s="427" t="str">
        <f>Biodata!B18</f>
        <v>181910093</v>
      </c>
      <c r="C16" s="428" t="str">
        <f>Biodata!C18</f>
        <v>DIAN RAMDHAN SAPTIAN</v>
      </c>
      <c r="D16" s="422">
        <f t="shared" si="5"/>
        <v>55</v>
      </c>
      <c r="E16" s="422" t="str">
        <f t="shared" si="0"/>
        <v>D</v>
      </c>
      <c r="F16" s="422">
        <f t="shared" si="1"/>
        <v>55</v>
      </c>
      <c r="G16" s="422" t="str">
        <f t="shared" si="2"/>
        <v>D</v>
      </c>
      <c r="H16" s="422" t="str">
        <f t="shared" si="3"/>
        <v>B</v>
      </c>
      <c r="I16" s="431" t="str">
        <f t="shared" si="6"/>
        <v>Selalu bersyukur dan selalu berdoa sebelum melakukan kegiatan, memiliki toleran pada agama yang berbeda, ketaatan beribadah mulai berkembang.</v>
      </c>
      <c r="J16" s="422" t="str">
        <f t="shared" si="4"/>
        <v>B</v>
      </c>
      <c r="K16" s="431" t="str">
        <f t="shared" si="7"/>
        <v>Memiliki sikap santun, disiplin, tanggung jawab yang baik, sikap kepedulian mulai meningkat.</v>
      </c>
    </row>
    <row r="17" spans="1:11" x14ac:dyDescent="0.2">
      <c r="A17" s="422">
        <f>Biodata!A19</f>
        <v>11</v>
      </c>
      <c r="B17" s="427" t="str">
        <f>Biodata!B19</f>
        <v>181910103</v>
      </c>
      <c r="C17" s="428" t="str">
        <f>Biodata!C19</f>
        <v>DIVYA ADHIANI NURDIN</v>
      </c>
      <c r="D17" s="422">
        <f t="shared" si="5"/>
        <v>70</v>
      </c>
      <c r="E17" s="422" t="str">
        <f t="shared" si="0"/>
        <v>C</v>
      </c>
      <c r="F17" s="422">
        <f t="shared" si="1"/>
        <v>70</v>
      </c>
      <c r="G17" s="422" t="str">
        <f t="shared" si="2"/>
        <v>C</v>
      </c>
      <c r="H17" s="422" t="str">
        <f t="shared" si="3"/>
        <v>B</v>
      </c>
      <c r="I17" s="431" t="str">
        <f t="shared" si="6"/>
        <v>Selalu bersyukur dan selalu berdoa sebelum melakukan kegiatan, memiliki toleran pada agama yang berbeda, ketaatan beribadah mulai berkembang.</v>
      </c>
      <c r="J17" s="422" t="str">
        <f t="shared" si="4"/>
        <v>B</v>
      </c>
      <c r="K17" s="431" t="str">
        <f t="shared" si="7"/>
        <v>Memiliki sikap santun, disiplin, tanggung jawab yang baik, sikap kepedulian mulai meningkat.</v>
      </c>
    </row>
    <row r="18" spans="1:11" x14ac:dyDescent="0.2">
      <c r="A18" s="422">
        <f>Biodata!A20</f>
        <v>12</v>
      </c>
      <c r="B18" s="427" t="str">
        <f>Biodata!B20</f>
        <v>181910104</v>
      </c>
      <c r="C18" s="428" t="str">
        <f>Biodata!C20</f>
        <v>DWIKI DERMAWAN</v>
      </c>
      <c r="D18" s="422">
        <f t="shared" si="5"/>
        <v>55</v>
      </c>
      <c r="E18" s="422" t="str">
        <f t="shared" si="0"/>
        <v>D</v>
      </c>
      <c r="F18" s="422">
        <f t="shared" si="1"/>
        <v>55</v>
      </c>
      <c r="G18" s="422" t="str">
        <f t="shared" si="2"/>
        <v>D</v>
      </c>
      <c r="H18" s="422" t="str">
        <f t="shared" si="3"/>
        <v>B</v>
      </c>
      <c r="I18" s="431" t="str">
        <f t="shared" si="6"/>
        <v>Selalu bersyukur dan selalu berdoa sebelum melakukan kegiatan, memiliki toleran pada agama yang berbeda, ketaatan beribadah mulai berkembang.</v>
      </c>
      <c r="J18" s="422" t="str">
        <f t="shared" si="4"/>
        <v>B</v>
      </c>
      <c r="K18" s="431" t="str">
        <f t="shared" si="7"/>
        <v>Memiliki sikap santun, disiplin, tanggung jawab yang baik, sikap kepedulian mulai meningkat.</v>
      </c>
    </row>
    <row r="19" spans="1:11" x14ac:dyDescent="0.2">
      <c r="A19" s="422">
        <f>Biodata!A21</f>
        <v>13</v>
      </c>
      <c r="B19" s="427" t="str">
        <f>Biodata!B21</f>
        <v>181910118</v>
      </c>
      <c r="C19" s="428" t="str">
        <f>Biodata!C21</f>
        <v>ENCEP CANDRA</v>
      </c>
      <c r="D19" s="422">
        <f t="shared" si="5"/>
        <v>55</v>
      </c>
      <c r="E19" s="422" t="str">
        <f t="shared" si="0"/>
        <v>D</v>
      </c>
      <c r="F19" s="422">
        <f t="shared" si="1"/>
        <v>55</v>
      </c>
      <c r="G19" s="422" t="str">
        <f t="shared" si="2"/>
        <v>D</v>
      </c>
      <c r="H19" s="422" t="str">
        <f t="shared" si="3"/>
        <v>B</v>
      </c>
      <c r="I19" s="431" t="str">
        <f t="shared" si="6"/>
        <v>Selalu bersyukur dan selalu berdoa sebelum melakukan kegiatan, memiliki toleran pada agama yang berbeda, ketaatan beribadah mulai berkembang.</v>
      </c>
      <c r="J19" s="422" t="str">
        <f t="shared" si="4"/>
        <v>B</v>
      </c>
      <c r="K19" s="431" t="str">
        <f t="shared" si="7"/>
        <v>Memiliki sikap santun, disiplin, tanggung jawab yang baik, sikap kepedulian mulai meningkat.</v>
      </c>
    </row>
    <row r="20" spans="1:11" x14ac:dyDescent="0.2">
      <c r="A20" s="422">
        <f>Biodata!A22</f>
        <v>14</v>
      </c>
      <c r="B20" s="427" t="str">
        <f>Biodata!B22</f>
        <v>181910128</v>
      </c>
      <c r="C20" s="428" t="str">
        <f>Biodata!C22</f>
        <v>FAIZAL EGI</v>
      </c>
      <c r="D20" s="422">
        <f t="shared" si="5"/>
        <v>55</v>
      </c>
      <c r="E20" s="422" t="str">
        <f t="shared" si="0"/>
        <v>D</v>
      </c>
      <c r="F20" s="422">
        <f t="shared" si="1"/>
        <v>55</v>
      </c>
      <c r="G20" s="422" t="str">
        <f t="shared" si="2"/>
        <v>D</v>
      </c>
      <c r="H20" s="422" t="str">
        <f t="shared" si="3"/>
        <v>B</v>
      </c>
      <c r="I20" s="431" t="str">
        <f t="shared" si="6"/>
        <v>Selalu bersyukur dan selalu berdoa sebelum melakukan kegiatan, memiliki toleran pada agama yang berbeda, ketaatan beribadah mulai berkembang.</v>
      </c>
      <c r="J20" s="422" t="str">
        <f t="shared" si="4"/>
        <v>B</v>
      </c>
      <c r="K20" s="431" t="str">
        <f t="shared" si="7"/>
        <v>Memiliki sikap santun, disiplin, tanggung jawab yang baik, sikap kepedulian mulai meningkat.</v>
      </c>
    </row>
    <row r="21" spans="1:11" x14ac:dyDescent="0.2">
      <c r="A21" s="422">
        <f>Biodata!A23</f>
        <v>15</v>
      </c>
      <c r="B21" s="427" t="str">
        <f>Biodata!B23</f>
        <v>181910133</v>
      </c>
      <c r="C21" s="428" t="str">
        <f>Biodata!C23</f>
        <v>FAUZI DHALFADLIL AZHANI</v>
      </c>
      <c r="D21" s="422">
        <f t="shared" si="5"/>
        <v>70</v>
      </c>
      <c r="E21" s="422" t="str">
        <f t="shared" si="0"/>
        <v>C</v>
      </c>
      <c r="F21" s="422">
        <f t="shared" si="1"/>
        <v>70</v>
      </c>
      <c r="G21" s="422" t="str">
        <f t="shared" si="2"/>
        <v>C</v>
      </c>
      <c r="H21" s="422" t="str">
        <f t="shared" si="3"/>
        <v>B</v>
      </c>
      <c r="I21" s="431" t="str">
        <f t="shared" si="6"/>
        <v>Selalu bersyukur dan selalu berdoa sebelum melakukan kegiatan, memiliki toleran pada agama yang berbeda, ketaatan beribadah mulai berkembang.</v>
      </c>
      <c r="J21" s="422" t="str">
        <f t="shared" si="4"/>
        <v>B</v>
      </c>
      <c r="K21" s="431" t="str">
        <f t="shared" si="7"/>
        <v>Memiliki sikap santun, disiplin, tanggung jawab yang baik, sikap kepedulian mulai meningkat.</v>
      </c>
    </row>
    <row r="22" spans="1:11" x14ac:dyDescent="0.2">
      <c r="A22" s="422">
        <f>Biodata!A24</f>
        <v>16</v>
      </c>
      <c r="B22" s="427" t="str">
        <f>Biodata!B24</f>
        <v>181910161</v>
      </c>
      <c r="C22" s="428" t="str">
        <f>Biodata!C24</f>
        <v>HILMAN PUTRA PAMUNGKAS</v>
      </c>
      <c r="D22" s="422">
        <f t="shared" si="5"/>
        <v>70</v>
      </c>
      <c r="E22" s="422" t="str">
        <f t="shared" si="0"/>
        <v>C</v>
      </c>
      <c r="F22" s="422">
        <f t="shared" si="1"/>
        <v>70</v>
      </c>
      <c r="G22" s="422" t="str">
        <f t="shared" si="2"/>
        <v>C</v>
      </c>
      <c r="H22" s="422" t="str">
        <f t="shared" si="3"/>
        <v>B</v>
      </c>
      <c r="I22" s="431" t="str">
        <f t="shared" si="6"/>
        <v>Selalu bersyukur dan selalu berdoa sebelum melakukan kegiatan, memiliki toleran pada agama yang berbeda, ketaatan beribadah mulai berkembang.</v>
      </c>
      <c r="J22" s="422" t="str">
        <f t="shared" si="4"/>
        <v>B</v>
      </c>
      <c r="K22" s="431" t="str">
        <f t="shared" si="7"/>
        <v>Memiliki sikap santun, disiplin, tanggung jawab yang baik, sikap kepedulian mulai meningkat.</v>
      </c>
    </row>
    <row r="23" spans="1:11" x14ac:dyDescent="0.2">
      <c r="A23" s="422">
        <f>Biodata!A25</f>
        <v>17</v>
      </c>
      <c r="B23" s="427" t="str">
        <f>Biodata!B25</f>
        <v>181910165</v>
      </c>
      <c r="C23" s="428" t="str">
        <f>Biodata!C25</f>
        <v>IHSYA FADILLAH MUSLIM</v>
      </c>
      <c r="D23" s="422">
        <f t="shared" si="5"/>
        <v>70</v>
      </c>
      <c r="E23" s="422" t="str">
        <f t="shared" si="0"/>
        <v>C</v>
      </c>
      <c r="F23" s="422">
        <f t="shared" si="1"/>
        <v>70</v>
      </c>
      <c r="G23" s="422" t="str">
        <f t="shared" si="2"/>
        <v>C</v>
      </c>
      <c r="H23" s="422" t="str">
        <f t="shared" si="3"/>
        <v>B</v>
      </c>
      <c r="I23" s="431" t="str">
        <f t="shared" si="6"/>
        <v>Selalu bersyukur dan selalu berdoa sebelum melakukan kegiatan, memiliki toleran pada agama yang berbeda, ketaatan beribadah mulai berkembang.</v>
      </c>
      <c r="J23" s="422" t="str">
        <f t="shared" si="4"/>
        <v>B</v>
      </c>
      <c r="K23" s="431" t="str">
        <f t="shared" si="7"/>
        <v>Memiliki sikap santun, disiplin, tanggung jawab yang baik, sikap kepedulian mulai meningkat.</v>
      </c>
    </row>
    <row r="24" spans="1:11" x14ac:dyDescent="0.2">
      <c r="A24" s="422">
        <f>Biodata!A26</f>
        <v>18</v>
      </c>
      <c r="B24" s="427" t="str">
        <f>Biodata!B26</f>
        <v>181910185</v>
      </c>
      <c r="C24" s="428" t="str">
        <f>Biodata!C26</f>
        <v>JIHAD AKBAR</v>
      </c>
      <c r="D24" s="422">
        <f t="shared" si="5"/>
        <v>67</v>
      </c>
      <c r="E24" s="422" t="str">
        <f t="shared" si="0"/>
        <v>D</v>
      </c>
      <c r="F24" s="422">
        <f t="shared" si="1"/>
        <v>67</v>
      </c>
      <c r="G24" s="422" t="str">
        <f t="shared" si="2"/>
        <v>D</v>
      </c>
      <c r="H24" s="422" t="str">
        <f t="shared" si="3"/>
        <v>B</v>
      </c>
      <c r="I24" s="431" t="str">
        <f t="shared" si="6"/>
        <v>Selalu bersyukur dan selalu berdoa sebelum melakukan kegiatan, memiliki toleran pada agama yang berbeda, ketaatan beribadah mulai berkembang.</v>
      </c>
      <c r="J24" s="422" t="str">
        <f t="shared" si="4"/>
        <v>B</v>
      </c>
      <c r="K24" s="431" t="str">
        <f t="shared" si="7"/>
        <v>Memiliki sikap santun, disiplin, tanggung jawab yang baik, sikap kepedulian mulai meningkat.</v>
      </c>
    </row>
    <row r="25" spans="1:11" x14ac:dyDescent="0.2">
      <c r="A25" s="422">
        <f>Biodata!A27</f>
        <v>19</v>
      </c>
      <c r="B25" s="427" t="str">
        <f>Biodata!B27</f>
        <v>181910226</v>
      </c>
      <c r="C25" s="428" t="str">
        <f>Biodata!C27</f>
        <v>MUHAMAD IZZAZUL FIKRIAN</v>
      </c>
      <c r="D25" s="422">
        <f t="shared" si="5"/>
        <v>0</v>
      </c>
      <c r="E25" s="422" t="str">
        <f t="shared" si="0"/>
        <v/>
      </c>
      <c r="F25" s="422">
        <f t="shared" si="1"/>
        <v>0</v>
      </c>
      <c r="G25" s="422" t="str">
        <f t="shared" si="2"/>
        <v/>
      </c>
      <c r="H25" s="422" t="str">
        <f t="shared" si="3"/>
        <v>-</v>
      </c>
      <c r="I25" s="431" t="str">
        <f t="shared" si="6"/>
        <v>-</v>
      </c>
      <c r="J25" s="422" t="str">
        <f t="shared" si="4"/>
        <v>-</v>
      </c>
      <c r="K25" s="431" t="str">
        <f t="shared" si="7"/>
        <v>-</v>
      </c>
    </row>
    <row r="26" spans="1:11" x14ac:dyDescent="0.2">
      <c r="A26" s="422">
        <f>Biodata!A28</f>
        <v>20</v>
      </c>
      <c r="B26" s="427" t="str">
        <f>Biodata!B28</f>
        <v>181910433</v>
      </c>
      <c r="C26" s="428" t="str">
        <f>Biodata!C28</f>
        <v>MUHAMAD RIZAL</v>
      </c>
      <c r="D26" s="422">
        <f t="shared" si="5"/>
        <v>50</v>
      </c>
      <c r="E26" s="422" t="str">
        <f t="shared" si="0"/>
        <v>D</v>
      </c>
      <c r="F26" s="422">
        <f t="shared" si="1"/>
        <v>50</v>
      </c>
      <c r="G26" s="422" t="str">
        <f t="shared" si="2"/>
        <v>D</v>
      </c>
      <c r="H26" s="422" t="str">
        <f t="shared" si="3"/>
        <v>B</v>
      </c>
      <c r="I26" s="431" t="str">
        <f t="shared" si="6"/>
        <v>Selalu bersyukur dan selalu berdoa sebelum melakukan kegiatan, memiliki toleran pada agama yang berbeda, ketaatan beribadah mulai berkembang.</v>
      </c>
      <c r="J26" s="422" t="str">
        <f t="shared" si="4"/>
        <v>B</v>
      </c>
      <c r="K26" s="431" t="str">
        <f t="shared" si="7"/>
        <v>Memiliki sikap santun, disiplin, tanggung jawab yang baik, sikap kepedulian mulai meningkat.</v>
      </c>
    </row>
    <row r="27" spans="1:11" x14ac:dyDescent="0.2">
      <c r="A27" s="422">
        <f>Biodata!A29</f>
        <v>21</v>
      </c>
      <c r="B27" s="427" t="str">
        <f>Biodata!B29</f>
        <v>181910240</v>
      </c>
      <c r="C27" s="428" t="str">
        <f>Biodata!C29</f>
        <v>NESHA RAUDHATUL ZANNAH</v>
      </c>
      <c r="D27" s="422">
        <f t="shared" si="5"/>
        <v>70</v>
      </c>
      <c r="E27" s="422" t="str">
        <f t="shared" si="0"/>
        <v>C</v>
      </c>
      <c r="F27" s="422">
        <f t="shared" si="1"/>
        <v>70</v>
      </c>
      <c r="G27" s="422" t="str">
        <f t="shared" si="2"/>
        <v>C</v>
      </c>
      <c r="H27" s="422" t="str">
        <f t="shared" si="3"/>
        <v>B</v>
      </c>
      <c r="I27" s="431" t="str">
        <f t="shared" si="6"/>
        <v>Selalu bersyukur dan selalu berdoa sebelum melakukan kegiatan, memiliki toleran pada agama yang berbeda, ketaatan beribadah mulai berkembang.</v>
      </c>
      <c r="J27" s="422" t="str">
        <f t="shared" si="4"/>
        <v>B</v>
      </c>
      <c r="K27" s="431" t="str">
        <f t="shared" si="7"/>
        <v>Memiliki sikap santun, disiplin, tanggung jawab yang baik, sikap kepedulian mulai meningkat.</v>
      </c>
    </row>
    <row r="28" spans="1:11" x14ac:dyDescent="0.2">
      <c r="A28" s="422">
        <f>Biodata!A30</f>
        <v>22</v>
      </c>
      <c r="B28" s="427" t="str">
        <f>Biodata!B30</f>
        <v>181910262</v>
      </c>
      <c r="C28" s="428" t="str">
        <f>Biodata!C30</f>
        <v>PUTRI ANGGRAENI</v>
      </c>
      <c r="D28" s="422">
        <f t="shared" si="5"/>
        <v>70</v>
      </c>
      <c r="E28" s="422" t="str">
        <f t="shared" si="0"/>
        <v>C</v>
      </c>
      <c r="F28" s="422">
        <f t="shared" si="1"/>
        <v>70</v>
      </c>
      <c r="G28" s="422" t="str">
        <f t="shared" si="2"/>
        <v>C</v>
      </c>
      <c r="H28" s="422" t="str">
        <f t="shared" si="3"/>
        <v>B</v>
      </c>
      <c r="I28" s="431" t="str">
        <f t="shared" si="6"/>
        <v>Selalu bersyukur dan selalu berdoa sebelum melakukan kegiatan, memiliki toleran pada agama yang berbeda, ketaatan beribadah mulai berkembang.</v>
      </c>
      <c r="J28" s="422" t="str">
        <f t="shared" si="4"/>
        <v>B</v>
      </c>
      <c r="K28" s="431" t="str">
        <f t="shared" si="7"/>
        <v>Memiliki sikap santun, disiplin, tanggung jawab yang baik, sikap kepedulian mulai meningkat.</v>
      </c>
    </row>
    <row r="29" spans="1:11" x14ac:dyDescent="0.2">
      <c r="A29" s="422">
        <f>Biodata!A31</f>
        <v>23</v>
      </c>
      <c r="B29" s="427" t="str">
        <f>Biodata!B31</f>
        <v>181910266</v>
      </c>
      <c r="C29" s="428" t="str">
        <f>Biodata!C31</f>
        <v>PUTRI WULANDARI</v>
      </c>
      <c r="D29" s="422">
        <f t="shared" si="5"/>
        <v>70</v>
      </c>
      <c r="E29" s="422" t="str">
        <f t="shared" si="0"/>
        <v>C</v>
      </c>
      <c r="F29" s="422">
        <f t="shared" si="1"/>
        <v>70</v>
      </c>
      <c r="G29" s="422" t="str">
        <f t="shared" si="2"/>
        <v>C</v>
      </c>
      <c r="H29" s="422" t="str">
        <f t="shared" si="3"/>
        <v>B</v>
      </c>
      <c r="I29" s="431" t="str">
        <f t="shared" si="6"/>
        <v>Selalu bersyukur dan selalu berdoa sebelum melakukan kegiatan, memiliki toleran pada agama yang berbeda, ketaatan beribadah mulai berkembang.</v>
      </c>
      <c r="J29" s="422" t="str">
        <f t="shared" si="4"/>
        <v>B</v>
      </c>
      <c r="K29" s="431" t="str">
        <f t="shared" si="7"/>
        <v>Memiliki sikap santun, disiplin, tanggung jawab yang baik, sikap kepedulian mulai meningkat.</v>
      </c>
    </row>
    <row r="30" spans="1:11" x14ac:dyDescent="0.2">
      <c r="A30" s="422">
        <f>Biodata!A32</f>
        <v>24</v>
      </c>
      <c r="B30" s="427" t="str">
        <f>Biodata!B32</f>
        <v>181910272</v>
      </c>
      <c r="C30" s="428" t="str">
        <f>Biodata!C32</f>
        <v>RAFLY GYMNASTIAR</v>
      </c>
      <c r="D30" s="422">
        <f t="shared" si="5"/>
        <v>60</v>
      </c>
      <c r="E30" s="422" t="str">
        <f t="shared" si="0"/>
        <v>D</v>
      </c>
      <c r="F30" s="422">
        <f t="shared" si="1"/>
        <v>60</v>
      </c>
      <c r="G30" s="422" t="str">
        <f t="shared" si="2"/>
        <v>D</v>
      </c>
      <c r="H30" s="422" t="str">
        <f t="shared" si="3"/>
        <v>B</v>
      </c>
      <c r="I30" s="431" t="str">
        <f t="shared" si="6"/>
        <v>Selalu bersyukur dan selalu berdoa sebelum melakukan kegiatan, memiliki toleran pada agama yang berbeda, ketaatan beribadah mulai berkembang.</v>
      </c>
      <c r="J30" s="422" t="str">
        <f t="shared" si="4"/>
        <v>B</v>
      </c>
      <c r="K30" s="431" t="str">
        <f t="shared" si="7"/>
        <v>Memiliki sikap santun, disiplin, tanggung jawab yang baik, sikap kepedulian mulai meningkat.</v>
      </c>
    </row>
    <row r="31" spans="1:11" x14ac:dyDescent="0.2">
      <c r="A31" s="422">
        <f>Biodata!A33</f>
        <v>25</v>
      </c>
      <c r="B31" s="427" t="str">
        <f>Biodata!B33</f>
        <v>181910280</v>
      </c>
      <c r="C31" s="428" t="str">
        <f>Biodata!C33</f>
        <v>REFIANA</v>
      </c>
      <c r="D31" s="422">
        <f t="shared" si="5"/>
        <v>70</v>
      </c>
      <c r="E31" s="422" t="str">
        <f t="shared" si="0"/>
        <v>C</v>
      </c>
      <c r="F31" s="422">
        <f t="shared" si="1"/>
        <v>70</v>
      </c>
      <c r="G31" s="422" t="str">
        <f t="shared" si="2"/>
        <v>C</v>
      </c>
      <c r="H31" s="422" t="str">
        <f t="shared" si="3"/>
        <v>B</v>
      </c>
      <c r="I31" s="431" t="str">
        <f t="shared" si="6"/>
        <v>Selalu bersyukur dan selalu berdoa sebelum melakukan kegiatan, memiliki toleran pada agama yang berbeda, ketaatan beribadah mulai berkembang.</v>
      </c>
      <c r="J31" s="422" t="str">
        <f t="shared" si="4"/>
        <v>B</v>
      </c>
      <c r="K31" s="431" t="str">
        <f t="shared" si="7"/>
        <v>Memiliki sikap santun, disiplin, tanggung jawab yang baik, sikap kepedulian mulai meningkat.</v>
      </c>
    </row>
    <row r="32" spans="1:11" x14ac:dyDescent="0.2">
      <c r="A32" s="422">
        <f>Biodata!A34</f>
        <v>26</v>
      </c>
      <c r="B32" s="427" t="str">
        <f>Biodata!B34</f>
        <v>181910285</v>
      </c>
      <c r="C32" s="428" t="str">
        <f>Biodata!C34</f>
        <v>RENALDI PRIYATAMA</v>
      </c>
      <c r="D32" s="422">
        <f t="shared" si="5"/>
        <v>50</v>
      </c>
      <c r="E32" s="422" t="str">
        <f t="shared" si="0"/>
        <v>D</v>
      </c>
      <c r="F32" s="422">
        <f t="shared" si="1"/>
        <v>50</v>
      </c>
      <c r="G32" s="422" t="str">
        <f t="shared" si="2"/>
        <v>D</v>
      </c>
      <c r="H32" s="422" t="str">
        <f t="shared" si="3"/>
        <v>B</v>
      </c>
      <c r="I32" s="431" t="str">
        <f t="shared" si="6"/>
        <v>Selalu bersyukur dan selalu berdoa sebelum melakukan kegiatan, memiliki toleran pada agama yang berbeda, ketaatan beribadah mulai berkembang.</v>
      </c>
      <c r="J32" s="422" t="str">
        <f t="shared" si="4"/>
        <v>B</v>
      </c>
      <c r="K32" s="431" t="str">
        <f t="shared" si="7"/>
        <v>Memiliki sikap santun, disiplin, tanggung jawab yang baik, sikap kepedulian mulai meningkat.</v>
      </c>
    </row>
    <row r="33" spans="1:11" x14ac:dyDescent="0.2">
      <c r="A33" s="422">
        <f>Biodata!A35</f>
        <v>27</v>
      </c>
      <c r="B33" s="427" t="str">
        <f>Biodata!B35</f>
        <v>181910286</v>
      </c>
      <c r="C33" s="428" t="str">
        <f>Biodata!C35</f>
        <v>RENATA</v>
      </c>
      <c r="D33" s="422">
        <f t="shared" si="5"/>
        <v>70</v>
      </c>
      <c r="E33" s="422" t="str">
        <f t="shared" si="0"/>
        <v>C</v>
      </c>
      <c r="F33" s="422">
        <f t="shared" si="1"/>
        <v>70</v>
      </c>
      <c r="G33" s="422" t="str">
        <f t="shared" si="2"/>
        <v>C</v>
      </c>
      <c r="H33" s="422" t="str">
        <f t="shared" si="3"/>
        <v>B</v>
      </c>
      <c r="I33" s="431" t="str">
        <f t="shared" si="6"/>
        <v>Selalu bersyukur dan selalu berdoa sebelum melakukan kegiatan, memiliki toleran pada agama yang berbeda, ketaatan beribadah mulai berkembang.</v>
      </c>
      <c r="J33" s="422" t="str">
        <f t="shared" si="4"/>
        <v>B</v>
      </c>
      <c r="K33" s="431" t="str">
        <f t="shared" si="7"/>
        <v>Memiliki sikap santun, disiplin, tanggung jawab yang baik, sikap kepedulian mulai meningkat.</v>
      </c>
    </row>
    <row r="34" spans="1:11" x14ac:dyDescent="0.2">
      <c r="A34" s="422">
        <f>Biodata!A36</f>
        <v>28</v>
      </c>
      <c r="B34" s="427" t="str">
        <f>Biodata!B36</f>
        <v>181910293</v>
      </c>
      <c r="C34" s="428" t="str">
        <f>Biodata!C36</f>
        <v xml:space="preserve">REZA ERNANDA </v>
      </c>
      <c r="D34" s="422">
        <f t="shared" si="5"/>
        <v>70</v>
      </c>
      <c r="E34" s="422" t="str">
        <f t="shared" si="0"/>
        <v>C</v>
      </c>
      <c r="F34" s="422">
        <f t="shared" si="1"/>
        <v>70</v>
      </c>
      <c r="G34" s="422" t="str">
        <f t="shared" si="2"/>
        <v>C</v>
      </c>
      <c r="H34" s="422" t="str">
        <f t="shared" si="3"/>
        <v>B</v>
      </c>
      <c r="I34" s="431" t="str">
        <f t="shared" si="6"/>
        <v>Selalu bersyukur dan selalu berdoa sebelum melakukan kegiatan, memiliki toleran pada agama yang berbeda, ketaatan beribadah mulai berkembang.</v>
      </c>
      <c r="J34" s="422" t="str">
        <f t="shared" si="4"/>
        <v>B</v>
      </c>
      <c r="K34" s="431" t="str">
        <f t="shared" si="7"/>
        <v>Memiliki sikap santun, disiplin, tanggung jawab yang baik, sikap kepedulian mulai meningkat.</v>
      </c>
    </row>
    <row r="35" spans="1:11" x14ac:dyDescent="0.2">
      <c r="A35" s="422">
        <f>Biodata!A37</f>
        <v>29</v>
      </c>
      <c r="B35" s="427" t="str">
        <f>Biodata!B37</f>
        <v>181910300</v>
      </c>
      <c r="C35" s="428" t="str">
        <f>Biodata!C37</f>
        <v>RIFAN MUHAMAD RIZKI</v>
      </c>
      <c r="D35" s="422">
        <f t="shared" si="5"/>
        <v>0</v>
      </c>
      <c r="E35" s="422" t="str">
        <f t="shared" si="0"/>
        <v/>
      </c>
      <c r="F35" s="422">
        <f t="shared" si="1"/>
        <v>0</v>
      </c>
      <c r="G35" s="422" t="str">
        <f t="shared" si="2"/>
        <v/>
      </c>
      <c r="H35" s="422" t="str">
        <f t="shared" si="3"/>
        <v>-</v>
      </c>
      <c r="I35" s="431" t="str">
        <f t="shared" si="6"/>
        <v>-</v>
      </c>
      <c r="J35" s="422" t="str">
        <f t="shared" si="4"/>
        <v>-</v>
      </c>
      <c r="K35" s="431" t="str">
        <f t="shared" si="7"/>
        <v>-</v>
      </c>
    </row>
    <row r="36" spans="1:11" x14ac:dyDescent="0.2">
      <c r="A36" s="422">
        <f>Biodata!A38</f>
        <v>30</v>
      </c>
      <c r="B36" s="427" t="str">
        <f>Biodata!B38</f>
        <v>181910318</v>
      </c>
      <c r="C36" s="428" t="str">
        <f>Biodata!C38</f>
        <v>RISMA SURYANI</v>
      </c>
      <c r="D36" s="422">
        <f t="shared" si="5"/>
        <v>70</v>
      </c>
      <c r="E36" s="422" t="str">
        <f t="shared" si="0"/>
        <v>C</v>
      </c>
      <c r="F36" s="422">
        <f t="shared" si="1"/>
        <v>70</v>
      </c>
      <c r="G36" s="422" t="str">
        <f t="shared" si="2"/>
        <v>C</v>
      </c>
      <c r="H36" s="422" t="str">
        <f t="shared" si="3"/>
        <v>B</v>
      </c>
      <c r="I36" s="431" t="str">
        <f t="shared" si="6"/>
        <v>Selalu bersyukur dan selalu berdoa sebelum melakukan kegiatan, memiliki toleran pada agama yang berbeda, ketaatan beribadah mulai berkembang.</v>
      </c>
      <c r="J36" s="422" t="str">
        <f t="shared" si="4"/>
        <v>B</v>
      </c>
      <c r="K36" s="431" t="str">
        <f t="shared" si="7"/>
        <v>Memiliki sikap santun, disiplin, tanggung jawab yang baik, sikap kepedulian mulai meningkat.</v>
      </c>
    </row>
    <row r="37" spans="1:11" x14ac:dyDescent="0.2">
      <c r="A37" s="422">
        <f>Biodata!A39</f>
        <v>31</v>
      </c>
      <c r="B37" s="427" t="str">
        <f>Biodata!B39</f>
        <v>181910320</v>
      </c>
      <c r="C37" s="428" t="str">
        <f>Biodata!C39</f>
        <v>RISNA TIRANI</v>
      </c>
      <c r="D37" s="422">
        <f t="shared" si="5"/>
        <v>80</v>
      </c>
      <c r="E37" s="422" t="str">
        <f t="shared" si="0"/>
        <v>B</v>
      </c>
      <c r="F37" s="422">
        <f t="shared" si="1"/>
        <v>80</v>
      </c>
      <c r="G37" s="422" t="str">
        <f t="shared" si="2"/>
        <v>B</v>
      </c>
      <c r="H37" s="422" t="str">
        <f t="shared" si="3"/>
        <v>SB</v>
      </c>
      <c r="I37" s="431" t="str">
        <f t="shared" si="6"/>
        <v>Selalu bersyukur dan selalu berdoa sebelum melakukan kegiatan, memiliki toleran pada agama yang berbeda, namun ketaatan beribadah perlu ditingkatkan lagi.</v>
      </c>
      <c r="J37" s="422" t="str">
        <f t="shared" si="4"/>
        <v>SB</v>
      </c>
      <c r="K37" s="431" t="str">
        <f t="shared" si="7"/>
        <v>Memiliki sikap santun, disiplin, dan tanggung jawab cukup baik, namun sikap kepedulian perlu ditingkatkan.</v>
      </c>
    </row>
    <row r="38" spans="1:11" x14ac:dyDescent="0.2">
      <c r="A38" s="422">
        <f>Biodata!A40</f>
        <v>32</v>
      </c>
      <c r="B38" s="427" t="str">
        <f>Biodata!B40</f>
        <v>181910331</v>
      </c>
      <c r="C38" s="428" t="str">
        <f>Biodata!C40</f>
        <v>RULLY PRATAMA S.</v>
      </c>
      <c r="D38" s="422">
        <f t="shared" si="5"/>
        <v>50</v>
      </c>
      <c r="E38" s="422" t="str">
        <f t="shared" si="0"/>
        <v>D</v>
      </c>
      <c r="F38" s="422">
        <f t="shared" si="1"/>
        <v>50</v>
      </c>
      <c r="G38" s="422" t="str">
        <f t="shared" si="2"/>
        <v>D</v>
      </c>
      <c r="H38" s="422" t="str">
        <f t="shared" si="3"/>
        <v>B</v>
      </c>
      <c r="I38" s="431" t="str">
        <f t="shared" si="6"/>
        <v>Selalu bersyukur dan selalu berdoa sebelum melakukan kegiatan, memiliki toleran pada agama yang berbeda, ketaatan beribadah mulai berkembang.</v>
      </c>
      <c r="J38" s="422" t="str">
        <f t="shared" si="4"/>
        <v>B</v>
      </c>
      <c r="K38" s="431" t="str">
        <f t="shared" si="7"/>
        <v>Memiliki sikap santun, disiplin, tanggung jawab yang baik, sikap kepedulian mulai meningkat.</v>
      </c>
    </row>
    <row r="39" spans="1:11" x14ac:dyDescent="0.2">
      <c r="A39" s="422">
        <f>Biodata!A41</f>
        <v>33</v>
      </c>
      <c r="B39" s="427" t="str">
        <f>Biodata!B41</f>
        <v>181910335</v>
      </c>
      <c r="C39" s="428" t="str">
        <f>Biodata!C41</f>
        <v>SALSA ASYKIYA</v>
      </c>
      <c r="D39" s="422">
        <f t="shared" si="5"/>
        <v>80</v>
      </c>
      <c r="E39" s="422" t="str">
        <f t="shared" si="0"/>
        <v>B</v>
      </c>
      <c r="F39" s="422">
        <f t="shared" si="1"/>
        <v>80</v>
      </c>
      <c r="G39" s="422" t="str">
        <f t="shared" si="2"/>
        <v>B</v>
      </c>
      <c r="H39" s="422" t="str">
        <f t="shared" si="3"/>
        <v>SB</v>
      </c>
      <c r="I39" s="431" t="str">
        <f t="shared" si="6"/>
        <v>Selalu bersyukur dan selalu berdoa sebelum melakukan kegiatan, memiliki toleran pada agama yang berbeda, namun ketaatan beribadah perlu ditingkatkan lagi.</v>
      </c>
      <c r="J39" s="422" t="str">
        <f t="shared" si="4"/>
        <v>B</v>
      </c>
      <c r="K39" s="431" t="str">
        <f t="shared" si="7"/>
        <v>Memiliki sikap santun, disiplin, tanggung jawab yang baik, sikap kepedulian mulai meningkat.</v>
      </c>
    </row>
    <row r="40" spans="1:11" x14ac:dyDescent="0.2">
      <c r="A40" s="422">
        <f>Biodata!A42</f>
        <v>34</v>
      </c>
      <c r="B40" s="427" t="str">
        <f>Biodata!B42</f>
        <v>181910353</v>
      </c>
      <c r="C40" s="428" t="str">
        <f>Biodata!C42</f>
        <v>SILFI HAMIDAH</v>
      </c>
      <c r="D40" s="422">
        <f t="shared" si="5"/>
        <v>75</v>
      </c>
      <c r="E40" s="422" t="str">
        <f t="shared" si="0"/>
        <v>C</v>
      </c>
      <c r="F40" s="422">
        <f t="shared" si="1"/>
        <v>75</v>
      </c>
      <c r="G40" s="422" t="str">
        <f t="shared" si="2"/>
        <v>C</v>
      </c>
      <c r="H40" s="422" t="str">
        <f t="shared" si="3"/>
        <v>SB</v>
      </c>
      <c r="I40" s="431" t="str">
        <f t="shared" si="6"/>
        <v>Selalu bersyukur dan selalu berdoa sebelum melakukan kegiatan, memiliki toleran pada agama yang berbeda, namun ketaatan beribadah perlu ditingkatkan lagi.</v>
      </c>
      <c r="J40" s="422" t="str">
        <f t="shared" si="4"/>
        <v>SB</v>
      </c>
      <c r="K40" s="431" t="str">
        <f t="shared" si="7"/>
        <v>Memiliki sikap santun, disiplin, dan tanggung jawab cukup baik, namun sikap kepedulian perlu ditingkatkan.</v>
      </c>
    </row>
    <row r="41" spans="1:11" x14ac:dyDescent="0.2">
      <c r="A41" s="422">
        <f>Biodata!A43</f>
        <v>35</v>
      </c>
      <c r="B41" s="427" t="str">
        <f>Biodata!B43</f>
        <v>181910408</v>
      </c>
      <c r="C41" s="428" t="str">
        <f>Biodata!C43</f>
        <v>YESHA RAHAYU</v>
      </c>
      <c r="D41" s="422">
        <f t="shared" si="5"/>
        <v>0</v>
      </c>
      <c r="E41" s="422" t="str">
        <f t="shared" si="0"/>
        <v/>
      </c>
      <c r="F41" s="422">
        <f t="shared" si="1"/>
        <v>0</v>
      </c>
      <c r="G41" s="422" t="str">
        <f t="shared" si="2"/>
        <v/>
      </c>
      <c r="H41" s="422" t="str">
        <f t="shared" si="3"/>
        <v>-</v>
      </c>
      <c r="I41" s="431" t="str">
        <f t="shared" si="6"/>
        <v>-</v>
      </c>
      <c r="J41" s="422" t="str">
        <f t="shared" si="4"/>
        <v>-</v>
      </c>
      <c r="K41" s="431" t="str">
        <f t="shared" si="7"/>
        <v>-</v>
      </c>
    </row>
    <row r="42" spans="1:11" x14ac:dyDescent="0.2">
      <c r="A42" s="422">
        <f>Biodata!A44</f>
        <v>36</v>
      </c>
      <c r="B42" s="427" t="str">
        <f>Biodata!B44</f>
        <v>036</v>
      </c>
      <c r="C42" s="428" t="str">
        <f>Biodata!C44</f>
        <v>A36</v>
      </c>
      <c r="D42" s="422">
        <f t="shared" si="5"/>
        <v>0</v>
      </c>
      <c r="E42" s="422" t="str">
        <f t="shared" si="0"/>
        <v/>
      </c>
      <c r="F42" s="422">
        <f t="shared" si="1"/>
        <v>0</v>
      </c>
      <c r="G42" s="422" t="str">
        <f t="shared" si="2"/>
        <v/>
      </c>
      <c r="H42" s="422" t="str">
        <f t="shared" si="3"/>
        <v>-</v>
      </c>
      <c r="I42" s="431" t="str">
        <f t="shared" si="6"/>
        <v>-</v>
      </c>
      <c r="J42" s="422" t="str">
        <f t="shared" si="4"/>
        <v>-</v>
      </c>
      <c r="K42" s="431" t="str">
        <f t="shared" si="7"/>
        <v>-</v>
      </c>
    </row>
    <row r="43" spans="1:11" x14ac:dyDescent="0.2">
      <c r="A43" s="422">
        <f>Biodata!A45</f>
        <v>37</v>
      </c>
      <c r="B43" s="427" t="str">
        <f>Biodata!B45</f>
        <v>037</v>
      </c>
      <c r="C43" s="428" t="str">
        <f>Biodata!C45</f>
        <v>A37</v>
      </c>
      <c r="D43" s="422">
        <f t="shared" si="5"/>
        <v>0</v>
      </c>
      <c r="E43" s="422" t="str">
        <f t="shared" si="0"/>
        <v/>
      </c>
      <c r="F43" s="422">
        <f t="shared" si="1"/>
        <v>0</v>
      </c>
      <c r="G43" s="422" t="str">
        <f t="shared" si="2"/>
        <v/>
      </c>
      <c r="H43" s="422" t="str">
        <f t="shared" si="3"/>
        <v>-</v>
      </c>
      <c r="I43" s="431" t="str">
        <f t="shared" si="6"/>
        <v>-</v>
      </c>
      <c r="J43" s="422" t="str">
        <f t="shared" si="4"/>
        <v>-</v>
      </c>
      <c r="K43" s="431" t="str">
        <f t="shared" si="7"/>
        <v>-</v>
      </c>
    </row>
    <row r="44" spans="1:11" x14ac:dyDescent="0.2">
      <c r="A44" s="422">
        <f>Biodata!A46</f>
        <v>38</v>
      </c>
      <c r="B44" s="427" t="str">
        <f>Biodata!B46</f>
        <v>038</v>
      </c>
      <c r="C44" s="428" t="str">
        <f>Biodata!C46</f>
        <v>A38</v>
      </c>
      <c r="D44" s="422">
        <f t="shared" si="5"/>
        <v>0</v>
      </c>
      <c r="E44" s="422" t="str">
        <f t="shared" si="0"/>
        <v/>
      </c>
      <c r="F44" s="422">
        <f t="shared" si="1"/>
        <v>0</v>
      </c>
      <c r="G44" s="422" t="str">
        <f t="shared" si="2"/>
        <v/>
      </c>
      <c r="H44" s="422" t="str">
        <f t="shared" si="3"/>
        <v>-</v>
      </c>
      <c r="I44" s="431" t="str">
        <f t="shared" si="6"/>
        <v>-</v>
      </c>
      <c r="J44" s="422" t="str">
        <f t="shared" si="4"/>
        <v>-</v>
      </c>
      <c r="K44" s="431" t="str">
        <f t="shared" si="7"/>
        <v>-</v>
      </c>
    </row>
    <row r="45" spans="1:11" x14ac:dyDescent="0.2">
      <c r="A45" s="422">
        <f>Biodata!A47</f>
        <v>39</v>
      </c>
      <c r="B45" s="427" t="str">
        <f>Biodata!B47</f>
        <v>039</v>
      </c>
      <c r="C45" s="428" t="str">
        <f>Biodata!C47</f>
        <v>A39</v>
      </c>
      <c r="D45" s="422">
        <f t="shared" si="5"/>
        <v>0</v>
      </c>
      <c r="E45" s="422" t="str">
        <f t="shared" si="0"/>
        <v/>
      </c>
      <c r="F45" s="422">
        <f t="shared" si="1"/>
        <v>0</v>
      </c>
      <c r="G45" s="422" t="str">
        <f t="shared" si="2"/>
        <v/>
      </c>
      <c r="H45" s="422" t="str">
        <f t="shared" si="3"/>
        <v>-</v>
      </c>
      <c r="I45" s="431" t="str">
        <f t="shared" si="6"/>
        <v>-</v>
      </c>
      <c r="J45" s="422" t="str">
        <f t="shared" si="4"/>
        <v>-</v>
      </c>
      <c r="K45" s="431" t="str">
        <f t="shared" si="7"/>
        <v>-</v>
      </c>
    </row>
    <row r="46" spans="1:11" x14ac:dyDescent="0.2">
      <c r="A46" s="422">
        <f>Biodata!A48</f>
        <v>40</v>
      </c>
      <c r="B46" s="427" t="str">
        <f>Biodata!B48</f>
        <v>040</v>
      </c>
      <c r="C46" s="428" t="str">
        <f>Biodata!C48</f>
        <v>A40</v>
      </c>
      <c r="D46" s="422">
        <f t="shared" si="5"/>
        <v>0</v>
      </c>
      <c r="E46" s="422" t="str">
        <f t="shared" si="0"/>
        <v/>
      </c>
      <c r="F46" s="422">
        <f t="shared" si="1"/>
        <v>0</v>
      </c>
      <c r="G46" s="422" t="str">
        <f t="shared" si="2"/>
        <v/>
      </c>
      <c r="H46" s="422" t="str">
        <f t="shared" si="3"/>
        <v>-</v>
      </c>
      <c r="I46" s="431" t="str">
        <f t="shared" si="6"/>
        <v>-</v>
      </c>
      <c r="J46" s="422" t="str">
        <f t="shared" si="4"/>
        <v>-</v>
      </c>
      <c r="K46" s="431" t="str">
        <f t="shared" si="7"/>
        <v>-</v>
      </c>
    </row>
    <row r="47" spans="1:11" x14ac:dyDescent="0.2">
      <c r="C47" s="432"/>
    </row>
    <row r="48" spans="1:11" x14ac:dyDescent="0.2">
      <c r="C48" s="432"/>
    </row>
    <row r="49" spans="3:3" s="425" customFormat="1" x14ac:dyDescent="0.2">
      <c r="C49" s="432"/>
    </row>
    <row r="50" spans="3:3" s="425" customFormat="1" x14ac:dyDescent="0.2">
      <c r="C50" s="432"/>
    </row>
  </sheetData>
  <sheetProtection sheet="1" objects="1" scenarios="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D5" sqref="D5"/>
    </sheetView>
  </sheetViews>
  <sheetFormatPr defaultRowHeight="11.25" x14ac:dyDescent="0.2"/>
  <cols>
    <col min="1" max="1" width="3.7109375" style="422" customWidth="1"/>
    <col min="2" max="2" width="7.140625" style="422" customWidth="1"/>
    <col min="3" max="3" width="21.7109375" style="425" customWidth="1"/>
    <col min="4" max="4" width="11.85546875" style="422" customWidth="1"/>
    <col min="5" max="5" width="8" style="422" customWidth="1"/>
    <col min="6" max="6" width="12" style="422" customWidth="1"/>
    <col min="7" max="7" width="8" style="422" customWidth="1"/>
    <col min="8" max="8" width="5.28515625" style="422" customWidth="1"/>
    <col min="9" max="9" width="20.7109375" style="422" customWidth="1"/>
    <col min="10" max="10" width="6.42578125" style="422" customWidth="1"/>
    <col min="11" max="11" width="20.7109375" style="422" customWidth="1"/>
    <col min="12" max="17" width="9.140625" style="425"/>
    <col min="18" max="18" width="26.140625" style="425" customWidth="1"/>
    <col min="19" max="16384" width="9.140625" style="425"/>
  </cols>
  <sheetData>
    <row r="1" spans="1:19" x14ac:dyDescent="0.2">
      <c r="C1" s="423" t="s">
        <v>322</v>
      </c>
      <c r="D1" s="424" t="str">
        <f>Biodata!C4</f>
        <v xml:space="preserve"> X / IPS_5 </v>
      </c>
    </row>
    <row r="2" spans="1:19" x14ac:dyDescent="0.2">
      <c r="C2" s="423" t="s">
        <v>321</v>
      </c>
      <c r="D2" s="424" t="str">
        <f>Biodata!C5</f>
        <v>2 / Genap</v>
      </c>
    </row>
    <row r="3" spans="1:19" x14ac:dyDescent="0.2">
      <c r="D3" s="424"/>
    </row>
    <row r="4" spans="1:19" x14ac:dyDescent="0.2">
      <c r="C4" s="423" t="s">
        <v>320</v>
      </c>
      <c r="D4" s="424" t="str">
        <f>LEGER!G6</f>
        <v>Pendidikan Pancasila dan Kewarganegaraan</v>
      </c>
    </row>
    <row r="5" spans="1:19" x14ac:dyDescent="0.2">
      <c r="C5" s="423" t="s">
        <v>319</v>
      </c>
      <c r="D5" s="424">
        <f>RAPORT!C82</f>
        <v>70</v>
      </c>
    </row>
    <row r="6" spans="1:19" x14ac:dyDescent="0.2">
      <c r="A6" s="422" t="s">
        <v>323</v>
      </c>
      <c r="B6" s="422" t="s">
        <v>10</v>
      </c>
      <c r="C6" s="425" t="s">
        <v>324</v>
      </c>
      <c r="D6" s="422" t="s">
        <v>74</v>
      </c>
      <c r="E6" s="422" t="s">
        <v>72</v>
      </c>
      <c r="F6" s="422" t="s">
        <v>146</v>
      </c>
      <c r="G6" s="422" t="s">
        <v>72</v>
      </c>
      <c r="H6" s="422" t="s">
        <v>325</v>
      </c>
      <c r="I6" s="422" t="s">
        <v>326</v>
      </c>
      <c r="J6" s="422" t="s">
        <v>303</v>
      </c>
      <c r="K6" s="422" t="s">
        <v>326</v>
      </c>
      <c r="Q6" s="426" t="s">
        <v>72</v>
      </c>
      <c r="R6" s="426" t="s">
        <v>327</v>
      </c>
      <c r="S6" s="426" t="s">
        <v>328</v>
      </c>
    </row>
    <row r="7" spans="1:19" x14ac:dyDescent="0.2">
      <c r="A7" s="422">
        <f>Biodata!A9</f>
        <v>1</v>
      </c>
      <c r="B7" s="427" t="str">
        <f>Biodata!B9</f>
        <v>181910008</v>
      </c>
      <c r="C7" s="428" t="str">
        <f>Biodata!C9</f>
        <v>ADITA TRI KURNIA PUTRI</v>
      </c>
      <c r="D7" s="422">
        <f t="shared" ref="D7:D46" si="0">IFERROR(VLOOKUP(B7&amp;"A",leggerx1,4,0),"")</f>
        <v>0</v>
      </c>
      <c r="E7" s="422" t="str">
        <f t="shared" ref="E7:E46" si="1">IFERROR(VLOOKUP(B7&amp;"C",leggerx1,4,0),"")</f>
        <v/>
      </c>
      <c r="F7" s="422">
        <f t="shared" ref="F7:F46" si="2">IFERROR(VLOOKUP(B7&amp;"B",leggerx1,4,0),"")</f>
        <v>0</v>
      </c>
      <c r="G7" s="422" t="str">
        <f t="shared" ref="G7:G46" si="3">IFERROR(VLOOKUP(B7&amp;"D",leggerx1,4,0),"")</f>
        <v/>
      </c>
      <c r="H7" s="422">
        <f t="shared" ref="H7:H46" si="4">IFERROR(VLOOKUP(B7&amp;"A",leggerx1,20,0),"")</f>
        <v>0</v>
      </c>
      <c r="I7" s="428" t="str">
        <f>IFERROR(VLOOKUP(H7,$Q$7:$S$10,2,TRUE),"-")</f>
        <v>-</v>
      </c>
      <c r="J7" s="422">
        <f t="shared" ref="J7:J46" si="5">IFERROR(VLOOKUP(B7&amp;"A",leggerx1,21,0),"")</f>
        <v>0</v>
      </c>
      <c r="K7" s="428" t="str">
        <f>IFERROR(VLOOKUP(J7,$Q$7:$S$10,3,TRUE),"-")</f>
        <v>-</v>
      </c>
      <c r="Q7" s="426" t="s">
        <v>285</v>
      </c>
      <c r="R7" s="429" t="s">
        <v>166</v>
      </c>
      <c r="S7" s="430" t="s">
        <v>169</v>
      </c>
    </row>
    <row r="8" spans="1:19" x14ac:dyDescent="0.2">
      <c r="A8" s="422">
        <f>Biodata!A10</f>
        <v>2</v>
      </c>
      <c r="B8" s="427" t="str">
        <f>Biodata!B10</f>
        <v>181910011</v>
      </c>
      <c r="C8" s="428" t="str">
        <f>Biodata!C10</f>
        <v xml:space="preserve">ADNES KOMALA DEWI </v>
      </c>
      <c r="D8" s="422">
        <f t="shared" si="0"/>
        <v>72</v>
      </c>
      <c r="E8" s="422" t="str">
        <f t="shared" si="1"/>
        <v>C</v>
      </c>
      <c r="F8" s="422">
        <f t="shared" si="2"/>
        <v>70</v>
      </c>
      <c r="G8" s="422" t="str">
        <f t="shared" si="3"/>
        <v>C</v>
      </c>
      <c r="H8" s="422" t="str">
        <f t="shared" si="4"/>
        <v>B</v>
      </c>
      <c r="I8" s="431" t="str">
        <f t="shared" ref="I8:I46" si="6">IFERROR(VLOOKUP(H8,$Q$7:$S$10,2,TRUE),"-")</f>
        <v>Selalu bersyukur dan selalu berdoa sebelum melakukan kegiatan, memiliki toleran pada agama yang berbeda, ketaatan beribadah mulai berkembang.</v>
      </c>
      <c r="J8" s="422" t="str">
        <f t="shared" si="5"/>
        <v>B</v>
      </c>
      <c r="K8" s="431" t="str">
        <f t="shared" ref="K8:K46" si="7">IFERROR(VLOOKUP(J8,$Q$7:$S$10,3,TRUE),"-")</f>
        <v>Memiliki sikap santun, disiplin, tanggung jawab yang baik, sikap kepedulian mulai meningkat.</v>
      </c>
      <c r="Q8" s="426" t="s">
        <v>6</v>
      </c>
      <c r="R8" s="429" t="s">
        <v>167</v>
      </c>
      <c r="S8" s="430" t="s">
        <v>170</v>
      </c>
    </row>
    <row r="9" spans="1:19" x14ac:dyDescent="0.2">
      <c r="A9" s="422">
        <f>Biodata!A11</f>
        <v>3</v>
      </c>
      <c r="B9" s="427" t="str">
        <f>Biodata!B11</f>
        <v>181910014</v>
      </c>
      <c r="C9" s="428" t="str">
        <f>Biodata!C11</f>
        <v>AGUNG BUDI PRASTAWA</v>
      </c>
      <c r="D9" s="422">
        <f t="shared" si="0"/>
        <v>60</v>
      </c>
      <c r="E9" s="422" t="str">
        <f t="shared" si="1"/>
        <v>D</v>
      </c>
      <c r="F9" s="422">
        <f t="shared" si="2"/>
        <v>60</v>
      </c>
      <c r="G9" s="422" t="str">
        <f t="shared" si="3"/>
        <v>D</v>
      </c>
      <c r="H9" s="422" t="str">
        <f t="shared" si="4"/>
        <v>B</v>
      </c>
      <c r="I9" s="431" t="str">
        <f t="shared" si="6"/>
        <v>Selalu bersyukur dan selalu berdoa sebelum melakukan kegiatan, memiliki toleran pada agama yang berbeda, ketaatan beribadah mulai berkembang.</v>
      </c>
      <c r="J9" s="422" t="str">
        <f t="shared" si="5"/>
        <v>B</v>
      </c>
      <c r="K9" s="431" t="str">
        <f t="shared" si="7"/>
        <v>Memiliki sikap santun, disiplin, tanggung jawab yang baik, sikap kepedulian mulai meningkat.</v>
      </c>
      <c r="Q9" s="426" t="s">
        <v>18</v>
      </c>
      <c r="R9" s="429" t="s">
        <v>168</v>
      </c>
      <c r="S9" s="430" t="s">
        <v>171</v>
      </c>
    </row>
    <row r="10" spans="1:19" x14ac:dyDescent="0.2">
      <c r="A10" s="422">
        <f>Biodata!A12</f>
        <v>4</v>
      </c>
      <c r="B10" s="427" t="str">
        <f>Biodata!B12</f>
        <v>181910045</v>
      </c>
      <c r="C10" s="428" t="str">
        <f>Biodata!C12</f>
        <v>ARYA DYTA WIGUNA</v>
      </c>
      <c r="D10" s="422">
        <f t="shared" si="0"/>
        <v>82</v>
      </c>
      <c r="E10" s="422" t="str">
        <f t="shared" si="1"/>
        <v>B</v>
      </c>
      <c r="F10" s="422">
        <f t="shared" si="2"/>
        <v>80</v>
      </c>
      <c r="G10" s="422" t="str">
        <f t="shared" si="3"/>
        <v>B</v>
      </c>
      <c r="H10" s="422" t="str">
        <f t="shared" si="4"/>
        <v>B</v>
      </c>
      <c r="I10" s="431" t="str">
        <f t="shared" si="6"/>
        <v>Selalu bersyukur dan selalu berdoa sebelum melakukan kegiatan, memiliki toleran pada agama yang berbeda, ketaatan beribadah mulai berkembang.</v>
      </c>
      <c r="J10" s="422" t="str">
        <f t="shared" si="5"/>
        <v>SB</v>
      </c>
      <c r="K10" s="431" t="str">
        <f t="shared" si="7"/>
        <v>Memiliki sikap santun, disiplin, dan tanggung jawab cukup baik, namun sikap kepedulian perlu ditingkatkan.</v>
      </c>
      <c r="Q10" s="426" t="s">
        <v>294</v>
      </c>
      <c r="R10" s="429" t="s">
        <v>178</v>
      </c>
      <c r="S10" s="430" t="s">
        <v>179</v>
      </c>
    </row>
    <row r="11" spans="1:19" x14ac:dyDescent="0.2">
      <c r="A11" s="422">
        <f>Biodata!A13</f>
        <v>5</v>
      </c>
      <c r="B11" s="427" t="str">
        <f>Biodata!B13</f>
        <v>181910054</v>
      </c>
      <c r="C11" s="428" t="str">
        <f>Biodata!C13</f>
        <v>AZRIEL TAMA SANTIAJI</v>
      </c>
      <c r="D11" s="422">
        <f t="shared" si="0"/>
        <v>50</v>
      </c>
      <c r="E11" s="422" t="str">
        <f t="shared" si="1"/>
        <v>D</v>
      </c>
      <c r="F11" s="422">
        <f t="shared" si="2"/>
        <v>60</v>
      </c>
      <c r="G11" s="422" t="str">
        <f t="shared" si="3"/>
        <v>D</v>
      </c>
      <c r="H11" s="422" t="str">
        <f t="shared" si="4"/>
        <v>B</v>
      </c>
      <c r="I11" s="431" t="str">
        <f t="shared" si="6"/>
        <v>Selalu bersyukur dan selalu berdoa sebelum melakukan kegiatan, memiliki toleran pada agama yang berbeda, ketaatan beribadah mulai berkembang.</v>
      </c>
      <c r="J11" s="422" t="str">
        <f t="shared" si="5"/>
        <v>B</v>
      </c>
      <c r="K11" s="431" t="str">
        <f t="shared" si="7"/>
        <v>Memiliki sikap santun, disiplin, tanggung jawab yang baik, sikap kepedulian mulai meningkat.</v>
      </c>
    </row>
    <row r="12" spans="1:19" x14ac:dyDescent="0.2">
      <c r="A12" s="422">
        <f>Biodata!A14</f>
        <v>6</v>
      </c>
      <c r="B12" s="427" t="str">
        <f>Biodata!B14</f>
        <v>181910055</v>
      </c>
      <c r="C12" s="428" t="str">
        <f>Biodata!C14</f>
        <v>AZZUHRI HAUDI</v>
      </c>
      <c r="D12" s="422">
        <f t="shared" si="0"/>
        <v>75</v>
      </c>
      <c r="E12" s="422" t="str">
        <f t="shared" si="1"/>
        <v>C</v>
      </c>
      <c r="F12" s="422">
        <f t="shared" si="2"/>
        <v>80</v>
      </c>
      <c r="G12" s="422" t="str">
        <f t="shared" si="3"/>
        <v>B</v>
      </c>
      <c r="H12" s="422" t="str">
        <f t="shared" si="4"/>
        <v>B</v>
      </c>
      <c r="I12" s="431" t="str">
        <f t="shared" si="6"/>
        <v>Selalu bersyukur dan selalu berdoa sebelum melakukan kegiatan, memiliki toleran pada agama yang berbeda, ketaatan beribadah mulai berkembang.</v>
      </c>
      <c r="J12" s="422" t="str">
        <f t="shared" si="5"/>
        <v>B</v>
      </c>
      <c r="K12" s="431" t="str">
        <f t="shared" si="7"/>
        <v>Memiliki sikap santun, disiplin, tanggung jawab yang baik, sikap kepedulian mulai meningkat.</v>
      </c>
    </row>
    <row r="13" spans="1:19" x14ac:dyDescent="0.2">
      <c r="A13" s="422">
        <f>Biodata!A15</f>
        <v>7</v>
      </c>
      <c r="B13" s="427" t="str">
        <f>Biodata!B15</f>
        <v>181910056</v>
      </c>
      <c r="C13" s="428" t="str">
        <f>Biodata!C15</f>
        <v>BAYU BATARA SURYA PUTRA</v>
      </c>
      <c r="D13" s="422">
        <f t="shared" si="0"/>
        <v>70</v>
      </c>
      <c r="E13" s="422" t="str">
        <f t="shared" si="1"/>
        <v>C</v>
      </c>
      <c r="F13" s="422">
        <f t="shared" si="2"/>
        <v>70</v>
      </c>
      <c r="G13" s="422" t="str">
        <f t="shared" si="3"/>
        <v>C</v>
      </c>
      <c r="H13" s="422" t="str">
        <f t="shared" si="4"/>
        <v>B</v>
      </c>
      <c r="I13" s="431" t="str">
        <f t="shared" si="6"/>
        <v>Selalu bersyukur dan selalu berdoa sebelum melakukan kegiatan, memiliki toleran pada agama yang berbeda, ketaatan beribadah mulai berkembang.</v>
      </c>
      <c r="J13" s="422" t="str">
        <f t="shared" si="5"/>
        <v>B</v>
      </c>
      <c r="K13" s="431" t="str">
        <f t="shared" si="7"/>
        <v>Memiliki sikap santun, disiplin, tanggung jawab yang baik, sikap kepedulian mulai meningkat.</v>
      </c>
    </row>
    <row r="14" spans="1:19" x14ac:dyDescent="0.2">
      <c r="A14" s="422">
        <f>Biodata!A16</f>
        <v>8</v>
      </c>
      <c r="B14" s="427" t="str">
        <f>Biodata!B16</f>
        <v>181910069</v>
      </c>
      <c r="C14" s="428" t="str">
        <f>Biodata!C16</f>
        <v>DANDY ERVAN PRATAMA</v>
      </c>
      <c r="D14" s="422">
        <f t="shared" si="0"/>
        <v>40</v>
      </c>
      <c r="E14" s="422" t="str">
        <f t="shared" si="1"/>
        <v>D</v>
      </c>
      <c r="F14" s="422">
        <f t="shared" si="2"/>
        <v>50</v>
      </c>
      <c r="G14" s="422" t="str">
        <f t="shared" si="3"/>
        <v>D</v>
      </c>
      <c r="H14" s="422" t="str">
        <f t="shared" si="4"/>
        <v>B</v>
      </c>
      <c r="I14" s="431" t="str">
        <f t="shared" si="6"/>
        <v>Selalu bersyukur dan selalu berdoa sebelum melakukan kegiatan, memiliki toleran pada agama yang berbeda, ketaatan beribadah mulai berkembang.</v>
      </c>
      <c r="J14" s="422" t="str">
        <f t="shared" si="5"/>
        <v>B</v>
      </c>
      <c r="K14" s="431" t="str">
        <f t="shared" si="7"/>
        <v>Memiliki sikap santun, disiplin, tanggung jawab yang baik, sikap kepedulian mulai meningkat.</v>
      </c>
    </row>
    <row r="15" spans="1:19" x14ac:dyDescent="0.2">
      <c r="A15" s="422">
        <f>Biodata!A17</f>
        <v>9</v>
      </c>
      <c r="B15" s="427" t="str">
        <f>Biodata!B17</f>
        <v>181910085</v>
      </c>
      <c r="C15" s="428" t="str">
        <f>Biodata!C17</f>
        <v>DENISA ASTI RAHMAWATI</v>
      </c>
      <c r="D15" s="422">
        <f t="shared" si="0"/>
        <v>75</v>
      </c>
      <c r="E15" s="422" t="str">
        <f t="shared" si="1"/>
        <v>C</v>
      </c>
      <c r="F15" s="422">
        <f t="shared" si="2"/>
        <v>70</v>
      </c>
      <c r="G15" s="422" t="str">
        <f t="shared" si="3"/>
        <v>C</v>
      </c>
      <c r="H15" s="422" t="str">
        <f t="shared" si="4"/>
        <v>B</v>
      </c>
      <c r="I15" s="431" t="str">
        <f t="shared" si="6"/>
        <v>Selalu bersyukur dan selalu berdoa sebelum melakukan kegiatan, memiliki toleran pada agama yang berbeda, ketaatan beribadah mulai berkembang.</v>
      </c>
      <c r="J15" s="422" t="str">
        <f t="shared" si="5"/>
        <v>B</v>
      </c>
      <c r="K15" s="431" t="str">
        <f t="shared" si="7"/>
        <v>Memiliki sikap santun, disiplin, tanggung jawab yang baik, sikap kepedulian mulai meningkat.</v>
      </c>
    </row>
    <row r="16" spans="1:19" x14ac:dyDescent="0.2">
      <c r="A16" s="422">
        <f>Biodata!A18</f>
        <v>10</v>
      </c>
      <c r="B16" s="427" t="str">
        <f>Biodata!B18</f>
        <v>181910093</v>
      </c>
      <c r="C16" s="428" t="str">
        <f>Biodata!C18</f>
        <v>DIAN RAMDHAN SAPTIAN</v>
      </c>
      <c r="D16" s="422">
        <f t="shared" si="0"/>
        <v>40</v>
      </c>
      <c r="E16" s="422" t="str">
        <f t="shared" si="1"/>
        <v>D</v>
      </c>
      <c r="F16" s="422">
        <f t="shared" si="2"/>
        <v>50</v>
      </c>
      <c r="G16" s="422" t="str">
        <f t="shared" si="3"/>
        <v>D</v>
      </c>
      <c r="H16" s="422" t="str">
        <f t="shared" si="4"/>
        <v>B</v>
      </c>
      <c r="I16" s="431" t="str">
        <f t="shared" si="6"/>
        <v>Selalu bersyukur dan selalu berdoa sebelum melakukan kegiatan, memiliki toleran pada agama yang berbeda, ketaatan beribadah mulai berkembang.</v>
      </c>
      <c r="J16" s="422" t="str">
        <f t="shared" si="5"/>
        <v>B</v>
      </c>
      <c r="K16" s="431" t="str">
        <f t="shared" si="7"/>
        <v>Memiliki sikap santun, disiplin, tanggung jawab yang baik, sikap kepedulian mulai meningkat.</v>
      </c>
    </row>
    <row r="17" spans="1:11" x14ac:dyDescent="0.2">
      <c r="A17" s="422">
        <f>Biodata!A19</f>
        <v>11</v>
      </c>
      <c r="B17" s="427" t="str">
        <f>Biodata!B19</f>
        <v>181910103</v>
      </c>
      <c r="C17" s="428" t="str">
        <f>Biodata!C19</f>
        <v>DIVYA ADHIANI NURDIN</v>
      </c>
      <c r="D17" s="422">
        <f t="shared" si="0"/>
        <v>78</v>
      </c>
      <c r="E17" s="422" t="str">
        <f t="shared" si="1"/>
        <v>C</v>
      </c>
      <c r="F17" s="422">
        <f t="shared" si="2"/>
        <v>82</v>
      </c>
      <c r="G17" s="422" t="str">
        <f t="shared" si="3"/>
        <v>B</v>
      </c>
      <c r="H17" s="422" t="str">
        <f t="shared" si="4"/>
        <v>B</v>
      </c>
      <c r="I17" s="431" t="str">
        <f t="shared" si="6"/>
        <v>Selalu bersyukur dan selalu berdoa sebelum melakukan kegiatan, memiliki toleran pada agama yang berbeda, ketaatan beribadah mulai berkembang.</v>
      </c>
      <c r="J17" s="422" t="str">
        <f t="shared" si="5"/>
        <v>B</v>
      </c>
      <c r="K17" s="431" t="str">
        <f t="shared" si="7"/>
        <v>Memiliki sikap santun, disiplin, tanggung jawab yang baik, sikap kepedulian mulai meningkat.</v>
      </c>
    </row>
    <row r="18" spans="1:11" x14ac:dyDescent="0.2">
      <c r="A18" s="422">
        <f>Biodata!A20</f>
        <v>12</v>
      </c>
      <c r="B18" s="427" t="str">
        <f>Biodata!B20</f>
        <v>181910104</v>
      </c>
      <c r="C18" s="428" t="str">
        <f>Biodata!C20</f>
        <v>DWIKI DERMAWAN</v>
      </c>
      <c r="D18" s="422">
        <f t="shared" si="0"/>
        <v>40</v>
      </c>
      <c r="E18" s="422" t="str">
        <f t="shared" si="1"/>
        <v>D</v>
      </c>
      <c r="F18" s="422">
        <f t="shared" si="2"/>
        <v>50</v>
      </c>
      <c r="G18" s="422" t="str">
        <f t="shared" si="3"/>
        <v>D</v>
      </c>
      <c r="H18" s="422" t="str">
        <f t="shared" si="4"/>
        <v>B</v>
      </c>
      <c r="I18" s="431" t="str">
        <f t="shared" si="6"/>
        <v>Selalu bersyukur dan selalu berdoa sebelum melakukan kegiatan, memiliki toleran pada agama yang berbeda, ketaatan beribadah mulai berkembang.</v>
      </c>
      <c r="J18" s="422" t="str">
        <f t="shared" si="5"/>
        <v>B</v>
      </c>
      <c r="K18" s="431" t="str">
        <f t="shared" si="7"/>
        <v>Memiliki sikap santun, disiplin, tanggung jawab yang baik, sikap kepedulian mulai meningkat.</v>
      </c>
    </row>
    <row r="19" spans="1:11" x14ac:dyDescent="0.2">
      <c r="A19" s="422">
        <f>Biodata!A21</f>
        <v>13</v>
      </c>
      <c r="B19" s="427" t="str">
        <f>Biodata!B21</f>
        <v>181910118</v>
      </c>
      <c r="C19" s="428" t="str">
        <f>Biodata!C21</f>
        <v>ENCEP CANDRA</v>
      </c>
      <c r="D19" s="422">
        <f t="shared" si="0"/>
        <v>78</v>
      </c>
      <c r="E19" s="422" t="str">
        <f t="shared" si="1"/>
        <v>C</v>
      </c>
      <c r="F19" s="422">
        <f t="shared" si="2"/>
        <v>80</v>
      </c>
      <c r="G19" s="422" t="str">
        <f t="shared" si="3"/>
        <v>B</v>
      </c>
      <c r="H19" s="422" t="str">
        <f t="shared" si="4"/>
        <v>B</v>
      </c>
      <c r="I19" s="431" t="str">
        <f t="shared" si="6"/>
        <v>Selalu bersyukur dan selalu berdoa sebelum melakukan kegiatan, memiliki toleran pada agama yang berbeda, ketaatan beribadah mulai berkembang.</v>
      </c>
      <c r="J19" s="422" t="str">
        <f t="shared" si="5"/>
        <v>B</v>
      </c>
      <c r="K19" s="431" t="str">
        <f t="shared" si="7"/>
        <v>Memiliki sikap santun, disiplin, tanggung jawab yang baik, sikap kepedulian mulai meningkat.</v>
      </c>
    </row>
    <row r="20" spans="1:11" x14ac:dyDescent="0.2">
      <c r="A20" s="422">
        <f>Biodata!A22</f>
        <v>14</v>
      </c>
      <c r="B20" s="427" t="str">
        <f>Biodata!B22</f>
        <v>181910128</v>
      </c>
      <c r="C20" s="428" t="str">
        <f>Biodata!C22</f>
        <v>FAIZAL EGI</v>
      </c>
      <c r="D20" s="422">
        <f t="shared" si="0"/>
        <v>40</v>
      </c>
      <c r="E20" s="422" t="str">
        <f t="shared" si="1"/>
        <v>D</v>
      </c>
      <c r="F20" s="422">
        <f t="shared" si="2"/>
        <v>50</v>
      </c>
      <c r="G20" s="422" t="str">
        <f t="shared" si="3"/>
        <v>D</v>
      </c>
      <c r="H20" s="422" t="str">
        <f t="shared" si="4"/>
        <v>B</v>
      </c>
      <c r="I20" s="431" t="str">
        <f t="shared" si="6"/>
        <v>Selalu bersyukur dan selalu berdoa sebelum melakukan kegiatan, memiliki toleran pada agama yang berbeda, ketaatan beribadah mulai berkembang.</v>
      </c>
      <c r="J20" s="422" t="str">
        <f t="shared" si="5"/>
        <v>B</v>
      </c>
      <c r="K20" s="431" t="str">
        <f t="shared" si="7"/>
        <v>Memiliki sikap santun, disiplin, tanggung jawab yang baik, sikap kepedulian mulai meningkat.</v>
      </c>
    </row>
    <row r="21" spans="1:11" x14ac:dyDescent="0.2">
      <c r="A21" s="422">
        <f>Biodata!A23</f>
        <v>15</v>
      </c>
      <c r="B21" s="427" t="str">
        <f>Biodata!B23</f>
        <v>181910133</v>
      </c>
      <c r="C21" s="428" t="str">
        <f>Biodata!C23</f>
        <v>FAUZI DHALFADLIL AZHANI</v>
      </c>
      <c r="D21" s="422">
        <f t="shared" si="0"/>
        <v>40</v>
      </c>
      <c r="E21" s="422" t="str">
        <f t="shared" si="1"/>
        <v>D</v>
      </c>
      <c r="F21" s="422">
        <f t="shared" si="2"/>
        <v>50</v>
      </c>
      <c r="G21" s="422" t="str">
        <f t="shared" si="3"/>
        <v>D</v>
      </c>
      <c r="H21" s="422" t="str">
        <f t="shared" si="4"/>
        <v>B</v>
      </c>
      <c r="I21" s="431" t="str">
        <f t="shared" si="6"/>
        <v>Selalu bersyukur dan selalu berdoa sebelum melakukan kegiatan, memiliki toleran pada agama yang berbeda, ketaatan beribadah mulai berkembang.</v>
      </c>
      <c r="J21" s="422" t="str">
        <f t="shared" si="5"/>
        <v>B</v>
      </c>
      <c r="K21" s="431" t="str">
        <f t="shared" si="7"/>
        <v>Memiliki sikap santun, disiplin, tanggung jawab yang baik, sikap kepedulian mulai meningkat.</v>
      </c>
    </row>
    <row r="22" spans="1:11" x14ac:dyDescent="0.2">
      <c r="A22" s="422">
        <f>Biodata!A24</f>
        <v>16</v>
      </c>
      <c r="B22" s="427" t="str">
        <f>Biodata!B24</f>
        <v>181910161</v>
      </c>
      <c r="C22" s="428" t="str">
        <f>Biodata!C24</f>
        <v>HILMAN PUTRA PAMUNGKAS</v>
      </c>
      <c r="D22" s="422">
        <f t="shared" si="0"/>
        <v>78</v>
      </c>
      <c r="E22" s="422" t="str">
        <f t="shared" si="1"/>
        <v>C</v>
      </c>
      <c r="F22" s="422">
        <f t="shared" si="2"/>
        <v>75</v>
      </c>
      <c r="G22" s="422" t="str">
        <f t="shared" si="3"/>
        <v>C</v>
      </c>
      <c r="H22" s="422" t="str">
        <f t="shared" si="4"/>
        <v>B</v>
      </c>
      <c r="I22" s="431" t="str">
        <f t="shared" si="6"/>
        <v>Selalu bersyukur dan selalu berdoa sebelum melakukan kegiatan, memiliki toleran pada agama yang berbeda, ketaatan beribadah mulai berkembang.</v>
      </c>
      <c r="J22" s="422" t="str">
        <f t="shared" si="5"/>
        <v>B</v>
      </c>
      <c r="K22" s="431" t="str">
        <f t="shared" si="7"/>
        <v>Memiliki sikap santun, disiplin, tanggung jawab yang baik, sikap kepedulian mulai meningkat.</v>
      </c>
    </row>
    <row r="23" spans="1:11" x14ac:dyDescent="0.2">
      <c r="A23" s="422">
        <f>Biodata!A25</f>
        <v>17</v>
      </c>
      <c r="B23" s="427" t="str">
        <f>Biodata!B25</f>
        <v>181910165</v>
      </c>
      <c r="C23" s="428" t="str">
        <f>Biodata!C25</f>
        <v>IHSYA FADILLAH MUSLIM</v>
      </c>
      <c r="D23" s="422">
        <f t="shared" si="0"/>
        <v>70</v>
      </c>
      <c r="E23" s="422" t="str">
        <f t="shared" si="1"/>
        <v>C</v>
      </c>
      <c r="F23" s="422">
        <f t="shared" si="2"/>
        <v>70</v>
      </c>
      <c r="G23" s="422" t="str">
        <f t="shared" si="3"/>
        <v>C</v>
      </c>
      <c r="H23" s="422" t="str">
        <f t="shared" si="4"/>
        <v>B</v>
      </c>
      <c r="I23" s="431" t="str">
        <f t="shared" si="6"/>
        <v>Selalu bersyukur dan selalu berdoa sebelum melakukan kegiatan, memiliki toleran pada agama yang berbeda, ketaatan beribadah mulai berkembang.</v>
      </c>
      <c r="J23" s="422" t="str">
        <f t="shared" si="5"/>
        <v>B</v>
      </c>
      <c r="K23" s="431" t="str">
        <f t="shared" si="7"/>
        <v>Memiliki sikap santun, disiplin, tanggung jawab yang baik, sikap kepedulian mulai meningkat.</v>
      </c>
    </row>
    <row r="24" spans="1:11" x14ac:dyDescent="0.2">
      <c r="A24" s="422">
        <f>Biodata!A26</f>
        <v>18</v>
      </c>
      <c r="B24" s="427" t="str">
        <f>Biodata!B26</f>
        <v>181910185</v>
      </c>
      <c r="C24" s="428" t="str">
        <f>Biodata!C26</f>
        <v>JIHAD AKBAR</v>
      </c>
      <c r="D24" s="422">
        <f t="shared" si="0"/>
        <v>60</v>
      </c>
      <c r="E24" s="422" t="str">
        <f t="shared" si="1"/>
        <v>D</v>
      </c>
      <c r="F24" s="422">
        <f t="shared" si="2"/>
        <v>70</v>
      </c>
      <c r="G24" s="422" t="str">
        <f t="shared" si="3"/>
        <v>C</v>
      </c>
      <c r="H24" s="422" t="str">
        <f t="shared" si="4"/>
        <v>B</v>
      </c>
      <c r="I24" s="431" t="str">
        <f t="shared" si="6"/>
        <v>Selalu bersyukur dan selalu berdoa sebelum melakukan kegiatan, memiliki toleran pada agama yang berbeda, ketaatan beribadah mulai berkembang.</v>
      </c>
      <c r="J24" s="422" t="str">
        <f t="shared" si="5"/>
        <v>B</v>
      </c>
      <c r="K24" s="431" t="str">
        <f t="shared" si="7"/>
        <v>Memiliki sikap santun, disiplin, tanggung jawab yang baik, sikap kepedulian mulai meningkat.</v>
      </c>
    </row>
    <row r="25" spans="1:11" x14ac:dyDescent="0.2">
      <c r="A25" s="422">
        <f>Biodata!A27</f>
        <v>19</v>
      </c>
      <c r="B25" s="427" t="str">
        <f>Biodata!B27</f>
        <v>181910226</v>
      </c>
      <c r="C25" s="428" t="str">
        <f>Biodata!C27</f>
        <v>MUHAMAD IZZAZUL FIKRIAN</v>
      </c>
      <c r="D25" s="422">
        <f t="shared" si="0"/>
        <v>0</v>
      </c>
      <c r="E25" s="422" t="str">
        <f t="shared" si="1"/>
        <v/>
      </c>
      <c r="F25" s="422">
        <f t="shared" si="2"/>
        <v>0</v>
      </c>
      <c r="G25" s="422" t="str">
        <f t="shared" si="3"/>
        <v/>
      </c>
      <c r="H25" s="422" t="str">
        <f t="shared" si="4"/>
        <v>-</v>
      </c>
      <c r="I25" s="431" t="str">
        <f t="shared" si="6"/>
        <v>-</v>
      </c>
      <c r="J25" s="422" t="str">
        <f t="shared" si="5"/>
        <v>-</v>
      </c>
      <c r="K25" s="431" t="str">
        <f t="shared" si="7"/>
        <v>-</v>
      </c>
    </row>
    <row r="26" spans="1:11" x14ac:dyDescent="0.2">
      <c r="A26" s="422">
        <f>Biodata!A28</f>
        <v>20</v>
      </c>
      <c r="B26" s="427" t="str">
        <f>Biodata!B28</f>
        <v>181910433</v>
      </c>
      <c r="C26" s="428" t="str">
        <f>Biodata!C28</f>
        <v>MUHAMAD RIZAL</v>
      </c>
      <c r="D26" s="422">
        <f t="shared" si="0"/>
        <v>40</v>
      </c>
      <c r="E26" s="422" t="str">
        <f t="shared" si="1"/>
        <v>D</v>
      </c>
      <c r="F26" s="422">
        <f t="shared" si="2"/>
        <v>50</v>
      </c>
      <c r="G26" s="422" t="str">
        <f t="shared" si="3"/>
        <v>D</v>
      </c>
      <c r="H26" s="422" t="str">
        <f t="shared" si="4"/>
        <v>B</v>
      </c>
      <c r="I26" s="431" t="str">
        <f t="shared" si="6"/>
        <v>Selalu bersyukur dan selalu berdoa sebelum melakukan kegiatan, memiliki toleran pada agama yang berbeda, ketaatan beribadah mulai berkembang.</v>
      </c>
      <c r="J26" s="422" t="str">
        <f t="shared" si="5"/>
        <v>B</v>
      </c>
      <c r="K26" s="431" t="str">
        <f t="shared" si="7"/>
        <v>Memiliki sikap santun, disiplin, tanggung jawab yang baik, sikap kepedulian mulai meningkat.</v>
      </c>
    </row>
    <row r="27" spans="1:11" x14ac:dyDescent="0.2">
      <c r="A27" s="422">
        <f>Biodata!A29</f>
        <v>21</v>
      </c>
      <c r="B27" s="427" t="str">
        <f>Biodata!B29</f>
        <v>181910240</v>
      </c>
      <c r="C27" s="428" t="str">
        <f>Biodata!C29</f>
        <v>NESHA RAUDHATUL ZANNAH</v>
      </c>
      <c r="D27" s="422">
        <f t="shared" si="0"/>
        <v>80</v>
      </c>
      <c r="E27" s="422" t="str">
        <f t="shared" si="1"/>
        <v>B</v>
      </c>
      <c r="F27" s="422">
        <f t="shared" si="2"/>
        <v>82</v>
      </c>
      <c r="G27" s="422" t="str">
        <f t="shared" si="3"/>
        <v>B</v>
      </c>
      <c r="H27" s="422" t="str">
        <f t="shared" si="4"/>
        <v>B</v>
      </c>
      <c r="I27" s="431" t="str">
        <f t="shared" si="6"/>
        <v>Selalu bersyukur dan selalu berdoa sebelum melakukan kegiatan, memiliki toleran pada agama yang berbeda, ketaatan beribadah mulai berkembang.</v>
      </c>
      <c r="J27" s="422" t="str">
        <f t="shared" si="5"/>
        <v>B</v>
      </c>
      <c r="K27" s="431" t="str">
        <f t="shared" si="7"/>
        <v>Memiliki sikap santun, disiplin, tanggung jawab yang baik, sikap kepedulian mulai meningkat.</v>
      </c>
    </row>
    <row r="28" spans="1:11" x14ac:dyDescent="0.2">
      <c r="A28" s="422">
        <f>Biodata!A30</f>
        <v>22</v>
      </c>
      <c r="B28" s="427" t="str">
        <f>Biodata!B30</f>
        <v>181910262</v>
      </c>
      <c r="C28" s="428" t="str">
        <f>Biodata!C30</f>
        <v>PUTRI ANGGRAENI</v>
      </c>
      <c r="D28" s="422">
        <f t="shared" si="0"/>
        <v>80</v>
      </c>
      <c r="E28" s="422" t="str">
        <f t="shared" si="1"/>
        <v>B</v>
      </c>
      <c r="F28" s="422">
        <f t="shared" si="2"/>
        <v>80</v>
      </c>
      <c r="G28" s="422" t="str">
        <f t="shared" si="3"/>
        <v>B</v>
      </c>
      <c r="H28" s="422" t="str">
        <f t="shared" si="4"/>
        <v>B</v>
      </c>
      <c r="I28" s="431" t="str">
        <f t="shared" si="6"/>
        <v>Selalu bersyukur dan selalu berdoa sebelum melakukan kegiatan, memiliki toleran pada agama yang berbeda, ketaatan beribadah mulai berkembang.</v>
      </c>
      <c r="J28" s="422" t="str">
        <f t="shared" si="5"/>
        <v>B</v>
      </c>
      <c r="K28" s="431" t="str">
        <f t="shared" si="7"/>
        <v>Memiliki sikap santun, disiplin, tanggung jawab yang baik, sikap kepedulian mulai meningkat.</v>
      </c>
    </row>
    <row r="29" spans="1:11" x14ac:dyDescent="0.2">
      <c r="A29" s="422">
        <f>Biodata!A31</f>
        <v>23</v>
      </c>
      <c r="B29" s="427" t="str">
        <f>Biodata!B31</f>
        <v>181910266</v>
      </c>
      <c r="C29" s="428" t="str">
        <f>Biodata!C31</f>
        <v>PUTRI WULANDARI</v>
      </c>
      <c r="D29" s="422">
        <f t="shared" si="0"/>
        <v>78</v>
      </c>
      <c r="E29" s="422" t="str">
        <f t="shared" si="1"/>
        <v>C</v>
      </c>
      <c r="F29" s="422">
        <f t="shared" si="2"/>
        <v>75</v>
      </c>
      <c r="G29" s="422" t="str">
        <f t="shared" si="3"/>
        <v>C</v>
      </c>
      <c r="H29" s="422" t="str">
        <f t="shared" si="4"/>
        <v>B</v>
      </c>
      <c r="I29" s="431" t="str">
        <f t="shared" si="6"/>
        <v>Selalu bersyukur dan selalu berdoa sebelum melakukan kegiatan, memiliki toleran pada agama yang berbeda, ketaatan beribadah mulai berkembang.</v>
      </c>
      <c r="J29" s="422" t="str">
        <f t="shared" si="5"/>
        <v>B</v>
      </c>
      <c r="K29" s="431" t="str">
        <f t="shared" si="7"/>
        <v>Memiliki sikap santun, disiplin, tanggung jawab yang baik, sikap kepedulian mulai meningkat.</v>
      </c>
    </row>
    <row r="30" spans="1:11" x14ac:dyDescent="0.2">
      <c r="A30" s="422">
        <f>Biodata!A32</f>
        <v>24</v>
      </c>
      <c r="B30" s="427" t="str">
        <f>Biodata!B32</f>
        <v>181910272</v>
      </c>
      <c r="C30" s="428" t="str">
        <f>Biodata!C32</f>
        <v>RAFLY GYMNASTIAR</v>
      </c>
      <c r="D30" s="422">
        <f t="shared" si="0"/>
        <v>40</v>
      </c>
      <c r="E30" s="422" t="str">
        <f t="shared" si="1"/>
        <v>D</v>
      </c>
      <c r="F30" s="422">
        <f t="shared" si="2"/>
        <v>50</v>
      </c>
      <c r="G30" s="422" t="str">
        <f t="shared" si="3"/>
        <v>D</v>
      </c>
      <c r="H30" s="422" t="str">
        <f t="shared" si="4"/>
        <v>B</v>
      </c>
      <c r="I30" s="431" t="str">
        <f t="shared" si="6"/>
        <v>Selalu bersyukur dan selalu berdoa sebelum melakukan kegiatan, memiliki toleran pada agama yang berbeda, ketaatan beribadah mulai berkembang.</v>
      </c>
      <c r="J30" s="422" t="str">
        <f t="shared" si="5"/>
        <v>B</v>
      </c>
      <c r="K30" s="431" t="str">
        <f t="shared" si="7"/>
        <v>Memiliki sikap santun, disiplin, tanggung jawab yang baik, sikap kepedulian mulai meningkat.</v>
      </c>
    </row>
    <row r="31" spans="1:11" x14ac:dyDescent="0.2">
      <c r="A31" s="422">
        <f>Biodata!A33</f>
        <v>25</v>
      </c>
      <c r="B31" s="427" t="str">
        <f>Biodata!B33</f>
        <v>181910280</v>
      </c>
      <c r="C31" s="428" t="str">
        <f>Biodata!C33</f>
        <v>REFIANA</v>
      </c>
      <c r="D31" s="422">
        <f t="shared" si="0"/>
        <v>60</v>
      </c>
      <c r="E31" s="422" t="str">
        <f t="shared" si="1"/>
        <v>D</v>
      </c>
      <c r="F31" s="422">
        <f t="shared" si="2"/>
        <v>70</v>
      </c>
      <c r="G31" s="422" t="str">
        <f t="shared" si="3"/>
        <v>C</v>
      </c>
      <c r="H31" s="422" t="str">
        <f t="shared" si="4"/>
        <v>B</v>
      </c>
      <c r="I31" s="431" t="str">
        <f t="shared" si="6"/>
        <v>Selalu bersyukur dan selalu berdoa sebelum melakukan kegiatan, memiliki toleran pada agama yang berbeda, ketaatan beribadah mulai berkembang.</v>
      </c>
      <c r="J31" s="422" t="str">
        <f t="shared" si="5"/>
        <v>B</v>
      </c>
      <c r="K31" s="431" t="str">
        <f t="shared" si="7"/>
        <v>Memiliki sikap santun, disiplin, tanggung jawab yang baik, sikap kepedulian mulai meningkat.</v>
      </c>
    </row>
    <row r="32" spans="1:11" x14ac:dyDescent="0.2">
      <c r="A32" s="422">
        <f>Biodata!A34</f>
        <v>26</v>
      </c>
      <c r="B32" s="427" t="str">
        <f>Biodata!B34</f>
        <v>181910285</v>
      </c>
      <c r="C32" s="428" t="str">
        <f>Biodata!C34</f>
        <v>RENALDI PRIYATAMA</v>
      </c>
      <c r="D32" s="422">
        <f t="shared" si="0"/>
        <v>40</v>
      </c>
      <c r="E32" s="422" t="str">
        <f t="shared" si="1"/>
        <v>D</v>
      </c>
      <c r="F32" s="422">
        <f t="shared" si="2"/>
        <v>50</v>
      </c>
      <c r="G32" s="422" t="str">
        <f t="shared" si="3"/>
        <v>D</v>
      </c>
      <c r="H32" s="422" t="str">
        <f t="shared" si="4"/>
        <v>B</v>
      </c>
      <c r="I32" s="431" t="str">
        <f t="shared" si="6"/>
        <v>Selalu bersyukur dan selalu berdoa sebelum melakukan kegiatan, memiliki toleran pada agama yang berbeda, ketaatan beribadah mulai berkembang.</v>
      </c>
      <c r="J32" s="422" t="str">
        <f t="shared" si="5"/>
        <v>B</v>
      </c>
      <c r="K32" s="431" t="str">
        <f t="shared" si="7"/>
        <v>Memiliki sikap santun, disiplin, tanggung jawab yang baik, sikap kepedulian mulai meningkat.</v>
      </c>
    </row>
    <row r="33" spans="1:11" x14ac:dyDescent="0.2">
      <c r="A33" s="422">
        <f>Biodata!A35</f>
        <v>27</v>
      </c>
      <c r="B33" s="427" t="str">
        <f>Biodata!B35</f>
        <v>181910286</v>
      </c>
      <c r="C33" s="428" t="str">
        <f>Biodata!C35</f>
        <v>RENATA</v>
      </c>
      <c r="D33" s="422">
        <f t="shared" si="0"/>
        <v>84</v>
      </c>
      <c r="E33" s="422" t="str">
        <f t="shared" si="1"/>
        <v>B</v>
      </c>
      <c r="F33" s="422">
        <f t="shared" si="2"/>
        <v>82</v>
      </c>
      <c r="G33" s="422" t="str">
        <f t="shared" si="3"/>
        <v>B</v>
      </c>
      <c r="H33" s="422" t="str">
        <f t="shared" si="4"/>
        <v>B</v>
      </c>
      <c r="I33" s="431" t="str">
        <f t="shared" si="6"/>
        <v>Selalu bersyukur dan selalu berdoa sebelum melakukan kegiatan, memiliki toleran pada agama yang berbeda, ketaatan beribadah mulai berkembang.</v>
      </c>
      <c r="J33" s="422" t="str">
        <f t="shared" si="5"/>
        <v>B</v>
      </c>
      <c r="K33" s="431" t="str">
        <f t="shared" si="7"/>
        <v>Memiliki sikap santun, disiplin, tanggung jawab yang baik, sikap kepedulian mulai meningkat.</v>
      </c>
    </row>
    <row r="34" spans="1:11" x14ac:dyDescent="0.2">
      <c r="A34" s="422">
        <f>Biodata!A36</f>
        <v>28</v>
      </c>
      <c r="B34" s="427" t="str">
        <f>Biodata!B36</f>
        <v>181910293</v>
      </c>
      <c r="C34" s="428" t="str">
        <f>Biodata!C36</f>
        <v xml:space="preserve">REZA ERNANDA </v>
      </c>
      <c r="D34" s="422">
        <f t="shared" si="0"/>
        <v>84</v>
      </c>
      <c r="E34" s="422" t="str">
        <f t="shared" si="1"/>
        <v>B</v>
      </c>
      <c r="F34" s="422">
        <f t="shared" si="2"/>
        <v>82</v>
      </c>
      <c r="G34" s="422" t="str">
        <f t="shared" si="3"/>
        <v>B</v>
      </c>
      <c r="H34" s="422" t="str">
        <f t="shared" si="4"/>
        <v>B</v>
      </c>
      <c r="I34" s="431" t="str">
        <f t="shared" si="6"/>
        <v>Selalu bersyukur dan selalu berdoa sebelum melakukan kegiatan, memiliki toleran pada agama yang berbeda, ketaatan beribadah mulai berkembang.</v>
      </c>
      <c r="J34" s="422" t="str">
        <f t="shared" si="5"/>
        <v>B</v>
      </c>
      <c r="K34" s="431" t="str">
        <f t="shared" si="7"/>
        <v>Memiliki sikap santun, disiplin, tanggung jawab yang baik, sikap kepedulian mulai meningkat.</v>
      </c>
    </row>
    <row r="35" spans="1:11" x14ac:dyDescent="0.2">
      <c r="A35" s="422">
        <f>Biodata!A37</f>
        <v>29</v>
      </c>
      <c r="B35" s="427" t="str">
        <f>Biodata!B37</f>
        <v>181910300</v>
      </c>
      <c r="C35" s="428" t="str">
        <f>Biodata!C37</f>
        <v>RIFAN MUHAMAD RIZKI</v>
      </c>
      <c r="D35" s="422">
        <f t="shared" si="0"/>
        <v>0</v>
      </c>
      <c r="E35" s="422" t="str">
        <f t="shared" si="1"/>
        <v/>
      </c>
      <c r="F35" s="422">
        <f t="shared" si="2"/>
        <v>0</v>
      </c>
      <c r="G35" s="422" t="str">
        <f t="shared" si="3"/>
        <v/>
      </c>
      <c r="H35" s="422" t="str">
        <f t="shared" si="4"/>
        <v>-</v>
      </c>
      <c r="I35" s="431" t="str">
        <f t="shared" si="6"/>
        <v>-</v>
      </c>
      <c r="J35" s="422" t="str">
        <f t="shared" si="5"/>
        <v>-</v>
      </c>
      <c r="K35" s="431" t="str">
        <f t="shared" si="7"/>
        <v>-</v>
      </c>
    </row>
    <row r="36" spans="1:11" x14ac:dyDescent="0.2">
      <c r="A36" s="422">
        <f>Biodata!A38</f>
        <v>30</v>
      </c>
      <c r="B36" s="427" t="str">
        <f>Biodata!B38</f>
        <v>181910318</v>
      </c>
      <c r="C36" s="428" t="str">
        <f>Biodata!C38</f>
        <v>RISMA SURYANI</v>
      </c>
      <c r="D36" s="422">
        <f t="shared" si="0"/>
        <v>82</v>
      </c>
      <c r="E36" s="422" t="str">
        <f t="shared" si="1"/>
        <v>B</v>
      </c>
      <c r="F36" s="422">
        <f t="shared" si="2"/>
        <v>80</v>
      </c>
      <c r="G36" s="422" t="str">
        <f t="shared" si="3"/>
        <v>B</v>
      </c>
      <c r="H36" s="422" t="str">
        <f t="shared" si="4"/>
        <v>B</v>
      </c>
      <c r="I36" s="431" t="str">
        <f t="shared" si="6"/>
        <v>Selalu bersyukur dan selalu berdoa sebelum melakukan kegiatan, memiliki toleran pada agama yang berbeda, ketaatan beribadah mulai berkembang.</v>
      </c>
      <c r="J36" s="422" t="str">
        <f t="shared" si="5"/>
        <v>B</v>
      </c>
      <c r="K36" s="431" t="str">
        <f t="shared" si="7"/>
        <v>Memiliki sikap santun, disiplin, tanggung jawab yang baik, sikap kepedulian mulai meningkat.</v>
      </c>
    </row>
    <row r="37" spans="1:11" x14ac:dyDescent="0.2">
      <c r="A37" s="422">
        <f>Biodata!A39</f>
        <v>31</v>
      </c>
      <c r="B37" s="427" t="str">
        <f>Biodata!B39</f>
        <v>181910320</v>
      </c>
      <c r="C37" s="428" t="str">
        <f>Biodata!C39</f>
        <v>RISNA TIRANI</v>
      </c>
      <c r="D37" s="422">
        <f t="shared" si="0"/>
        <v>82</v>
      </c>
      <c r="E37" s="422" t="str">
        <f t="shared" si="1"/>
        <v>B</v>
      </c>
      <c r="F37" s="422">
        <f t="shared" si="2"/>
        <v>82</v>
      </c>
      <c r="G37" s="422" t="str">
        <f t="shared" si="3"/>
        <v>B</v>
      </c>
      <c r="H37" s="422" t="str">
        <f t="shared" si="4"/>
        <v>SB</v>
      </c>
      <c r="I37" s="431" t="str">
        <f t="shared" si="6"/>
        <v>Selalu bersyukur dan selalu berdoa sebelum melakukan kegiatan, memiliki toleran pada agama yang berbeda, namun ketaatan beribadah perlu ditingkatkan lagi.</v>
      </c>
      <c r="J37" s="422" t="str">
        <f t="shared" si="5"/>
        <v>SB</v>
      </c>
      <c r="K37" s="431" t="str">
        <f t="shared" si="7"/>
        <v>Memiliki sikap santun, disiplin, dan tanggung jawab cukup baik, namun sikap kepedulian perlu ditingkatkan.</v>
      </c>
    </row>
    <row r="38" spans="1:11" x14ac:dyDescent="0.2">
      <c r="A38" s="422">
        <f>Biodata!A40</f>
        <v>32</v>
      </c>
      <c r="B38" s="427" t="str">
        <f>Biodata!B40</f>
        <v>181910331</v>
      </c>
      <c r="C38" s="428" t="str">
        <f>Biodata!C40</f>
        <v>RULLY PRATAMA S.</v>
      </c>
      <c r="D38" s="422">
        <f t="shared" si="0"/>
        <v>65</v>
      </c>
      <c r="E38" s="422" t="str">
        <f t="shared" si="1"/>
        <v>D</v>
      </c>
      <c r="F38" s="422">
        <f t="shared" si="2"/>
        <v>70</v>
      </c>
      <c r="G38" s="422" t="str">
        <f t="shared" si="3"/>
        <v>C</v>
      </c>
      <c r="H38" s="422" t="str">
        <f t="shared" si="4"/>
        <v>B</v>
      </c>
      <c r="I38" s="431" t="str">
        <f t="shared" si="6"/>
        <v>Selalu bersyukur dan selalu berdoa sebelum melakukan kegiatan, memiliki toleran pada agama yang berbeda, ketaatan beribadah mulai berkembang.</v>
      </c>
      <c r="J38" s="422" t="str">
        <f t="shared" si="5"/>
        <v>B</v>
      </c>
      <c r="K38" s="431" t="str">
        <f t="shared" si="7"/>
        <v>Memiliki sikap santun, disiplin, tanggung jawab yang baik, sikap kepedulian mulai meningkat.</v>
      </c>
    </row>
    <row r="39" spans="1:11" x14ac:dyDescent="0.2">
      <c r="A39" s="422">
        <f>Biodata!A41</f>
        <v>33</v>
      </c>
      <c r="B39" s="427" t="str">
        <f>Biodata!B41</f>
        <v>181910335</v>
      </c>
      <c r="C39" s="428" t="str">
        <f>Biodata!C41</f>
        <v>SALSA ASYKIYA</v>
      </c>
      <c r="D39" s="422">
        <f t="shared" si="0"/>
        <v>82</v>
      </c>
      <c r="E39" s="422" t="str">
        <f t="shared" si="1"/>
        <v>B</v>
      </c>
      <c r="F39" s="422">
        <f t="shared" si="2"/>
        <v>80</v>
      </c>
      <c r="G39" s="422" t="str">
        <f t="shared" si="3"/>
        <v>B</v>
      </c>
      <c r="H39" s="422" t="str">
        <f t="shared" si="4"/>
        <v>SB</v>
      </c>
      <c r="I39" s="431" t="str">
        <f t="shared" si="6"/>
        <v>Selalu bersyukur dan selalu berdoa sebelum melakukan kegiatan, memiliki toleran pada agama yang berbeda, namun ketaatan beribadah perlu ditingkatkan lagi.</v>
      </c>
      <c r="J39" s="422" t="str">
        <f t="shared" si="5"/>
        <v>B</v>
      </c>
      <c r="K39" s="431" t="str">
        <f t="shared" si="7"/>
        <v>Memiliki sikap santun, disiplin, tanggung jawab yang baik, sikap kepedulian mulai meningkat.</v>
      </c>
    </row>
    <row r="40" spans="1:11" x14ac:dyDescent="0.2">
      <c r="A40" s="422">
        <f>Biodata!A42</f>
        <v>34</v>
      </c>
      <c r="B40" s="427" t="str">
        <f>Biodata!B42</f>
        <v>181910353</v>
      </c>
      <c r="C40" s="428" t="str">
        <f>Biodata!C42</f>
        <v>SILFI HAMIDAH</v>
      </c>
      <c r="D40" s="422">
        <f t="shared" si="0"/>
        <v>80</v>
      </c>
      <c r="E40" s="422" t="str">
        <f t="shared" si="1"/>
        <v>B</v>
      </c>
      <c r="F40" s="422">
        <f t="shared" si="2"/>
        <v>80</v>
      </c>
      <c r="G40" s="422" t="str">
        <f t="shared" si="3"/>
        <v>B</v>
      </c>
      <c r="H40" s="422" t="str">
        <f t="shared" si="4"/>
        <v>SB</v>
      </c>
      <c r="I40" s="431" t="str">
        <f t="shared" si="6"/>
        <v>Selalu bersyukur dan selalu berdoa sebelum melakukan kegiatan, memiliki toleran pada agama yang berbeda, namun ketaatan beribadah perlu ditingkatkan lagi.</v>
      </c>
      <c r="J40" s="422" t="str">
        <f t="shared" si="5"/>
        <v>SB</v>
      </c>
      <c r="K40" s="431" t="str">
        <f t="shared" si="7"/>
        <v>Memiliki sikap santun, disiplin, dan tanggung jawab cukup baik, namun sikap kepedulian perlu ditingkatkan.</v>
      </c>
    </row>
    <row r="41" spans="1:11" x14ac:dyDescent="0.2">
      <c r="A41" s="422">
        <f>Biodata!A43</f>
        <v>35</v>
      </c>
      <c r="B41" s="427" t="str">
        <f>Biodata!B43</f>
        <v>181910408</v>
      </c>
      <c r="C41" s="428" t="str">
        <f>Biodata!C43</f>
        <v>YESHA RAHAYU</v>
      </c>
      <c r="D41" s="422">
        <f t="shared" si="0"/>
        <v>0</v>
      </c>
      <c r="E41" s="422" t="str">
        <f t="shared" si="1"/>
        <v/>
      </c>
      <c r="F41" s="422">
        <f t="shared" si="2"/>
        <v>0</v>
      </c>
      <c r="G41" s="422" t="str">
        <f t="shared" si="3"/>
        <v/>
      </c>
      <c r="H41" s="422" t="str">
        <f t="shared" si="4"/>
        <v>-</v>
      </c>
      <c r="I41" s="431" t="str">
        <f t="shared" si="6"/>
        <v>-</v>
      </c>
      <c r="J41" s="422" t="str">
        <f t="shared" si="5"/>
        <v>-</v>
      </c>
      <c r="K41" s="431" t="str">
        <f t="shared" si="7"/>
        <v>-</v>
      </c>
    </row>
    <row r="42" spans="1:11" x14ac:dyDescent="0.2">
      <c r="A42" s="422">
        <f>Biodata!A44</f>
        <v>36</v>
      </c>
      <c r="B42" s="427" t="str">
        <f>Biodata!B44</f>
        <v>036</v>
      </c>
      <c r="C42" s="428" t="str">
        <f>Biodata!C44</f>
        <v>A36</v>
      </c>
      <c r="D42" s="422">
        <f t="shared" si="0"/>
        <v>0</v>
      </c>
      <c r="E42" s="422" t="str">
        <f t="shared" si="1"/>
        <v/>
      </c>
      <c r="F42" s="422">
        <f t="shared" si="2"/>
        <v>0</v>
      </c>
      <c r="G42" s="422" t="str">
        <f t="shared" si="3"/>
        <v/>
      </c>
      <c r="H42" s="422" t="str">
        <f t="shared" si="4"/>
        <v>-</v>
      </c>
      <c r="I42" s="431" t="str">
        <f t="shared" si="6"/>
        <v>-</v>
      </c>
      <c r="J42" s="422" t="str">
        <f t="shared" si="5"/>
        <v>-</v>
      </c>
      <c r="K42" s="431" t="str">
        <f t="shared" si="7"/>
        <v>-</v>
      </c>
    </row>
    <row r="43" spans="1:11" x14ac:dyDescent="0.2">
      <c r="A43" s="422">
        <f>Biodata!A45</f>
        <v>37</v>
      </c>
      <c r="B43" s="427" t="str">
        <f>Biodata!B45</f>
        <v>037</v>
      </c>
      <c r="C43" s="428" t="str">
        <f>Biodata!C45</f>
        <v>A37</v>
      </c>
      <c r="D43" s="422">
        <f t="shared" si="0"/>
        <v>0</v>
      </c>
      <c r="E43" s="422" t="str">
        <f t="shared" si="1"/>
        <v/>
      </c>
      <c r="F43" s="422">
        <f t="shared" si="2"/>
        <v>0</v>
      </c>
      <c r="G43" s="422" t="str">
        <f t="shared" si="3"/>
        <v/>
      </c>
      <c r="H43" s="422" t="str">
        <f t="shared" si="4"/>
        <v>-</v>
      </c>
      <c r="I43" s="431" t="str">
        <f t="shared" si="6"/>
        <v>-</v>
      </c>
      <c r="J43" s="422" t="str">
        <f t="shared" si="5"/>
        <v>-</v>
      </c>
      <c r="K43" s="431" t="str">
        <f t="shared" si="7"/>
        <v>-</v>
      </c>
    </row>
    <row r="44" spans="1:11" x14ac:dyDescent="0.2">
      <c r="A44" s="422">
        <f>Biodata!A46</f>
        <v>38</v>
      </c>
      <c r="B44" s="427" t="str">
        <f>Biodata!B46</f>
        <v>038</v>
      </c>
      <c r="C44" s="428" t="str">
        <f>Biodata!C46</f>
        <v>A38</v>
      </c>
      <c r="D44" s="422">
        <f t="shared" si="0"/>
        <v>0</v>
      </c>
      <c r="E44" s="422" t="str">
        <f t="shared" si="1"/>
        <v/>
      </c>
      <c r="F44" s="422">
        <f t="shared" si="2"/>
        <v>0</v>
      </c>
      <c r="G44" s="422" t="str">
        <f t="shared" si="3"/>
        <v/>
      </c>
      <c r="H44" s="422" t="str">
        <f t="shared" si="4"/>
        <v>-</v>
      </c>
      <c r="I44" s="431" t="str">
        <f t="shared" si="6"/>
        <v>-</v>
      </c>
      <c r="J44" s="422" t="str">
        <f t="shared" si="5"/>
        <v>-</v>
      </c>
      <c r="K44" s="431" t="str">
        <f t="shared" si="7"/>
        <v>-</v>
      </c>
    </row>
    <row r="45" spans="1:11" x14ac:dyDescent="0.2">
      <c r="A45" s="422">
        <f>Biodata!A47</f>
        <v>39</v>
      </c>
      <c r="B45" s="427" t="str">
        <f>Biodata!B47</f>
        <v>039</v>
      </c>
      <c r="C45" s="428" t="str">
        <f>Biodata!C47</f>
        <v>A39</v>
      </c>
      <c r="D45" s="422">
        <f t="shared" si="0"/>
        <v>0</v>
      </c>
      <c r="E45" s="422" t="str">
        <f t="shared" si="1"/>
        <v/>
      </c>
      <c r="F45" s="422">
        <f t="shared" si="2"/>
        <v>0</v>
      </c>
      <c r="G45" s="422" t="str">
        <f t="shared" si="3"/>
        <v/>
      </c>
      <c r="H45" s="422" t="str">
        <f t="shared" si="4"/>
        <v>-</v>
      </c>
      <c r="I45" s="431" t="str">
        <f t="shared" si="6"/>
        <v>-</v>
      </c>
      <c r="J45" s="422" t="str">
        <f t="shared" si="5"/>
        <v>-</v>
      </c>
      <c r="K45" s="431" t="str">
        <f t="shared" si="7"/>
        <v>-</v>
      </c>
    </row>
    <row r="46" spans="1:11" x14ac:dyDescent="0.2">
      <c r="A46" s="422">
        <f>Biodata!A48</f>
        <v>40</v>
      </c>
      <c r="B46" s="427" t="str">
        <f>Biodata!B48</f>
        <v>040</v>
      </c>
      <c r="C46" s="428" t="str">
        <f>Biodata!C48</f>
        <v>A40</v>
      </c>
      <c r="D46" s="422">
        <f t="shared" si="0"/>
        <v>0</v>
      </c>
      <c r="E46" s="422" t="str">
        <f t="shared" si="1"/>
        <v/>
      </c>
      <c r="F46" s="422">
        <f t="shared" si="2"/>
        <v>0</v>
      </c>
      <c r="G46" s="422" t="str">
        <f t="shared" si="3"/>
        <v/>
      </c>
      <c r="H46" s="422" t="str">
        <f t="shared" si="4"/>
        <v>-</v>
      </c>
      <c r="I46" s="431" t="str">
        <f t="shared" si="6"/>
        <v>-</v>
      </c>
      <c r="J46" s="422" t="str">
        <f t="shared" si="5"/>
        <v>-</v>
      </c>
      <c r="K46" s="431" t="str">
        <f t="shared" si="7"/>
        <v>-</v>
      </c>
    </row>
    <row r="47" spans="1:11" x14ac:dyDescent="0.2">
      <c r="C47" s="432"/>
    </row>
    <row r="48" spans="1:11" x14ac:dyDescent="0.2">
      <c r="C48" s="432"/>
    </row>
    <row r="49" spans="3:3" s="425" customFormat="1" x14ac:dyDescent="0.2">
      <c r="C49" s="432"/>
    </row>
    <row r="50" spans="3:3" s="425" customFormat="1" x14ac:dyDescent="0.2">
      <c r="C50" s="432"/>
    </row>
  </sheetData>
  <sheetProtection sheet="1" objects="1" scenarios="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D5" sqref="D5"/>
    </sheetView>
  </sheetViews>
  <sheetFormatPr defaultRowHeight="11.25" x14ac:dyDescent="0.2"/>
  <cols>
    <col min="1" max="1" width="3.7109375" style="422" customWidth="1"/>
    <col min="2" max="2" width="7.140625" style="422" customWidth="1"/>
    <col min="3" max="3" width="21.7109375" style="425" customWidth="1"/>
    <col min="4" max="4" width="11.85546875" style="422" customWidth="1"/>
    <col min="5" max="5" width="8" style="422" customWidth="1"/>
    <col min="6" max="6" width="12" style="422" customWidth="1"/>
    <col min="7" max="7" width="8" style="422" customWidth="1"/>
    <col min="8" max="8" width="5.28515625" style="422" customWidth="1"/>
    <col min="9" max="9" width="20.7109375" style="422" customWidth="1"/>
    <col min="10" max="10" width="6.42578125" style="422" customWidth="1"/>
    <col min="11" max="11" width="20.7109375" style="422" customWidth="1"/>
    <col min="12" max="17" width="9.140625" style="425"/>
    <col min="18" max="18" width="26.140625" style="425" customWidth="1"/>
    <col min="19" max="16384" width="9.140625" style="425"/>
  </cols>
  <sheetData>
    <row r="1" spans="1:19" x14ac:dyDescent="0.2">
      <c r="C1" s="423" t="s">
        <v>322</v>
      </c>
      <c r="D1" s="424" t="str">
        <f>Biodata!C4</f>
        <v xml:space="preserve"> X / IPS_5 </v>
      </c>
    </row>
    <row r="2" spans="1:19" x14ac:dyDescent="0.2">
      <c r="C2" s="423" t="s">
        <v>321</v>
      </c>
      <c r="D2" s="424" t="str">
        <f>Biodata!C5</f>
        <v>2 / Genap</v>
      </c>
    </row>
    <row r="3" spans="1:19" x14ac:dyDescent="0.2">
      <c r="D3" s="424"/>
    </row>
    <row r="4" spans="1:19" x14ac:dyDescent="0.2">
      <c r="C4" s="423" t="s">
        <v>320</v>
      </c>
      <c r="D4" s="424" t="str">
        <f>LEGER!H6</f>
        <v>Bahasa Indonesia</v>
      </c>
    </row>
    <row r="5" spans="1:19" x14ac:dyDescent="0.2">
      <c r="C5" s="423" t="s">
        <v>319</v>
      </c>
      <c r="D5" s="424">
        <f>RAPORT!C82</f>
        <v>70</v>
      </c>
    </row>
    <row r="6" spans="1:19" x14ac:dyDescent="0.2">
      <c r="A6" s="422" t="s">
        <v>323</v>
      </c>
      <c r="B6" s="422" t="s">
        <v>10</v>
      </c>
      <c r="C6" s="425" t="s">
        <v>324</v>
      </c>
      <c r="D6" s="422" t="s">
        <v>74</v>
      </c>
      <c r="E6" s="422" t="s">
        <v>72</v>
      </c>
      <c r="F6" s="422" t="s">
        <v>146</v>
      </c>
      <c r="G6" s="422" t="s">
        <v>72</v>
      </c>
      <c r="H6" s="422" t="s">
        <v>325</v>
      </c>
      <c r="I6" s="422" t="s">
        <v>326</v>
      </c>
      <c r="J6" s="422" t="s">
        <v>303</v>
      </c>
      <c r="K6" s="422" t="s">
        <v>326</v>
      </c>
      <c r="Q6" s="426" t="s">
        <v>72</v>
      </c>
      <c r="R6" s="426" t="s">
        <v>327</v>
      </c>
      <c r="S6" s="426" t="s">
        <v>328</v>
      </c>
    </row>
    <row r="7" spans="1:19" x14ac:dyDescent="0.2">
      <c r="A7" s="422">
        <f>Biodata!A9</f>
        <v>1</v>
      </c>
      <c r="B7" s="427" t="str">
        <f>Biodata!B9</f>
        <v>181910008</v>
      </c>
      <c r="C7" s="428" t="str">
        <f>Biodata!C9</f>
        <v>ADITA TRI KURNIA PUTRI</v>
      </c>
      <c r="D7" s="422">
        <f t="shared" ref="D7:D46" si="0">IFERROR(VLOOKUP(B7&amp;"A",leggerx1,5,0),"")</f>
        <v>0</v>
      </c>
      <c r="E7" s="422" t="str">
        <f t="shared" ref="E7:E46" si="1">IFERROR(VLOOKUP(B7&amp;"C",leggerx1,5,0),"")</f>
        <v/>
      </c>
      <c r="F7" s="422">
        <f t="shared" ref="F7:F46" si="2">IFERROR(VLOOKUP(B7&amp;"B",leggerx1,5,0),"")</f>
        <v>0</v>
      </c>
      <c r="G7" s="422" t="str">
        <f t="shared" ref="G7:G46" si="3">IFERROR(VLOOKUP(B7&amp;"D",leggerx1,5,0),"")</f>
        <v/>
      </c>
      <c r="H7" s="422">
        <f t="shared" ref="H7:H46" si="4">IFERROR(VLOOKUP(B7&amp;"A",leggerx1,20,0),"")</f>
        <v>0</v>
      </c>
      <c r="I7" s="428" t="str">
        <f>IFERROR(VLOOKUP(H7,$Q$7:$S$10,2,TRUE),"-")</f>
        <v>-</v>
      </c>
      <c r="J7" s="422">
        <f t="shared" ref="J7:J46" si="5">IFERROR(VLOOKUP(B7&amp;"A",leggerx1,21,0),"")</f>
        <v>0</v>
      </c>
      <c r="K7" s="428" t="str">
        <f>IFERROR(VLOOKUP(J7,$Q$7:$S$10,3,TRUE),"-")</f>
        <v>-</v>
      </c>
      <c r="Q7" s="426" t="s">
        <v>285</v>
      </c>
      <c r="R7" s="429" t="s">
        <v>166</v>
      </c>
      <c r="S7" s="430" t="s">
        <v>169</v>
      </c>
    </row>
    <row r="8" spans="1:19" x14ac:dyDescent="0.2">
      <c r="A8" s="422">
        <f>Biodata!A10</f>
        <v>2</v>
      </c>
      <c r="B8" s="427" t="str">
        <f>Biodata!B10</f>
        <v>181910011</v>
      </c>
      <c r="C8" s="428" t="str">
        <f>Biodata!C10</f>
        <v xml:space="preserve">ADNES KOMALA DEWI </v>
      </c>
      <c r="D8" s="422">
        <f t="shared" si="0"/>
        <v>73</v>
      </c>
      <c r="E8" s="422" t="str">
        <f t="shared" si="1"/>
        <v>C</v>
      </c>
      <c r="F8" s="422">
        <f t="shared" si="2"/>
        <v>71</v>
      </c>
      <c r="G8" s="422" t="str">
        <f t="shared" si="3"/>
        <v>C</v>
      </c>
      <c r="H8" s="422" t="str">
        <f t="shared" si="4"/>
        <v>B</v>
      </c>
      <c r="I8" s="431" t="str">
        <f t="shared" ref="I8:I46" si="6">IFERROR(VLOOKUP(H8,$Q$7:$S$10,2,TRUE),"-")</f>
        <v>Selalu bersyukur dan selalu berdoa sebelum melakukan kegiatan, memiliki toleran pada agama yang berbeda, ketaatan beribadah mulai berkembang.</v>
      </c>
      <c r="J8" s="422" t="str">
        <f t="shared" si="5"/>
        <v>B</v>
      </c>
      <c r="K8" s="431" t="str">
        <f t="shared" ref="K8:K46" si="7">IFERROR(VLOOKUP(J8,$Q$7:$S$10,3,TRUE),"-")</f>
        <v>Memiliki sikap santun, disiplin, tanggung jawab yang baik, sikap kepedulian mulai meningkat.</v>
      </c>
      <c r="Q8" s="426" t="s">
        <v>6</v>
      </c>
      <c r="R8" s="429" t="s">
        <v>167</v>
      </c>
      <c r="S8" s="430" t="s">
        <v>170</v>
      </c>
    </row>
    <row r="9" spans="1:19" x14ac:dyDescent="0.2">
      <c r="A9" s="422">
        <f>Biodata!A11</f>
        <v>3</v>
      </c>
      <c r="B9" s="427" t="str">
        <f>Biodata!B11</f>
        <v>181910014</v>
      </c>
      <c r="C9" s="428" t="str">
        <f>Biodata!C11</f>
        <v>AGUNG BUDI PRASTAWA</v>
      </c>
      <c r="D9" s="422">
        <f t="shared" si="0"/>
        <v>71</v>
      </c>
      <c r="E9" s="422" t="str">
        <f t="shared" si="1"/>
        <v>C</v>
      </c>
      <c r="F9" s="422">
        <f t="shared" si="2"/>
        <v>71</v>
      </c>
      <c r="G9" s="422" t="str">
        <f t="shared" si="3"/>
        <v>C</v>
      </c>
      <c r="H9" s="422" t="str">
        <f t="shared" si="4"/>
        <v>B</v>
      </c>
      <c r="I9" s="431" t="str">
        <f t="shared" si="6"/>
        <v>Selalu bersyukur dan selalu berdoa sebelum melakukan kegiatan, memiliki toleran pada agama yang berbeda, ketaatan beribadah mulai berkembang.</v>
      </c>
      <c r="J9" s="422" t="str">
        <f t="shared" si="5"/>
        <v>B</v>
      </c>
      <c r="K9" s="431" t="str">
        <f t="shared" si="7"/>
        <v>Memiliki sikap santun, disiplin, tanggung jawab yang baik, sikap kepedulian mulai meningkat.</v>
      </c>
      <c r="Q9" s="426" t="s">
        <v>18</v>
      </c>
      <c r="R9" s="429" t="s">
        <v>168</v>
      </c>
      <c r="S9" s="430" t="s">
        <v>171</v>
      </c>
    </row>
    <row r="10" spans="1:19" x14ac:dyDescent="0.2">
      <c r="A10" s="422">
        <f>Biodata!A12</f>
        <v>4</v>
      </c>
      <c r="B10" s="427" t="str">
        <f>Biodata!B12</f>
        <v>181910045</v>
      </c>
      <c r="C10" s="428" t="str">
        <f>Biodata!C12</f>
        <v>ARYA DYTA WIGUNA</v>
      </c>
      <c r="D10" s="422">
        <f t="shared" si="0"/>
        <v>84</v>
      </c>
      <c r="E10" s="422" t="str">
        <f t="shared" si="1"/>
        <v>B</v>
      </c>
      <c r="F10" s="422">
        <f t="shared" si="2"/>
        <v>75</v>
      </c>
      <c r="G10" s="422" t="str">
        <f t="shared" si="3"/>
        <v>C</v>
      </c>
      <c r="H10" s="422" t="str">
        <f t="shared" si="4"/>
        <v>B</v>
      </c>
      <c r="I10" s="431" t="str">
        <f t="shared" si="6"/>
        <v>Selalu bersyukur dan selalu berdoa sebelum melakukan kegiatan, memiliki toleran pada agama yang berbeda, ketaatan beribadah mulai berkembang.</v>
      </c>
      <c r="J10" s="422" t="str">
        <f t="shared" si="5"/>
        <v>SB</v>
      </c>
      <c r="K10" s="431" t="str">
        <f t="shared" si="7"/>
        <v>Memiliki sikap santun, disiplin, dan tanggung jawab cukup baik, namun sikap kepedulian perlu ditingkatkan.</v>
      </c>
      <c r="Q10" s="426" t="s">
        <v>294</v>
      </c>
      <c r="R10" s="429" t="s">
        <v>178</v>
      </c>
      <c r="S10" s="430" t="s">
        <v>179</v>
      </c>
    </row>
    <row r="11" spans="1:19" x14ac:dyDescent="0.2">
      <c r="A11" s="422">
        <f>Biodata!A13</f>
        <v>5</v>
      </c>
      <c r="B11" s="427" t="str">
        <f>Biodata!B13</f>
        <v>181910054</v>
      </c>
      <c r="C11" s="428" t="str">
        <f>Biodata!C13</f>
        <v>AZRIEL TAMA SANTIAJI</v>
      </c>
      <c r="D11" s="422">
        <f t="shared" si="0"/>
        <v>60</v>
      </c>
      <c r="E11" s="422" t="str">
        <f t="shared" si="1"/>
        <v>D</v>
      </c>
      <c r="F11" s="422">
        <f t="shared" si="2"/>
        <v>60</v>
      </c>
      <c r="G11" s="422" t="str">
        <f t="shared" si="3"/>
        <v>D</v>
      </c>
      <c r="H11" s="422" t="str">
        <f t="shared" si="4"/>
        <v>B</v>
      </c>
      <c r="I11" s="431" t="str">
        <f t="shared" si="6"/>
        <v>Selalu bersyukur dan selalu berdoa sebelum melakukan kegiatan, memiliki toleran pada agama yang berbeda, ketaatan beribadah mulai berkembang.</v>
      </c>
      <c r="J11" s="422" t="str">
        <f t="shared" si="5"/>
        <v>B</v>
      </c>
      <c r="K11" s="431" t="str">
        <f t="shared" si="7"/>
        <v>Memiliki sikap santun, disiplin, tanggung jawab yang baik, sikap kepedulian mulai meningkat.</v>
      </c>
    </row>
    <row r="12" spans="1:19" x14ac:dyDescent="0.2">
      <c r="A12" s="422">
        <f>Biodata!A14</f>
        <v>6</v>
      </c>
      <c r="B12" s="427" t="str">
        <f>Biodata!B14</f>
        <v>181910055</v>
      </c>
      <c r="C12" s="428" t="str">
        <f>Biodata!C14</f>
        <v>AZZUHRI HAUDI</v>
      </c>
      <c r="D12" s="422">
        <f t="shared" si="0"/>
        <v>77</v>
      </c>
      <c r="E12" s="422" t="str">
        <f t="shared" si="1"/>
        <v>C</v>
      </c>
      <c r="F12" s="422">
        <f t="shared" si="2"/>
        <v>75</v>
      </c>
      <c r="G12" s="422" t="str">
        <f t="shared" si="3"/>
        <v>C</v>
      </c>
      <c r="H12" s="422" t="str">
        <f t="shared" si="4"/>
        <v>B</v>
      </c>
      <c r="I12" s="431" t="str">
        <f t="shared" si="6"/>
        <v>Selalu bersyukur dan selalu berdoa sebelum melakukan kegiatan, memiliki toleran pada agama yang berbeda, ketaatan beribadah mulai berkembang.</v>
      </c>
      <c r="J12" s="422" t="str">
        <f t="shared" si="5"/>
        <v>B</v>
      </c>
      <c r="K12" s="431" t="str">
        <f t="shared" si="7"/>
        <v>Memiliki sikap santun, disiplin, tanggung jawab yang baik, sikap kepedulian mulai meningkat.</v>
      </c>
    </row>
    <row r="13" spans="1:19" x14ac:dyDescent="0.2">
      <c r="A13" s="422">
        <f>Biodata!A15</f>
        <v>7</v>
      </c>
      <c r="B13" s="427" t="str">
        <f>Biodata!B15</f>
        <v>181910056</v>
      </c>
      <c r="C13" s="428" t="str">
        <f>Biodata!C15</f>
        <v>BAYU BATARA SURYA PUTRA</v>
      </c>
      <c r="D13" s="422">
        <f t="shared" si="0"/>
        <v>71</v>
      </c>
      <c r="E13" s="422" t="str">
        <f t="shared" si="1"/>
        <v>C</v>
      </c>
      <c r="F13" s="422">
        <f t="shared" si="2"/>
        <v>71</v>
      </c>
      <c r="G13" s="422" t="str">
        <f t="shared" si="3"/>
        <v>C</v>
      </c>
      <c r="H13" s="422" t="str">
        <f t="shared" si="4"/>
        <v>B</v>
      </c>
      <c r="I13" s="431" t="str">
        <f t="shared" si="6"/>
        <v>Selalu bersyukur dan selalu berdoa sebelum melakukan kegiatan, memiliki toleran pada agama yang berbeda, ketaatan beribadah mulai berkembang.</v>
      </c>
      <c r="J13" s="422" t="str">
        <f t="shared" si="5"/>
        <v>B</v>
      </c>
      <c r="K13" s="431" t="str">
        <f t="shared" si="7"/>
        <v>Memiliki sikap santun, disiplin, tanggung jawab yang baik, sikap kepedulian mulai meningkat.</v>
      </c>
    </row>
    <row r="14" spans="1:19" x14ac:dyDescent="0.2">
      <c r="A14" s="422">
        <f>Biodata!A16</f>
        <v>8</v>
      </c>
      <c r="B14" s="427" t="str">
        <f>Biodata!B16</f>
        <v>181910069</v>
      </c>
      <c r="C14" s="428" t="str">
        <f>Biodata!C16</f>
        <v>DANDY ERVAN PRATAMA</v>
      </c>
      <c r="D14" s="422">
        <f t="shared" si="0"/>
        <v>56</v>
      </c>
      <c r="E14" s="422" t="str">
        <f t="shared" si="1"/>
        <v>D</v>
      </c>
      <c r="F14" s="422">
        <f t="shared" si="2"/>
        <v>55</v>
      </c>
      <c r="G14" s="422" t="str">
        <f t="shared" si="3"/>
        <v>D</v>
      </c>
      <c r="H14" s="422" t="str">
        <f t="shared" si="4"/>
        <v>B</v>
      </c>
      <c r="I14" s="431" t="str">
        <f t="shared" si="6"/>
        <v>Selalu bersyukur dan selalu berdoa sebelum melakukan kegiatan, memiliki toleran pada agama yang berbeda, ketaatan beribadah mulai berkembang.</v>
      </c>
      <c r="J14" s="422" t="str">
        <f t="shared" si="5"/>
        <v>B</v>
      </c>
      <c r="K14" s="431" t="str">
        <f t="shared" si="7"/>
        <v>Memiliki sikap santun, disiplin, tanggung jawab yang baik, sikap kepedulian mulai meningkat.</v>
      </c>
    </row>
    <row r="15" spans="1:19" x14ac:dyDescent="0.2">
      <c r="A15" s="422">
        <f>Biodata!A17</f>
        <v>9</v>
      </c>
      <c r="B15" s="427" t="str">
        <f>Biodata!B17</f>
        <v>181910085</v>
      </c>
      <c r="C15" s="428" t="str">
        <f>Biodata!C17</f>
        <v>DENISA ASTI RAHMAWATI</v>
      </c>
      <c r="D15" s="422">
        <f t="shared" si="0"/>
        <v>75</v>
      </c>
      <c r="E15" s="422" t="str">
        <f t="shared" si="1"/>
        <v>C</v>
      </c>
      <c r="F15" s="422">
        <f t="shared" si="2"/>
        <v>74</v>
      </c>
      <c r="G15" s="422" t="str">
        <f t="shared" si="3"/>
        <v>C</v>
      </c>
      <c r="H15" s="422" t="str">
        <f t="shared" si="4"/>
        <v>B</v>
      </c>
      <c r="I15" s="431" t="str">
        <f t="shared" si="6"/>
        <v>Selalu bersyukur dan selalu berdoa sebelum melakukan kegiatan, memiliki toleran pada agama yang berbeda, ketaatan beribadah mulai berkembang.</v>
      </c>
      <c r="J15" s="422" t="str">
        <f t="shared" si="5"/>
        <v>B</v>
      </c>
      <c r="K15" s="431" t="str">
        <f t="shared" si="7"/>
        <v>Memiliki sikap santun, disiplin, tanggung jawab yang baik, sikap kepedulian mulai meningkat.</v>
      </c>
    </row>
    <row r="16" spans="1:19" x14ac:dyDescent="0.2">
      <c r="A16" s="422">
        <f>Biodata!A18</f>
        <v>10</v>
      </c>
      <c r="B16" s="427" t="str">
        <f>Biodata!B18</f>
        <v>181910093</v>
      </c>
      <c r="C16" s="428" t="str">
        <f>Biodata!C18</f>
        <v>DIAN RAMDHAN SAPTIAN</v>
      </c>
      <c r="D16" s="422">
        <f t="shared" si="0"/>
        <v>70</v>
      </c>
      <c r="E16" s="422" t="str">
        <f t="shared" si="1"/>
        <v>C</v>
      </c>
      <c r="F16" s="422">
        <f t="shared" si="2"/>
        <v>70</v>
      </c>
      <c r="G16" s="422" t="str">
        <f t="shared" si="3"/>
        <v>C</v>
      </c>
      <c r="H16" s="422" t="str">
        <f t="shared" si="4"/>
        <v>B</v>
      </c>
      <c r="I16" s="431" t="str">
        <f t="shared" si="6"/>
        <v>Selalu bersyukur dan selalu berdoa sebelum melakukan kegiatan, memiliki toleran pada agama yang berbeda, ketaatan beribadah mulai berkembang.</v>
      </c>
      <c r="J16" s="422" t="str">
        <f t="shared" si="5"/>
        <v>B</v>
      </c>
      <c r="K16" s="431" t="str">
        <f t="shared" si="7"/>
        <v>Memiliki sikap santun, disiplin, tanggung jawab yang baik, sikap kepedulian mulai meningkat.</v>
      </c>
    </row>
    <row r="17" spans="1:11" x14ac:dyDescent="0.2">
      <c r="A17" s="422">
        <f>Biodata!A19</f>
        <v>11</v>
      </c>
      <c r="B17" s="427" t="str">
        <f>Biodata!B19</f>
        <v>181910103</v>
      </c>
      <c r="C17" s="428" t="str">
        <f>Biodata!C19</f>
        <v>DIVYA ADHIANI NURDIN</v>
      </c>
      <c r="D17" s="422">
        <f t="shared" si="0"/>
        <v>80</v>
      </c>
      <c r="E17" s="422" t="str">
        <f t="shared" si="1"/>
        <v>B</v>
      </c>
      <c r="F17" s="422">
        <f t="shared" si="2"/>
        <v>72</v>
      </c>
      <c r="G17" s="422" t="str">
        <f t="shared" si="3"/>
        <v>C</v>
      </c>
      <c r="H17" s="422" t="str">
        <f t="shared" si="4"/>
        <v>B</v>
      </c>
      <c r="I17" s="431" t="str">
        <f t="shared" si="6"/>
        <v>Selalu bersyukur dan selalu berdoa sebelum melakukan kegiatan, memiliki toleran pada agama yang berbeda, ketaatan beribadah mulai berkembang.</v>
      </c>
      <c r="J17" s="422" t="str">
        <f t="shared" si="5"/>
        <v>B</v>
      </c>
      <c r="K17" s="431" t="str">
        <f t="shared" si="7"/>
        <v>Memiliki sikap santun, disiplin, tanggung jawab yang baik, sikap kepedulian mulai meningkat.</v>
      </c>
    </row>
    <row r="18" spans="1:11" x14ac:dyDescent="0.2">
      <c r="A18" s="422">
        <f>Biodata!A20</f>
        <v>12</v>
      </c>
      <c r="B18" s="427" t="str">
        <f>Biodata!B20</f>
        <v>181910104</v>
      </c>
      <c r="C18" s="428" t="str">
        <f>Biodata!C20</f>
        <v>DWIKI DERMAWAN</v>
      </c>
      <c r="D18" s="422">
        <f t="shared" si="0"/>
        <v>67</v>
      </c>
      <c r="E18" s="422" t="str">
        <f t="shared" si="1"/>
        <v>D</v>
      </c>
      <c r="F18" s="422">
        <f t="shared" si="2"/>
        <v>61</v>
      </c>
      <c r="G18" s="422" t="str">
        <f t="shared" si="3"/>
        <v>D</v>
      </c>
      <c r="H18" s="422" t="str">
        <f t="shared" si="4"/>
        <v>B</v>
      </c>
      <c r="I18" s="431" t="str">
        <f t="shared" si="6"/>
        <v>Selalu bersyukur dan selalu berdoa sebelum melakukan kegiatan, memiliki toleran pada agama yang berbeda, ketaatan beribadah mulai berkembang.</v>
      </c>
      <c r="J18" s="422" t="str">
        <f t="shared" si="5"/>
        <v>B</v>
      </c>
      <c r="K18" s="431" t="str">
        <f t="shared" si="7"/>
        <v>Memiliki sikap santun, disiplin, tanggung jawab yang baik, sikap kepedulian mulai meningkat.</v>
      </c>
    </row>
    <row r="19" spans="1:11" x14ac:dyDescent="0.2">
      <c r="A19" s="422">
        <f>Biodata!A21</f>
        <v>13</v>
      </c>
      <c r="B19" s="427" t="str">
        <f>Biodata!B21</f>
        <v>181910118</v>
      </c>
      <c r="C19" s="428" t="str">
        <f>Biodata!C21</f>
        <v>ENCEP CANDRA</v>
      </c>
      <c r="D19" s="422">
        <f t="shared" si="0"/>
        <v>75</v>
      </c>
      <c r="E19" s="422" t="str">
        <f t="shared" si="1"/>
        <v>C</v>
      </c>
      <c r="F19" s="422">
        <f t="shared" si="2"/>
        <v>72</v>
      </c>
      <c r="G19" s="422" t="str">
        <f t="shared" si="3"/>
        <v>C</v>
      </c>
      <c r="H19" s="422" t="str">
        <f t="shared" si="4"/>
        <v>B</v>
      </c>
      <c r="I19" s="431" t="str">
        <f t="shared" si="6"/>
        <v>Selalu bersyukur dan selalu berdoa sebelum melakukan kegiatan, memiliki toleran pada agama yang berbeda, ketaatan beribadah mulai berkembang.</v>
      </c>
      <c r="J19" s="422" t="str">
        <f t="shared" si="5"/>
        <v>B</v>
      </c>
      <c r="K19" s="431" t="str">
        <f t="shared" si="7"/>
        <v>Memiliki sikap santun, disiplin, tanggung jawab yang baik, sikap kepedulian mulai meningkat.</v>
      </c>
    </row>
    <row r="20" spans="1:11" x14ac:dyDescent="0.2">
      <c r="A20" s="422">
        <f>Biodata!A22</f>
        <v>14</v>
      </c>
      <c r="B20" s="427" t="str">
        <f>Biodata!B22</f>
        <v>181910128</v>
      </c>
      <c r="C20" s="428" t="str">
        <f>Biodata!C22</f>
        <v>FAIZAL EGI</v>
      </c>
      <c r="D20" s="422">
        <f t="shared" si="0"/>
        <v>68</v>
      </c>
      <c r="E20" s="422" t="str">
        <f t="shared" si="1"/>
        <v>D</v>
      </c>
      <c r="F20" s="422">
        <f t="shared" si="2"/>
        <v>66</v>
      </c>
      <c r="G20" s="422" t="str">
        <f t="shared" si="3"/>
        <v>D</v>
      </c>
      <c r="H20" s="422" t="str">
        <f t="shared" si="4"/>
        <v>B</v>
      </c>
      <c r="I20" s="431" t="str">
        <f t="shared" si="6"/>
        <v>Selalu bersyukur dan selalu berdoa sebelum melakukan kegiatan, memiliki toleran pada agama yang berbeda, ketaatan beribadah mulai berkembang.</v>
      </c>
      <c r="J20" s="422" t="str">
        <f t="shared" si="5"/>
        <v>B</v>
      </c>
      <c r="K20" s="431" t="str">
        <f t="shared" si="7"/>
        <v>Memiliki sikap santun, disiplin, tanggung jawab yang baik, sikap kepedulian mulai meningkat.</v>
      </c>
    </row>
    <row r="21" spans="1:11" x14ac:dyDescent="0.2">
      <c r="A21" s="422">
        <f>Biodata!A23</f>
        <v>15</v>
      </c>
      <c r="B21" s="427" t="str">
        <f>Biodata!B23</f>
        <v>181910133</v>
      </c>
      <c r="C21" s="428" t="str">
        <f>Biodata!C23</f>
        <v>FAUZI DHALFADLIL AZHANI</v>
      </c>
      <c r="D21" s="422">
        <f t="shared" si="0"/>
        <v>70</v>
      </c>
      <c r="E21" s="422" t="str">
        <f t="shared" si="1"/>
        <v>C</v>
      </c>
      <c r="F21" s="422">
        <f t="shared" si="2"/>
        <v>70</v>
      </c>
      <c r="G21" s="422" t="str">
        <f t="shared" si="3"/>
        <v>C</v>
      </c>
      <c r="H21" s="422" t="str">
        <f t="shared" si="4"/>
        <v>B</v>
      </c>
      <c r="I21" s="431" t="str">
        <f t="shared" si="6"/>
        <v>Selalu bersyukur dan selalu berdoa sebelum melakukan kegiatan, memiliki toleran pada agama yang berbeda, ketaatan beribadah mulai berkembang.</v>
      </c>
      <c r="J21" s="422" t="str">
        <f t="shared" si="5"/>
        <v>B</v>
      </c>
      <c r="K21" s="431" t="str">
        <f t="shared" si="7"/>
        <v>Memiliki sikap santun, disiplin, tanggung jawab yang baik, sikap kepedulian mulai meningkat.</v>
      </c>
    </row>
    <row r="22" spans="1:11" x14ac:dyDescent="0.2">
      <c r="A22" s="422">
        <f>Biodata!A24</f>
        <v>16</v>
      </c>
      <c r="B22" s="427" t="str">
        <f>Biodata!B24</f>
        <v>181910161</v>
      </c>
      <c r="C22" s="428" t="str">
        <f>Biodata!C24</f>
        <v>HILMAN PUTRA PAMUNGKAS</v>
      </c>
      <c r="D22" s="422">
        <f t="shared" si="0"/>
        <v>80</v>
      </c>
      <c r="E22" s="422" t="str">
        <f t="shared" si="1"/>
        <v>B</v>
      </c>
      <c r="F22" s="422">
        <f t="shared" si="2"/>
        <v>82</v>
      </c>
      <c r="G22" s="422" t="str">
        <f t="shared" si="3"/>
        <v>B</v>
      </c>
      <c r="H22" s="422" t="str">
        <f t="shared" si="4"/>
        <v>B</v>
      </c>
      <c r="I22" s="431" t="str">
        <f t="shared" si="6"/>
        <v>Selalu bersyukur dan selalu berdoa sebelum melakukan kegiatan, memiliki toleran pada agama yang berbeda, ketaatan beribadah mulai berkembang.</v>
      </c>
      <c r="J22" s="422" t="str">
        <f t="shared" si="5"/>
        <v>B</v>
      </c>
      <c r="K22" s="431" t="str">
        <f t="shared" si="7"/>
        <v>Memiliki sikap santun, disiplin, tanggung jawab yang baik, sikap kepedulian mulai meningkat.</v>
      </c>
    </row>
    <row r="23" spans="1:11" x14ac:dyDescent="0.2">
      <c r="A23" s="422">
        <f>Biodata!A25</f>
        <v>17</v>
      </c>
      <c r="B23" s="427" t="str">
        <f>Biodata!B25</f>
        <v>181910165</v>
      </c>
      <c r="C23" s="428" t="str">
        <f>Biodata!C25</f>
        <v>IHSYA FADILLAH MUSLIM</v>
      </c>
      <c r="D23" s="422">
        <f t="shared" si="0"/>
        <v>70</v>
      </c>
      <c r="E23" s="422" t="str">
        <f t="shared" si="1"/>
        <v>C</v>
      </c>
      <c r="F23" s="422">
        <f t="shared" si="2"/>
        <v>70</v>
      </c>
      <c r="G23" s="422" t="str">
        <f t="shared" si="3"/>
        <v>C</v>
      </c>
      <c r="H23" s="422" t="str">
        <f t="shared" si="4"/>
        <v>B</v>
      </c>
      <c r="I23" s="431" t="str">
        <f t="shared" si="6"/>
        <v>Selalu bersyukur dan selalu berdoa sebelum melakukan kegiatan, memiliki toleran pada agama yang berbeda, ketaatan beribadah mulai berkembang.</v>
      </c>
      <c r="J23" s="422" t="str">
        <f t="shared" si="5"/>
        <v>B</v>
      </c>
      <c r="K23" s="431" t="str">
        <f t="shared" si="7"/>
        <v>Memiliki sikap santun, disiplin, tanggung jawab yang baik, sikap kepedulian mulai meningkat.</v>
      </c>
    </row>
    <row r="24" spans="1:11" x14ac:dyDescent="0.2">
      <c r="A24" s="422">
        <f>Biodata!A26</f>
        <v>18</v>
      </c>
      <c r="B24" s="427" t="str">
        <f>Biodata!B26</f>
        <v>181910185</v>
      </c>
      <c r="C24" s="428" t="str">
        <f>Biodata!C26</f>
        <v>JIHAD AKBAR</v>
      </c>
      <c r="D24" s="422">
        <f t="shared" si="0"/>
        <v>68</v>
      </c>
      <c r="E24" s="422" t="str">
        <f t="shared" si="1"/>
        <v>D</v>
      </c>
      <c r="F24" s="422">
        <f t="shared" si="2"/>
        <v>69</v>
      </c>
      <c r="G24" s="422" t="str">
        <f t="shared" si="3"/>
        <v>D</v>
      </c>
      <c r="H24" s="422" t="str">
        <f t="shared" si="4"/>
        <v>B</v>
      </c>
      <c r="I24" s="431" t="str">
        <f t="shared" si="6"/>
        <v>Selalu bersyukur dan selalu berdoa sebelum melakukan kegiatan, memiliki toleran pada agama yang berbeda, ketaatan beribadah mulai berkembang.</v>
      </c>
      <c r="J24" s="422" t="str">
        <f t="shared" si="5"/>
        <v>B</v>
      </c>
      <c r="K24" s="431" t="str">
        <f t="shared" si="7"/>
        <v>Memiliki sikap santun, disiplin, tanggung jawab yang baik, sikap kepedulian mulai meningkat.</v>
      </c>
    </row>
    <row r="25" spans="1:11" x14ac:dyDescent="0.2">
      <c r="A25" s="422">
        <f>Biodata!A27</f>
        <v>19</v>
      </c>
      <c r="B25" s="427" t="str">
        <f>Biodata!B27</f>
        <v>181910226</v>
      </c>
      <c r="C25" s="428" t="str">
        <f>Biodata!C27</f>
        <v>MUHAMAD IZZAZUL FIKRIAN</v>
      </c>
      <c r="D25" s="422">
        <f t="shared" si="0"/>
        <v>0</v>
      </c>
      <c r="E25" s="422" t="str">
        <f t="shared" si="1"/>
        <v/>
      </c>
      <c r="F25" s="422">
        <f t="shared" si="2"/>
        <v>0</v>
      </c>
      <c r="G25" s="422" t="str">
        <f t="shared" si="3"/>
        <v/>
      </c>
      <c r="H25" s="422" t="str">
        <f t="shared" si="4"/>
        <v>-</v>
      </c>
      <c r="I25" s="431" t="str">
        <f t="shared" si="6"/>
        <v>-</v>
      </c>
      <c r="J25" s="422" t="str">
        <f t="shared" si="5"/>
        <v>-</v>
      </c>
      <c r="K25" s="431" t="str">
        <f t="shared" si="7"/>
        <v>-</v>
      </c>
    </row>
    <row r="26" spans="1:11" x14ac:dyDescent="0.2">
      <c r="A26" s="422">
        <f>Biodata!A28</f>
        <v>20</v>
      </c>
      <c r="B26" s="427" t="str">
        <f>Biodata!B28</f>
        <v>181910433</v>
      </c>
      <c r="C26" s="428" t="str">
        <f>Biodata!C28</f>
        <v>MUHAMAD RIZAL</v>
      </c>
      <c r="D26" s="422">
        <f t="shared" si="0"/>
        <v>70</v>
      </c>
      <c r="E26" s="422" t="str">
        <f t="shared" si="1"/>
        <v>C</v>
      </c>
      <c r="F26" s="422">
        <f t="shared" si="2"/>
        <v>70</v>
      </c>
      <c r="G26" s="422" t="str">
        <f t="shared" si="3"/>
        <v>C</v>
      </c>
      <c r="H26" s="422" t="str">
        <f t="shared" si="4"/>
        <v>B</v>
      </c>
      <c r="I26" s="431" t="str">
        <f t="shared" si="6"/>
        <v>Selalu bersyukur dan selalu berdoa sebelum melakukan kegiatan, memiliki toleran pada agama yang berbeda, ketaatan beribadah mulai berkembang.</v>
      </c>
      <c r="J26" s="422" t="str">
        <f t="shared" si="5"/>
        <v>B</v>
      </c>
      <c r="K26" s="431" t="str">
        <f t="shared" si="7"/>
        <v>Memiliki sikap santun, disiplin, tanggung jawab yang baik, sikap kepedulian mulai meningkat.</v>
      </c>
    </row>
    <row r="27" spans="1:11" x14ac:dyDescent="0.2">
      <c r="A27" s="422">
        <f>Biodata!A29</f>
        <v>21</v>
      </c>
      <c r="B27" s="427" t="str">
        <f>Biodata!B29</f>
        <v>181910240</v>
      </c>
      <c r="C27" s="428" t="str">
        <f>Biodata!C29</f>
        <v>NESHA RAUDHATUL ZANNAH</v>
      </c>
      <c r="D27" s="422">
        <f t="shared" si="0"/>
        <v>81</v>
      </c>
      <c r="E27" s="422" t="str">
        <f t="shared" si="1"/>
        <v>B</v>
      </c>
      <c r="F27" s="422">
        <f t="shared" si="2"/>
        <v>80</v>
      </c>
      <c r="G27" s="422" t="str">
        <f t="shared" si="3"/>
        <v>B</v>
      </c>
      <c r="H27" s="422" t="str">
        <f t="shared" si="4"/>
        <v>B</v>
      </c>
      <c r="I27" s="431" t="str">
        <f t="shared" si="6"/>
        <v>Selalu bersyukur dan selalu berdoa sebelum melakukan kegiatan, memiliki toleran pada agama yang berbeda, ketaatan beribadah mulai berkembang.</v>
      </c>
      <c r="J27" s="422" t="str">
        <f t="shared" si="5"/>
        <v>B</v>
      </c>
      <c r="K27" s="431" t="str">
        <f t="shared" si="7"/>
        <v>Memiliki sikap santun, disiplin, tanggung jawab yang baik, sikap kepedulian mulai meningkat.</v>
      </c>
    </row>
    <row r="28" spans="1:11" x14ac:dyDescent="0.2">
      <c r="A28" s="422">
        <f>Biodata!A30</f>
        <v>22</v>
      </c>
      <c r="B28" s="427" t="str">
        <f>Biodata!B30</f>
        <v>181910262</v>
      </c>
      <c r="C28" s="428" t="str">
        <f>Biodata!C30</f>
        <v>PUTRI ANGGRAENI</v>
      </c>
      <c r="D28" s="422">
        <f t="shared" si="0"/>
        <v>75</v>
      </c>
      <c r="E28" s="422" t="str">
        <f t="shared" si="1"/>
        <v>C</v>
      </c>
      <c r="F28" s="422">
        <f t="shared" si="2"/>
        <v>71</v>
      </c>
      <c r="G28" s="422" t="str">
        <f t="shared" si="3"/>
        <v>C</v>
      </c>
      <c r="H28" s="422" t="str">
        <f t="shared" si="4"/>
        <v>B</v>
      </c>
      <c r="I28" s="431" t="str">
        <f t="shared" si="6"/>
        <v>Selalu bersyukur dan selalu berdoa sebelum melakukan kegiatan, memiliki toleran pada agama yang berbeda, ketaatan beribadah mulai berkembang.</v>
      </c>
      <c r="J28" s="422" t="str">
        <f t="shared" si="5"/>
        <v>B</v>
      </c>
      <c r="K28" s="431" t="str">
        <f t="shared" si="7"/>
        <v>Memiliki sikap santun, disiplin, tanggung jawab yang baik, sikap kepedulian mulai meningkat.</v>
      </c>
    </row>
    <row r="29" spans="1:11" x14ac:dyDescent="0.2">
      <c r="A29" s="422">
        <f>Biodata!A31</f>
        <v>23</v>
      </c>
      <c r="B29" s="427" t="str">
        <f>Biodata!B31</f>
        <v>181910266</v>
      </c>
      <c r="C29" s="428" t="str">
        <f>Biodata!C31</f>
        <v>PUTRI WULANDARI</v>
      </c>
      <c r="D29" s="422">
        <f t="shared" si="0"/>
        <v>80</v>
      </c>
      <c r="E29" s="422" t="str">
        <f t="shared" si="1"/>
        <v>B</v>
      </c>
      <c r="F29" s="422">
        <f t="shared" si="2"/>
        <v>75</v>
      </c>
      <c r="G29" s="422" t="str">
        <f t="shared" si="3"/>
        <v>C</v>
      </c>
      <c r="H29" s="422" t="str">
        <f t="shared" si="4"/>
        <v>B</v>
      </c>
      <c r="I29" s="431" t="str">
        <f t="shared" si="6"/>
        <v>Selalu bersyukur dan selalu berdoa sebelum melakukan kegiatan, memiliki toleran pada agama yang berbeda, ketaatan beribadah mulai berkembang.</v>
      </c>
      <c r="J29" s="422" t="str">
        <f t="shared" si="5"/>
        <v>B</v>
      </c>
      <c r="K29" s="431" t="str">
        <f t="shared" si="7"/>
        <v>Memiliki sikap santun, disiplin, tanggung jawab yang baik, sikap kepedulian mulai meningkat.</v>
      </c>
    </row>
    <row r="30" spans="1:11" x14ac:dyDescent="0.2">
      <c r="A30" s="422">
        <f>Biodata!A32</f>
        <v>24</v>
      </c>
      <c r="B30" s="427" t="str">
        <f>Biodata!B32</f>
        <v>181910272</v>
      </c>
      <c r="C30" s="428" t="str">
        <f>Biodata!C32</f>
        <v>RAFLY GYMNASTIAR</v>
      </c>
      <c r="D30" s="422">
        <f t="shared" si="0"/>
        <v>67</v>
      </c>
      <c r="E30" s="422" t="str">
        <f t="shared" si="1"/>
        <v>D</v>
      </c>
      <c r="F30" s="422">
        <f t="shared" si="2"/>
        <v>60</v>
      </c>
      <c r="G30" s="422" t="str">
        <f t="shared" si="3"/>
        <v>D</v>
      </c>
      <c r="H30" s="422" t="str">
        <f t="shared" si="4"/>
        <v>B</v>
      </c>
      <c r="I30" s="431" t="str">
        <f t="shared" si="6"/>
        <v>Selalu bersyukur dan selalu berdoa sebelum melakukan kegiatan, memiliki toleran pada agama yang berbeda, ketaatan beribadah mulai berkembang.</v>
      </c>
      <c r="J30" s="422" t="str">
        <f t="shared" si="5"/>
        <v>B</v>
      </c>
      <c r="K30" s="431" t="str">
        <f t="shared" si="7"/>
        <v>Memiliki sikap santun, disiplin, tanggung jawab yang baik, sikap kepedulian mulai meningkat.</v>
      </c>
    </row>
    <row r="31" spans="1:11" x14ac:dyDescent="0.2">
      <c r="A31" s="422">
        <f>Biodata!A33</f>
        <v>25</v>
      </c>
      <c r="B31" s="427" t="str">
        <f>Biodata!B33</f>
        <v>181910280</v>
      </c>
      <c r="C31" s="428" t="str">
        <f>Biodata!C33</f>
        <v>REFIANA</v>
      </c>
      <c r="D31" s="422">
        <f t="shared" si="0"/>
        <v>66</v>
      </c>
      <c r="E31" s="422" t="str">
        <f t="shared" si="1"/>
        <v>D</v>
      </c>
      <c r="F31" s="422">
        <f t="shared" si="2"/>
        <v>61</v>
      </c>
      <c r="G31" s="422" t="str">
        <f t="shared" si="3"/>
        <v>D</v>
      </c>
      <c r="H31" s="422" t="str">
        <f t="shared" si="4"/>
        <v>B</v>
      </c>
      <c r="I31" s="431" t="str">
        <f t="shared" si="6"/>
        <v>Selalu bersyukur dan selalu berdoa sebelum melakukan kegiatan, memiliki toleran pada agama yang berbeda, ketaatan beribadah mulai berkembang.</v>
      </c>
      <c r="J31" s="422" t="str">
        <f t="shared" si="5"/>
        <v>B</v>
      </c>
      <c r="K31" s="431" t="str">
        <f t="shared" si="7"/>
        <v>Memiliki sikap santun, disiplin, tanggung jawab yang baik, sikap kepedulian mulai meningkat.</v>
      </c>
    </row>
    <row r="32" spans="1:11" x14ac:dyDescent="0.2">
      <c r="A32" s="422">
        <f>Biodata!A34</f>
        <v>26</v>
      </c>
      <c r="B32" s="427" t="str">
        <f>Biodata!B34</f>
        <v>181910285</v>
      </c>
      <c r="C32" s="428" t="str">
        <f>Biodata!C34</f>
        <v>RENALDI PRIYATAMA</v>
      </c>
      <c r="D32" s="422">
        <f t="shared" si="0"/>
        <v>60</v>
      </c>
      <c r="E32" s="422" t="str">
        <f t="shared" si="1"/>
        <v>D</v>
      </c>
      <c r="F32" s="422">
        <f t="shared" si="2"/>
        <v>50</v>
      </c>
      <c r="G32" s="422" t="str">
        <f t="shared" si="3"/>
        <v>D</v>
      </c>
      <c r="H32" s="422" t="str">
        <f t="shared" si="4"/>
        <v>B</v>
      </c>
      <c r="I32" s="431" t="str">
        <f t="shared" si="6"/>
        <v>Selalu bersyukur dan selalu berdoa sebelum melakukan kegiatan, memiliki toleran pada agama yang berbeda, ketaatan beribadah mulai berkembang.</v>
      </c>
      <c r="J32" s="422" t="str">
        <f t="shared" si="5"/>
        <v>B</v>
      </c>
      <c r="K32" s="431" t="str">
        <f t="shared" si="7"/>
        <v>Memiliki sikap santun, disiplin, tanggung jawab yang baik, sikap kepedulian mulai meningkat.</v>
      </c>
    </row>
    <row r="33" spans="1:11" x14ac:dyDescent="0.2">
      <c r="A33" s="422">
        <f>Biodata!A35</f>
        <v>27</v>
      </c>
      <c r="B33" s="427" t="str">
        <f>Biodata!B35</f>
        <v>181910286</v>
      </c>
      <c r="C33" s="428" t="str">
        <f>Biodata!C35</f>
        <v>RENATA</v>
      </c>
      <c r="D33" s="422">
        <f t="shared" si="0"/>
        <v>83</v>
      </c>
      <c r="E33" s="422" t="str">
        <f t="shared" si="1"/>
        <v>B</v>
      </c>
      <c r="F33" s="422">
        <f t="shared" si="2"/>
        <v>81</v>
      </c>
      <c r="G33" s="422" t="str">
        <f t="shared" si="3"/>
        <v>B</v>
      </c>
      <c r="H33" s="422" t="str">
        <f t="shared" si="4"/>
        <v>B</v>
      </c>
      <c r="I33" s="431" t="str">
        <f t="shared" si="6"/>
        <v>Selalu bersyukur dan selalu berdoa sebelum melakukan kegiatan, memiliki toleran pada agama yang berbeda, ketaatan beribadah mulai berkembang.</v>
      </c>
      <c r="J33" s="422" t="str">
        <f t="shared" si="5"/>
        <v>B</v>
      </c>
      <c r="K33" s="431" t="str">
        <f t="shared" si="7"/>
        <v>Memiliki sikap santun, disiplin, tanggung jawab yang baik, sikap kepedulian mulai meningkat.</v>
      </c>
    </row>
    <row r="34" spans="1:11" x14ac:dyDescent="0.2">
      <c r="A34" s="422">
        <f>Biodata!A36</f>
        <v>28</v>
      </c>
      <c r="B34" s="427" t="str">
        <f>Biodata!B36</f>
        <v>181910293</v>
      </c>
      <c r="C34" s="428" t="str">
        <f>Biodata!C36</f>
        <v xml:space="preserve">REZA ERNANDA </v>
      </c>
      <c r="D34" s="422">
        <f t="shared" si="0"/>
        <v>86</v>
      </c>
      <c r="E34" s="422" t="str">
        <f t="shared" si="1"/>
        <v>B</v>
      </c>
      <c r="F34" s="422">
        <f t="shared" si="2"/>
        <v>83</v>
      </c>
      <c r="G34" s="422" t="str">
        <f t="shared" si="3"/>
        <v>B</v>
      </c>
      <c r="H34" s="422" t="str">
        <f t="shared" si="4"/>
        <v>B</v>
      </c>
      <c r="I34" s="431" t="str">
        <f t="shared" si="6"/>
        <v>Selalu bersyukur dan selalu berdoa sebelum melakukan kegiatan, memiliki toleran pada agama yang berbeda, ketaatan beribadah mulai berkembang.</v>
      </c>
      <c r="J34" s="422" t="str">
        <f t="shared" si="5"/>
        <v>B</v>
      </c>
      <c r="K34" s="431" t="str">
        <f t="shared" si="7"/>
        <v>Memiliki sikap santun, disiplin, tanggung jawab yang baik, sikap kepedulian mulai meningkat.</v>
      </c>
    </row>
    <row r="35" spans="1:11" x14ac:dyDescent="0.2">
      <c r="A35" s="422">
        <f>Biodata!A37</f>
        <v>29</v>
      </c>
      <c r="B35" s="427" t="str">
        <f>Biodata!B37</f>
        <v>181910300</v>
      </c>
      <c r="C35" s="428" t="str">
        <f>Biodata!C37</f>
        <v>RIFAN MUHAMAD RIZKI</v>
      </c>
      <c r="D35" s="422">
        <f t="shared" si="0"/>
        <v>0</v>
      </c>
      <c r="E35" s="422" t="str">
        <f t="shared" si="1"/>
        <v/>
      </c>
      <c r="F35" s="422">
        <f t="shared" si="2"/>
        <v>0</v>
      </c>
      <c r="G35" s="422" t="str">
        <f t="shared" si="3"/>
        <v/>
      </c>
      <c r="H35" s="422" t="str">
        <f t="shared" si="4"/>
        <v>-</v>
      </c>
      <c r="I35" s="431" t="str">
        <f t="shared" si="6"/>
        <v>-</v>
      </c>
      <c r="J35" s="422" t="str">
        <f t="shared" si="5"/>
        <v>-</v>
      </c>
      <c r="K35" s="431" t="str">
        <f t="shared" si="7"/>
        <v>-</v>
      </c>
    </row>
    <row r="36" spans="1:11" x14ac:dyDescent="0.2">
      <c r="A36" s="422">
        <f>Biodata!A38</f>
        <v>30</v>
      </c>
      <c r="B36" s="427" t="str">
        <f>Biodata!B38</f>
        <v>181910318</v>
      </c>
      <c r="C36" s="428" t="str">
        <f>Biodata!C38</f>
        <v>RISMA SURYANI</v>
      </c>
      <c r="D36" s="422">
        <f t="shared" si="0"/>
        <v>81</v>
      </c>
      <c r="E36" s="422" t="str">
        <f t="shared" si="1"/>
        <v>B</v>
      </c>
      <c r="F36" s="422">
        <f t="shared" si="2"/>
        <v>82</v>
      </c>
      <c r="G36" s="422" t="str">
        <f t="shared" si="3"/>
        <v>B</v>
      </c>
      <c r="H36" s="422" t="str">
        <f t="shared" si="4"/>
        <v>B</v>
      </c>
      <c r="I36" s="431" t="str">
        <f t="shared" si="6"/>
        <v>Selalu bersyukur dan selalu berdoa sebelum melakukan kegiatan, memiliki toleran pada agama yang berbeda, ketaatan beribadah mulai berkembang.</v>
      </c>
      <c r="J36" s="422" t="str">
        <f t="shared" si="5"/>
        <v>B</v>
      </c>
      <c r="K36" s="431" t="str">
        <f t="shared" si="7"/>
        <v>Memiliki sikap santun, disiplin, tanggung jawab yang baik, sikap kepedulian mulai meningkat.</v>
      </c>
    </row>
    <row r="37" spans="1:11" x14ac:dyDescent="0.2">
      <c r="A37" s="422">
        <f>Biodata!A39</f>
        <v>31</v>
      </c>
      <c r="B37" s="427" t="str">
        <f>Biodata!B39</f>
        <v>181910320</v>
      </c>
      <c r="C37" s="428" t="str">
        <f>Biodata!C39</f>
        <v>RISNA TIRANI</v>
      </c>
      <c r="D37" s="422">
        <f t="shared" si="0"/>
        <v>85</v>
      </c>
      <c r="E37" s="422" t="str">
        <f t="shared" si="1"/>
        <v>B</v>
      </c>
      <c r="F37" s="422">
        <f t="shared" si="2"/>
        <v>84</v>
      </c>
      <c r="G37" s="422" t="str">
        <f t="shared" si="3"/>
        <v>B</v>
      </c>
      <c r="H37" s="422" t="str">
        <f t="shared" si="4"/>
        <v>SB</v>
      </c>
      <c r="I37" s="431" t="str">
        <f t="shared" si="6"/>
        <v>Selalu bersyukur dan selalu berdoa sebelum melakukan kegiatan, memiliki toleran pada agama yang berbeda, namun ketaatan beribadah perlu ditingkatkan lagi.</v>
      </c>
      <c r="J37" s="422" t="str">
        <f t="shared" si="5"/>
        <v>SB</v>
      </c>
      <c r="K37" s="431" t="str">
        <f t="shared" si="7"/>
        <v>Memiliki sikap santun, disiplin, dan tanggung jawab cukup baik, namun sikap kepedulian perlu ditingkatkan.</v>
      </c>
    </row>
    <row r="38" spans="1:11" x14ac:dyDescent="0.2">
      <c r="A38" s="422">
        <f>Biodata!A40</f>
        <v>32</v>
      </c>
      <c r="B38" s="427" t="str">
        <f>Biodata!B40</f>
        <v>181910331</v>
      </c>
      <c r="C38" s="428" t="str">
        <f>Biodata!C40</f>
        <v>RULLY PRATAMA S.</v>
      </c>
      <c r="D38" s="422">
        <f t="shared" si="0"/>
        <v>80</v>
      </c>
      <c r="E38" s="422" t="str">
        <f t="shared" si="1"/>
        <v>B</v>
      </c>
      <c r="F38" s="422">
        <f t="shared" si="2"/>
        <v>85</v>
      </c>
      <c r="G38" s="422" t="str">
        <f t="shared" si="3"/>
        <v>B</v>
      </c>
      <c r="H38" s="422" t="str">
        <f t="shared" si="4"/>
        <v>B</v>
      </c>
      <c r="I38" s="431" t="str">
        <f t="shared" si="6"/>
        <v>Selalu bersyukur dan selalu berdoa sebelum melakukan kegiatan, memiliki toleran pada agama yang berbeda, ketaatan beribadah mulai berkembang.</v>
      </c>
      <c r="J38" s="422" t="str">
        <f t="shared" si="5"/>
        <v>B</v>
      </c>
      <c r="K38" s="431" t="str">
        <f t="shared" si="7"/>
        <v>Memiliki sikap santun, disiplin, tanggung jawab yang baik, sikap kepedulian mulai meningkat.</v>
      </c>
    </row>
    <row r="39" spans="1:11" x14ac:dyDescent="0.2">
      <c r="A39" s="422">
        <f>Biodata!A41</f>
        <v>33</v>
      </c>
      <c r="B39" s="427" t="str">
        <f>Biodata!B41</f>
        <v>181910335</v>
      </c>
      <c r="C39" s="428" t="str">
        <f>Biodata!C41</f>
        <v>SALSA ASYKIYA</v>
      </c>
      <c r="D39" s="422">
        <f t="shared" si="0"/>
        <v>86</v>
      </c>
      <c r="E39" s="422" t="str">
        <f t="shared" si="1"/>
        <v>B</v>
      </c>
      <c r="F39" s="422">
        <f t="shared" si="2"/>
        <v>87</v>
      </c>
      <c r="G39" s="422" t="str">
        <f t="shared" si="3"/>
        <v>B</v>
      </c>
      <c r="H39" s="422" t="str">
        <f t="shared" si="4"/>
        <v>SB</v>
      </c>
      <c r="I39" s="431" t="str">
        <f t="shared" si="6"/>
        <v>Selalu bersyukur dan selalu berdoa sebelum melakukan kegiatan, memiliki toleran pada agama yang berbeda, namun ketaatan beribadah perlu ditingkatkan lagi.</v>
      </c>
      <c r="J39" s="422" t="str">
        <f t="shared" si="5"/>
        <v>B</v>
      </c>
      <c r="K39" s="431" t="str">
        <f t="shared" si="7"/>
        <v>Memiliki sikap santun, disiplin, tanggung jawab yang baik, sikap kepedulian mulai meningkat.</v>
      </c>
    </row>
    <row r="40" spans="1:11" x14ac:dyDescent="0.2">
      <c r="A40" s="422">
        <f>Biodata!A42</f>
        <v>34</v>
      </c>
      <c r="B40" s="427" t="str">
        <f>Biodata!B42</f>
        <v>181910353</v>
      </c>
      <c r="C40" s="428" t="str">
        <f>Biodata!C42</f>
        <v>SILFI HAMIDAH</v>
      </c>
      <c r="D40" s="422">
        <f t="shared" si="0"/>
        <v>80</v>
      </c>
      <c r="E40" s="422" t="str">
        <f t="shared" si="1"/>
        <v>B</v>
      </c>
      <c r="F40" s="422">
        <f t="shared" si="2"/>
        <v>80</v>
      </c>
      <c r="G40" s="422" t="str">
        <f t="shared" si="3"/>
        <v>B</v>
      </c>
      <c r="H40" s="422" t="str">
        <f t="shared" si="4"/>
        <v>SB</v>
      </c>
      <c r="I40" s="431" t="str">
        <f t="shared" si="6"/>
        <v>Selalu bersyukur dan selalu berdoa sebelum melakukan kegiatan, memiliki toleran pada agama yang berbeda, namun ketaatan beribadah perlu ditingkatkan lagi.</v>
      </c>
      <c r="J40" s="422" t="str">
        <f t="shared" si="5"/>
        <v>SB</v>
      </c>
      <c r="K40" s="431" t="str">
        <f t="shared" si="7"/>
        <v>Memiliki sikap santun, disiplin, dan tanggung jawab cukup baik, namun sikap kepedulian perlu ditingkatkan.</v>
      </c>
    </row>
    <row r="41" spans="1:11" x14ac:dyDescent="0.2">
      <c r="A41" s="422">
        <f>Biodata!A43</f>
        <v>35</v>
      </c>
      <c r="B41" s="427" t="str">
        <f>Biodata!B43</f>
        <v>181910408</v>
      </c>
      <c r="C41" s="428" t="str">
        <f>Biodata!C43</f>
        <v>YESHA RAHAYU</v>
      </c>
      <c r="D41" s="422">
        <f t="shared" si="0"/>
        <v>0</v>
      </c>
      <c r="E41" s="422" t="str">
        <f t="shared" si="1"/>
        <v/>
      </c>
      <c r="F41" s="422">
        <f t="shared" si="2"/>
        <v>0</v>
      </c>
      <c r="G41" s="422" t="str">
        <f t="shared" si="3"/>
        <v/>
      </c>
      <c r="H41" s="422" t="str">
        <f t="shared" si="4"/>
        <v>-</v>
      </c>
      <c r="I41" s="431" t="str">
        <f t="shared" si="6"/>
        <v>-</v>
      </c>
      <c r="J41" s="422" t="str">
        <f t="shared" si="5"/>
        <v>-</v>
      </c>
      <c r="K41" s="431" t="str">
        <f t="shared" si="7"/>
        <v>-</v>
      </c>
    </row>
    <row r="42" spans="1:11" x14ac:dyDescent="0.2">
      <c r="A42" s="422">
        <f>Biodata!A44</f>
        <v>36</v>
      </c>
      <c r="B42" s="427" t="str">
        <f>Biodata!B44</f>
        <v>036</v>
      </c>
      <c r="C42" s="428" t="str">
        <f>Biodata!C44</f>
        <v>A36</v>
      </c>
      <c r="D42" s="422">
        <f t="shared" si="0"/>
        <v>0</v>
      </c>
      <c r="E42" s="422" t="str">
        <f t="shared" si="1"/>
        <v/>
      </c>
      <c r="F42" s="422">
        <f t="shared" si="2"/>
        <v>0</v>
      </c>
      <c r="G42" s="422" t="str">
        <f t="shared" si="3"/>
        <v/>
      </c>
      <c r="H42" s="422" t="str">
        <f t="shared" si="4"/>
        <v>-</v>
      </c>
      <c r="I42" s="431" t="str">
        <f t="shared" si="6"/>
        <v>-</v>
      </c>
      <c r="J42" s="422" t="str">
        <f t="shared" si="5"/>
        <v>-</v>
      </c>
      <c r="K42" s="431" t="str">
        <f t="shared" si="7"/>
        <v>-</v>
      </c>
    </row>
    <row r="43" spans="1:11" x14ac:dyDescent="0.2">
      <c r="A43" s="422">
        <f>Biodata!A45</f>
        <v>37</v>
      </c>
      <c r="B43" s="427" t="str">
        <f>Biodata!B45</f>
        <v>037</v>
      </c>
      <c r="C43" s="428" t="str">
        <f>Biodata!C45</f>
        <v>A37</v>
      </c>
      <c r="D43" s="422">
        <f t="shared" si="0"/>
        <v>0</v>
      </c>
      <c r="E43" s="422" t="str">
        <f t="shared" si="1"/>
        <v/>
      </c>
      <c r="F43" s="422">
        <f t="shared" si="2"/>
        <v>0</v>
      </c>
      <c r="G43" s="422" t="str">
        <f t="shared" si="3"/>
        <v/>
      </c>
      <c r="H43" s="422" t="str">
        <f t="shared" si="4"/>
        <v>-</v>
      </c>
      <c r="I43" s="431" t="str">
        <f t="shared" si="6"/>
        <v>-</v>
      </c>
      <c r="J43" s="422" t="str">
        <f t="shared" si="5"/>
        <v>-</v>
      </c>
      <c r="K43" s="431" t="str">
        <f t="shared" si="7"/>
        <v>-</v>
      </c>
    </row>
    <row r="44" spans="1:11" x14ac:dyDescent="0.2">
      <c r="A44" s="422">
        <f>Biodata!A46</f>
        <v>38</v>
      </c>
      <c r="B44" s="427" t="str">
        <f>Biodata!B46</f>
        <v>038</v>
      </c>
      <c r="C44" s="428" t="str">
        <f>Biodata!C46</f>
        <v>A38</v>
      </c>
      <c r="D44" s="422">
        <f t="shared" si="0"/>
        <v>0</v>
      </c>
      <c r="E44" s="422" t="str">
        <f t="shared" si="1"/>
        <v/>
      </c>
      <c r="F44" s="422">
        <f t="shared" si="2"/>
        <v>0</v>
      </c>
      <c r="G44" s="422" t="str">
        <f t="shared" si="3"/>
        <v/>
      </c>
      <c r="H44" s="422" t="str">
        <f t="shared" si="4"/>
        <v>-</v>
      </c>
      <c r="I44" s="431" t="str">
        <f t="shared" si="6"/>
        <v>-</v>
      </c>
      <c r="J44" s="422" t="str">
        <f t="shared" si="5"/>
        <v>-</v>
      </c>
      <c r="K44" s="431" t="str">
        <f t="shared" si="7"/>
        <v>-</v>
      </c>
    </row>
    <row r="45" spans="1:11" x14ac:dyDescent="0.2">
      <c r="A45" s="422">
        <f>Biodata!A47</f>
        <v>39</v>
      </c>
      <c r="B45" s="427" t="str">
        <f>Biodata!B47</f>
        <v>039</v>
      </c>
      <c r="C45" s="428" t="str">
        <f>Biodata!C47</f>
        <v>A39</v>
      </c>
      <c r="D45" s="422">
        <f t="shared" si="0"/>
        <v>0</v>
      </c>
      <c r="E45" s="422" t="str">
        <f t="shared" si="1"/>
        <v/>
      </c>
      <c r="F45" s="422">
        <f t="shared" si="2"/>
        <v>0</v>
      </c>
      <c r="G45" s="422" t="str">
        <f t="shared" si="3"/>
        <v/>
      </c>
      <c r="H45" s="422" t="str">
        <f t="shared" si="4"/>
        <v>-</v>
      </c>
      <c r="I45" s="431" t="str">
        <f t="shared" si="6"/>
        <v>-</v>
      </c>
      <c r="J45" s="422" t="str">
        <f t="shared" si="5"/>
        <v>-</v>
      </c>
      <c r="K45" s="431" t="str">
        <f t="shared" si="7"/>
        <v>-</v>
      </c>
    </row>
    <row r="46" spans="1:11" x14ac:dyDescent="0.2">
      <c r="A46" s="422">
        <f>Biodata!A48</f>
        <v>40</v>
      </c>
      <c r="B46" s="427" t="str">
        <f>Biodata!B48</f>
        <v>040</v>
      </c>
      <c r="C46" s="428" t="str">
        <f>Biodata!C48</f>
        <v>A40</v>
      </c>
      <c r="D46" s="422">
        <f t="shared" si="0"/>
        <v>0</v>
      </c>
      <c r="E46" s="422" t="str">
        <f t="shared" si="1"/>
        <v/>
      </c>
      <c r="F46" s="422">
        <f t="shared" si="2"/>
        <v>0</v>
      </c>
      <c r="G46" s="422" t="str">
        <f t="shared" si="3"/>
        <v/>
      </c>
      <c r="H46" s="422" t="str">
        <f t="shared" si="4"/>
        <v>-</v>
      </c>
      <c r="I46" s="431" t="str">
        <f t="shared" si="6"/>
        <v>-</v>
      </c>
      <c r="J46" s="422" t="str">
        <f t="shared" si="5"/>
        <v>-</v>
      </c>
      <c r="K46" s="431" t="str">
        <f t="shared" si="7"/>
        <v>-</v>
      </c>
    </row>
    <row r="47" spans="1:11" x14ac:dyDescent="0.2">
      <c r="C47" s="432"/>
    </row>
    <row r="48" spans="1:11" x14ac:dyDescent="0.2">
      <c r="C48" s="432"/>
    </row>
    <row r="49" spans="3:3" s="425" customFormat="1" x14ac:dyDescent="0.2">
      <c r="C49" s="432"/>
    </row>
    <row r="50" spans="3:3" s="425" customFormat="1" x14ac:dyDescent="0.2">
      <c r="C50" s="432"/>
    </row>
  </sheetData>
  <sheetProtection sheet="1" objects="1" scenarios="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activeCell="N32" sqref="N32"/>
    </sheetView>
  </sheetViews>
  <sheetFormatPr defaultRowHeight="11.25" x14ac:dyDescent="0.2"/>
  <cols>
    <col min="1" max="1" width="3.7109375" style="422" customWidth="1"/>
    <col min="2" max="2" width="7.140625" style="422" customWidth="1"/>
    <col min="3" max="3" width="21.7109375" style="425" customWidth="1"/>
    <col min="4" max="4" width="11.85546875" style="422" customWidth="1"/>
    <col min="5" max="5" width="8" style="422" customWidth="1"/>
    <col min="6" max="6" width="12" style="422" customWidth="1"/>
    <col min="7" max="7" width="8" style="422" customWidth="1"/>
    <col min="8" max="16384" width="9.140625" style="425"/>
  </cols>
  <sheetData>
    <row r="1" spans="1:7" x14ac:dyDescent="0.2">
      <c r="C1" s="423" t="s">
        <v>322</v>
      </c>
      <c r="D1" s="424" t="str">
        <f>Biodata!C4</f>
        <v xml:space="preserve"> X / IPS_5 </v>
      </c>
    </row>
    <row r="2" spans="1:7" x14ac:dyDescent="0.2">
      <c r="C2" s="423" t="s">
        <v>321</v>
      </c>
      <c r="D2" s="424" t="str">
        <f>Biodata!C5</f>
        <v>2 / Genap</v>
      </c>
    </row>
    <row r="3" spans="1:7" x14ac:dyDescent="0.2">
      <c r="D3" s="424"/>
    </row>
    <row r="4" spans="1:7" x14ac:dyDescent="0.2">
      <c r="C4" s="423" t="s">
        <v>320</v>
      </c>
      <c r="D4" s="424" t="str">
        <f>LEGER!I6</f>
        <v>Matematika</v>
      </c>
    </row>
    <row r="5" spans="1:7" x14ac:dyDescent="0.2">
      <c r="C5" s="423" t="s">
        <v>319</v>
      </c>
      <c r="D5" s="424">
        <f>RAPORT!C82</f>
        <v>70</v>
      </c>
    </row>
    <row r="6" spans="1:7" x14ac:dyDescent="0.2">
      <c r="A6" s="422" t="s">
        <v>323</v>
      </c>
      <c r="B6" s="422" t="s">
        <v>10</v>
      </c>
      <c r="C6" s="425" t="s">
        <v>324</v>
      </c>
      <c r="D6" s="422" t="s">
        <v>74</v>
      </c>
      <c r="E6" s="422" t="s">
        <v>72</v>
      </c>
      <c r="F6" s="422" t="s">
        <v>146</v>
      </c>
      <c r="G6" s="422" t="s">
        <v>72</v>
      </c>
    </row>
    <row r="7" spans="1:7" x14ac:dyDescent="0.2">
      <c r="A7" s="422">
        <f>Biodata!A9</f>
        <v>1</v>
      </c>
      <c r="B7" s="427" t="str">
        <f>Biodata!B9</f>
        <v>181910008</v>
      </c>
      <c r="C7" s="428" t="str">
        <f>Biodata!C9</f>
        <v>ADITA TRI KURNIA PUTRI</v>
      </c>
      <c r="D7" s="422">
        <f t="shared" ref="D7:D46" si="0">IFERROR(VLOOKUP(B7&amp;"A",leggerx1,6,0),"")</f>
        <v>0</v>
      </c>
      <c r="E7" s="422" t="str">
        <f t="shared" ref="E7:E46" si="1">IFERROR(VLOOKUP(B7&amp;"C",leggerx1,6,0),"")</f>
        <v/>
      </c>
      <c r="F7" s="422">
        <f t="shared" ref="F7:F46" si="2">IFERROR(VLOOKUP(B7&amp;"B",leggerx1,6,0),"")</f>
        <v>0</v>
      </c>
      <c r="G7" s="422" t="str">
        <f t="shared" ref="G7:G46" si="3">IFERROR(VLOOKUP(B7&amp;"D",leggerx1,6,0),"")</f>
        <v/>
      </c>
    </row>
    <row r="8" spans="1:7" x14ac:dyDescent="0.2">
      <c r="A8" s="422">
        <f>Biodata!A10</f>
        <v>2</v>
      </c>
      <c r="B8" s="427" t="str">
        <f>Biodata!B10</f>
        <v>181910011</v>
      </c>
      <c r="C8" s="428" t="str">
        <f>Biodata!C10</f>
        <v xml:space="preserve">ADNES KOMALA DEWI </v>
      </c>
      <c r="D8" s="422">
        <f t="shared" si="0"/>
        <v>65</v>
      </c>
      <c r="E8" s="422" t="str">
        <f t="shared" si="1"/>
        <v>D</v>
      </c>
      <c r="F8" s="422">
        <f t="shared" si="2"/>
        <v>70</v>
      </c>
      <c r="G8" s="422" t="str">
        <f t="shared" si="3"/>
        <v>C</v>
      </c>
    </row>
    <row r="9" spans="1:7" x14ac:dyDescent="0.2">
      <c r="A9" s="422">
        <f>Biodata!A11</f>
        <v>3</v>
      </c>
      <c r="B9" s="427" t="str">
        <f>Biodata!B11</f>
        <v>181910014</v>
      </c>
      <c r="C9" s="428" t="str">
        <f>Biodata!C11</f>
        <v>AGUNG BUDI PRASTAWA</v>
      </c>
      <c r="D9" s="422">
        <f t="shared" si="0"/>
        <v>54</v>
      </c>
      <c r="E9" s="422" t="str">
        <f t="shared" si="1"/>
        <v>D</v>
      </c>
      <c r="F9" s="422">
        <f t="shared" si="2"/>
        <v>50</v>
      </c>
      <c r="G9" s="422" t="str">
        <f t="shared" si="3"/>
        <v>D</v>
      </c>
    </row>
    <row r="10" spans="1:7" x14ac:dyDescent="0.2">
      <c r="A10" s="422">
        <f>Biodata!A12</f>
        <v>4</v>
      </c>
      <c r="B10" s="427" t="str">
        <f>Biodata!B12</f>
        <v>181910045</v>
      </c>
      <c r="C10" s="428" t="str">
        <f>Biodata!C12</f>
        <v>ARYA DYTA WIGUNA</v>
      </c>
      <c r="D10" s="422">
        <f t="shared" si="0"/>
        <v>75</v>
      </c>
      <c r="E10" s="422" t="str">
        <f t="shared" si="1"/>
        <v>C</v>
      </c>
      <c r="F10" s="422">
        <f t="shared" si="2"/>
        <v>80</v>
      </c>
      <c r="G10" s="422" t="str">
        <f t="shared" si="3"/>
        <v>B</v>
      </c>
    </row>
    <row r="11" spans="1:7" x14ac:dyDescent="0.2">
      <c r="A11" s="422">
        <f>Biodata!A13</f>
        <v>5</v>
      </c>
      <c r="B11" s="427" t="str">
        <f>Biodata!B13</f>
        <v>181910054</v>
      </c>
      <c r="C11" s="428" t="str">
        <f>Biodata!C13</f>
        <v>AZRIEL TAMA SANTIAJI</v>
      </c>
      <c r="D11" s="422">
        <f t="shared" si="0"/>
        <v>34</v>
      </c>
      <c r="E11" s="422" t="str">
        <f t="shared" si="1"/>
        <v>D</v>
      </c>
      <c r="F11" s="422">
        <f t="shared" si="2"/>
        <v>56</v>
      </c>
      <c r="G11" s="422" t="str">
        <f t="shared" si="3"/>
        <v>D</v>
      </c>
    </row>
    <row r="12" spans="1:7" x14ac:dyDescent="0.2">
      <c r="A12" s="422">
        <f>Biodata!A14</f>
        <v>6</v>
      </c>
      <c r="B12" s="427" t="str">
        <f>Biodata!B14</f>
        <v>181910055</v>
      </c>
      <c r="C12" s="428" t="str">
        <f>Biodata!C14</f>
        <v>AZZUHRI HAUDI</v>
      </c>
      <c r="D12" s="422">
        <f t="shared" si="0"/>
        <v>66</v>
      </c>
      <c r="E12" s="422" t="str">
        <f t="shared" si="1"/>
        <v>D</v>
      </c>
      <c r="F12" s="422">
        <f t="shared" si="2"/>
        <v>65</v>
      </c>
      <c r="G12" s="422" t="str">
        <f t="shared" si="3"/>
        <v>D</v>
      </c>
    </row>
    <row r="13" spans="1:7" x14ac:dyDescent="0.2">
      <c r="A13" s="422">
        <f>Biodata!A15</f>
        <v>7</v>
      </c>
      <c r="B13" s="427" t="str">
        <f>Biodata!B15</f>
        <v>181910056</v>
      </c>
      <c r="C13" s="428" t="str">
        <f>Biodata!C15</f>
        <v>BAYU BATARA SURYA PUTRA</v>
      </c>
      <c r="D13" s="422">
        <f t="shared" si="0"/>
        <v>65</v>
      </c>
      <c r="E13" s="422" t="str">
        <f t="shared" si="1"/>
        <v>D</v>
      </c>
      <c r="F13" s="422">
        <f t="shared" si="2"/>
        <v>65</v>
      </c>
      <c r="G13" s="422" t="str">
        <f t="shared" si="3"/>
        <v>D</v>
      </c>
    </row>
    <row r="14" spans="1:7" x14ac:dyDescent="0.2">
      <c r="A14" s="422">
        <f>Biodata!A16</f>
        <v>8</v>
      </c>
      <c r="B14" s="427" t="str">
        <f>Biodata!B16</f>
        <v>181910069</v>
      </c>
      <c r="C14" s="428" t="str">
        <f>Biodata!C16</f>
        <v>DANDY ERVAN PRATAMA</v>
      </c>
      <c r="D14" s="422">
        <f t="shared" si="0"/>
        <v>35</v>
      </c>
      <c r="E14" s="422" t="str">
        <f t="shared" si="1"/>
        <v>D</v>
      </c>
      <c r="F14" s="422">
        <f t="shared" si="2"/>
        <v>45</v>
      </c>
      <c r="G14" s="422" t="str">
        <f t="shared" si="3"/>
        <v>D</v>
      </c>
    </row>
    <row r="15" spans="1:7" x14ac:dyDescent="0.2">
      <c r="A15" s="422">
        <f>Biodata!A17</f>
        <v>9</v>
      </c>
      <c r="B15" s="427" t="str">
        <f>Biodata!B17</f>
        <v>181910085</v>
      </c>
      <c r="C15" s="428" t="str">
        <f>Biodata!C17</f>
        <v>DENISA ASTI RAHMAWATI</v>
      </c>
      <c r="D15" s="422">
        <f t="shared" si="0"/>
        <v>68</v>
      </c>
      <c r="E15" s="422" t="str">
        <f t="shared" si="1"/>
        <v>D</v>
      </c>
      <c r="F15" s="422">
        <f t="shared" si="2"/>
        <v>74</v>
      </c>
      <c r="G15" s="422" t="str">
        <f t="shared" si="3"/>
        <v>C</v>
      </c>
    </row>
    <row r="16" spans="1:7" x14ac:dyDescent="0.2">
      <c r="A16" s="422">
        <f>Biodata!A18</f>
        <v>10</v>
      </c>
      <c r="B16" s="427" t="str">
        <f>Biodata!B18</f>
        <v>181910093</v>
      </c>
      <c r="C16" s="428" t="str">
        <f>Biodata!C18</f>
        <v>DIAN RAMDHAN SAPTIAN</v>
      </c>
      <c r="D16" s="422">
        <f t="shared" si="0"/>
        <v>57</v>
      </c>
      <c r="E16" s="422" t="str">
        <f t="shared" si="1"/>
        <v>D</v>
      </c>
      <c r="F16" s="422">
        <f t="shared" si="2"/>
        <v>67</v>
      </c>
      <c r="G16" s="422" t="str">
        <f t="shared" si="3"/>
        <v>D</v>
      </c>
    </row>
    <row r="17" spans="1:7" x14ac:dyDescent="0.2">
      <c r="A17" s="422">
        <f>Biodata!A19</f>
        <v>11</v>
      </c>
      <c r="B17" s="427" t="str">
        <f>Biodata!B19</f>
        <v>181910103</v>
      </c>
      <c r="C17" s="428" t="str">
        <f>Biodata!C19</f>
        <v>DIVYA ADHIANI NURDIN</v>
      </c>
      <c r="D17" s="422">
        <f t="shared" si="0"/>
        <v>77</v>
      </c>
      <c r="E17" s="422" t="str">
        <f t="shared" si="1"/>
        <v>C</v>
      </c>
      <c r="F17" s="422">
        <f t="shared" si="2"/>
        <v>73</v>
      </c>
      <c r="G17" s="422" t="str">
        <f t="shared" si="3"/>
        <v>C</v>
      </c>
    </row>
    <row r="18" spans="1:7" x14ac:dyDescent="0.2">
      <c r="A18" s="422">
        <f>Biodata!A20</f>
        <v>12</v>
      </c>
      <c r="B18" s="427" t="str">
        <f>Biodata!B20</f>
        <v>181910104</v>
      </c>
      <c r="C18" s="428" t="str">
        <f>Biodata!C20</f>
        <v>DWIKI DERMAWAN</v>
      </c>
      <c r="D18" s="422">
        <f t="shared" si="0"/>
        <v>52</v>
      </c>
      <c r="E18" s="422" t="str">
        <f t="shared" si="1"/>
        <v>D</v>
      </c>
      <c r="F18" s="422">
        <f t="shared" si="2"/>
        <v>56</v>
      </c>
      <c r="G18" s="422" t="str">
        <f t="shared" si="3"/>
        <v>D</v>
      </c>
    </row>
    <row r="19" spans="1:7" x14ac:dyDescent="0.2">
      <c r="A19" s="422">
        <f>Biodata!A21</f>
        <v>13</v>
      </c>
      <c r="B19" s="427" t="str">
        <f>Biodata!B21</f>
        <v>181910118</v>
      </c>
      <c r="C19" s="428" t="str">
        <f>Biodata!C21</f>
        <v>ENCEP CANDRA</v>
      </c>
      <c r="D19" s="422">
        <f t="shared" si="0"/>
        <v>71</v>
      </c>
      <c r="E19" s="422" t="str">
        <f t="shared" si="1"/>
        <v>C</v>
      </c>
      <c r="F19" s="422">
        <f t="shared" si="2"/>
        <v>75</v>
      </c>
      <c r="G19" s="422" t="str">
        <f t="shared" si="3"/>
        <v>C</v>
      </c>
    </row>
    <row r="20" spans="1:7" x14ac:dyDescent="0.2">
      <c r="A20" s="422">
        <f>Biodata!A22</f>
        <v>14</v>
      </c>
      <c r="B20" s="427" t="str">
        <f>Biodata!B22</f>
        <v>181910128</v>
      </c>
      <c r="C20" s="428" t="str">
        <f>Biodata!C22</f>
        <v>FAIZAL EGI</v>
      </c>
      <c r="D20" s="422">
        <f t="shared" si="0"/>
        <v>36</v>
      </c>
      <c r="E20" s="422" t="str">
        <f t="shared" si="1"/>
        <v>D</v>
      </c>
      <c r="F20" s="422">
        <f t="shared" si="2"/>
        <v>45</v>
      </c>
      <c r="G20" s="422" t="str">
        <f t="shared" si="3"/>
        <v>D</v>
      </c>
    </row>
    <row r="21" spans="1:7" x14ac:dyDescent="0.2">
      <c r="A21" s="422">
        <f>Biodata!A23</f>
        <v>15</v>
      </c>
      <c r="B21" s="427" t="str">
        <f>Biodata!B23</f>
        <v>181910133</v>
      </c>
      <c r="C21" s="428" t="str">
        <f>Biodata!C23</f>
        <v>FAUZI DHALFADLIL AZHANI</v>
      </c>
      <c r="D21" s="422">
        <f t="shared" si="0"/>
        <v>52</v>
      </c>
      <c r="E21" s="422" t="str">
        <f t="shared" si="1"/>
        <v>D</v>
      </c>
      <c r="F21" s="422">
        <f t="shared" si="2"/>
        <v>56</v>
      </c>
      <c r="G21" s="422" t="str">
        <f t="shared" si="3"/>
        <v>D</v>
      </c>
    </row>
    <row r="22" spans="1:7" x14ac:dyDescent="0.2">
      <c r="A22" s="422">
        <f>Biodata!A24</f>
        <v>16</v>
      </c>
      <c r="B22" s="427" t="str">
        <f>Biodata!B24</f>
        <v>181910161</v>
      </c>
      <c r="C22" s="428" t="str">
        <f>Biodata!C24</f>
        <v>HILMAN PUTRA PAMUNGKAS</v>
      </c>
      <c r="D22" s="422">
        <f t="shared" si="0"/>
        <v>77</v>
      </c>
      <c r="E22" s="422" t="str">
        <f t="shared" si="1"/>
        <v>C</v>
      </c>
      <c r="F22" s="422">
        <f t="shared" si="2"/>
        <v>79</v>
      </c>
      <c r="G22" s="422" t="str">
        <f t="shared" si="3"/>
        <v>C</v>
      </c>
    </row>
    <row r="23" spans="1:7" x14ac:dyDescent="0.2">
      <c r="A23" s="422">
        <f>Biodata!A25</f>
        <v>17</v>
      </c>
      <c r="B23" s="427" t="str">
        <f>Biodata!B25</f>
        <v>181910165</v>
      </c>
      <c r="C23" s="428" t="str">
        <f>Biodata!C25</f>
        <v>IHSYA FADILLAH MUSLIM</v>
      </c>
      <c r="D23" s="422">
        <f t="shared" si="0"/>
        <v>66</v>
      </c>
      <c r="E23" s="422" t="str">
        <f t="shared" si="1"/>
        <v>D</v>
      </c>
      <c r="F23" s="422">
        <f t="shared" si="2"/>
        <v>70</v>
      </c>
      <c r="G23" s="422" t="str">
        <f t="shared" si="3"/>
        <v>C</v>
      </c>
    </row>
    <row r="24" spans="1:7" x14ac:dyDescent="0.2">
      <c r="A24" s="422">
        <f>Biodata!A26</f>
        <v>18</v>
      </c>
      <c r="B24" s="427" t="str">
        <f>Biodata!B26</f>
        <v>181910185</v>
      </c>
      <c r="C24" s="428" t="str">
        <f>Biodata!C26</f>
        <v>JIHAD AKBAR</v>
      </c>
      <c r="D24" s="422">
        <f t="shared" si="0"/>
        <v>47</v>
      </c>
      <c r="E24" s="422" t="str">
        <f t="shared" si="1"/>
        <v>D</v>
      </c>
      <c r="F24" s="422">
        <f t="shared" si="2"/>
        <v>45</v>
      </c>
      <c r="G24" s="422" t="str">
        <f t="shared" si="3"/>
        <v>D</v>
      </c>
    </row>
    <row r="25" spans="1:7" x14ac:dyDescent="0.2">
      <c r="A25" s="422">
        <f>Biodata!A27</f>
        <v>19</v>
      </c>
      <c r="B25" s="427" t="str">
        <f>Biodata!B27</f>
        <v>181910226</v>
      </c>
      <c r="C25" s="428" t="str">
        <f>Biodata!C27</f>
        <v>MUHAMAD IZZAZUL FIKRIAN</v>
      </c>
      <c r="D25" s="422">
        <f t="shared" si="0"/>
        <v>0</v>
      </c>
      <c r="E25" s="422" t="str">
        <f t="shared" si="1"/>
        <v/>
      </c>
      <c r="F25" s="422">
        <f t="shared" si="2"/>
        <v>0</v>
      </c>
      <c r="G25" s="422" t="str">
        <f t="shared" si="3"/>
        <v/>
      </c>
    </row>
    <row r="26" spans="1:7" x14ac:dyDescent="0.2">
      <c r="A26" s="422">
        <f>Biodata!A28</f>
        <v>20</v>
      </c>
      <c r="B26" s="427" t="str">
        <f>Biodata!B28</f>
        <v>181910433</v>
      </c>
      <c r="C26" s="428" t="str">
        <f>Biodata!C28</f>
        <v>MUHAMAD RIZAL</v>
      </c>
      <c r="D26" s="422">
        <f t="shared" si="0"/>
        <v>50</v>
      </c>
      <c r="E26" s="422" t="str">
        <f t="shared" si="1"/>
        <v>D</v>
      </c>
      <c r="F26" s="422">
        <f t="shared" si="2"/>
        <v>45</v>
      </c>
      <c r="G26" s="422" t="str">
        <f t="shared" si="3"/>
        <v>D</v>
      </c>
    </row>
    <row r="27" spans="1:7" x14ac:dyDescent="0.2">
      <c r="A27" s="422">
        <f>Biodata!A29</f>
        <v>21</v>
      </c>
      <c r="B27" s="427" t="str">
        <f>Biodata!B29</f>
        <v>181910240</v>
      </c>
      <c r="C27" s="428" t="str">
        <f>Biodata!C29</f>
        <v>NESHA RAUDHATUL ZANNAH</v>
      </c>
      <c r="D27" s="422">
        <f t="shared" si="0"/>
        <v>74</v>
      </c>
      <c r="E27" s="422" t="str">
        <f t="shared" si="1"/>
        <v>C</v>
      </c>
      <c r="F27" s="422">
        <f t="shared" si="2"/>
        <v>70</v>
      </c>
      <c r="G27" s="422" t="str">
        <f t="shared" si="3"/>
        <v>C</v>
      </c>
    </row>
    <row r="28" spans="1:7" x14ac:dyDescent="0.2">
      <c r="A28" s="422">
        <f>Biodata!A30</f>
        <v>22</v>
      </c>
      <c r="B28" s="427" t="str">
        <f>Biodata!B30</f>
        <v>181910262</v>
      </c>
      <c r="C28" s="428" t="str">
        <f>Biodata!C30</f>
        <v>PUTRI ANGGRAENI</v>
      </c>
      <c r="D28" s="422">
        <f t="shared" si="0"/>
        <v>74</v>
      </c>
      <c r="E28" s="422" t="str">
        <f t="shared" si="1"/>
        <v>C</v>
      </c>
      <c r="F28" s="422">
        <f t="shared" si="2"/>
        <v>71</v>
      </c>
      <c r="G28" s="422" t="str">
        <f t="shared" si="3"/>
        <v>C</v>
      </c>
    </row>
    <row r="29" spans="1:7" x14ac:dyDescent="0.2">
      <c r="A29" s="422">
        <f>Biodata!A31</f>
        <v>23</v>
      </c>
      <c r="B29" s="427" t="str">
        <f>Biodata!B31</f>
        <v>181910266</v>
      </c>
      <c r="C29" s="428" t="str">
        <f>Biodata!C31</f>
        <v>PUTRI WULANDARI</v>
      </c>
      <c r="D29" s="422">
        <f t="shared" si="0"/>
        <v>72</v>
      </c>
      <c r="E29" s="422" t="str">
        <f t="shared" si="1"/>
        <v>C</v>
      </c>
      <c r="F29" s="422">
        <f t="shared" si="2"/>
        <v>70</v>
      </c>
      <c r="G29" s="422" t="str">
        <f t="shared" si="3"/>
        <v>C</v>
      </c>
    </row>
    <row r="30" spans="1:7" x14ac:dyDescent="0.2">
      <c r="A30" s="422">
        <f>Biodata!A32</f>
        <v>24</v>
      </c>
      <c r="B30" s="427" t="str">
        <f>Biodata!B32</f>
        <v>181910272</v>
      </c>
      <c r="C30" s="428" t="str">
        <f>Biodata!C32</f>
        <v>RAFLY GYMNASTIAR</v>
      </c>
      <c r="D30" s="422">
        <f t="shared" si="0"/>
        <v>43</v>
      </c>
      <c r="E30" s="422" t="str">
        <f t="shared" si="1"/>
        <v>D</v>
      </c>
      <c r="F30" s="422">
        <f t="shared" si="2"/>
        <v>45</v>
      </c>
      <c r="G30" s="422" t="str">
        <f t="shared" si="3"/>
        <v>D</v>
      </c>
    </row>
    <row r="31" spans="1:7" x14ac:dyDescent="0.2">
      <c r="A31" s="422">
        <f>Biodata!A33</f>
        <v>25</v>
      </c>
      <c r="B31" s="427" t="str">
        <f>Biodata!B33</f>
        <v>181910280</v>
      </c>
      <c r="C31" s="428" t="str">
        <f>Biodata!C33</f>
        <v>REFIANA</v>
      </c>
      <c r="D31" s="422">
        <f t="shared" si="0"/>
        <v>71</v>
      </c>
      <c r="E31" s="422" t="str">
        <f t="shared" si="1"/>
        <v>C</v>
      </c>
      <c r="F31" s="422">
        <f t="shared" si="2"/>
        <v>75</v>
      </c>
      <c r="G31" s="422" t="str">
        <f t="shared" si="3"/>
        <v>C</v>
      </c>
    </row>
    <row r="32" spans="1:7" x14ac:dyDescent="0.2">
      <c r="A32" s="422">
        <f>Biodata!A34</f>
        <v>26</v>
      </c>
      <c r="B32" s="427" t="str">
        <f>Biodata!B34</f>
        <v>181910285</v>
      </c>
      <c r="C32" s="428" t="str">
        <f>Biodata!C34</f>
        <v>RENALDI PRIYATAMA</v>
      </c>
      <c r="D32" s="422">
        <f t="shared" si="0"/>
        <v>35</v>
      </c>
      <c r="E32" s="422" t="str">
        <f t="shared" si="1"/>
        <v>D</v>
      </c>
      <c r="F32" s="422">
        <f t="shared" si="2"/>
        <v>45</v>
      </c>
      <c r="G32" s="422" t="str">
        <f t="shared" si="3"/>
        <v>D</v>
      </c>
    </row>
    <row r="33" spans="1:7" x14ac:dyDescent="0.2">
      <c r="A33" s="422">
        <f>Biodata!A35</f>
        <v>27</v>
      </c>
      <c r="B33" s="427" t="str">
        <f>Biodata!B35</f>
        <v>181910286</v>
      </c>
      <c r="C33" s="428" t="str">
        <f>Biodata!C35</f>
        <v>RENATA</v>
      </c>
      <c r="D33" s="422">
        <f t="shared" si="0"/>
        <v>76</v>
      </c>
      <c r="E33" s="422" t="str">
        <f t="shared" si="1"/>
        <v>C</v>
      </c>
      <c r="F33" s="422">
        <f t="shared" si="2"/>
        <v>78</v>
      </c>
      <c r="G33" s="422" t="str">
        <f t="shared" si="3"/>
        <v>C</v>
      </c>
    </row>
    <row r="34" spans="1:7" x14ac:dyDescent="0.2">
      <c r="A34" s="422">
        <f>Biodata!A36</f>
        <v>28</v>
      </c>
      <c r="B34" s="427" t="str">
        <f>Biodata!B36</f>
        <v>181910293</v>
      </c>
      <c r="C34" s="428" t="str">
        <f>Biodata!C36</f>
        <v xml:space="preserve">REZA ERNANDA </v>
      </c>
      <c r="D34" s="422">
        <f t="shared" si="0"/>
        <v>78</v>
      </c>
      <c r="E34" s="422" t="str">
        <f t="shared" si="1"/>
        <v>C</v>
      </c>
      <c r="F34" s="422">
        <f t="shared" si="2"/>
        <v>77</v>
      </c>
      <c r="G34" s="422" t="str">
        <f t="shared" si="3"/>
        <v>C</v>
      </c>
    </row>
    <row r="35" spans="1:7" x14ac:dyDescent="0.2">
      <c r="A35" s="422">
        <f>Biodata!A37</f>
        <v>29</v>
      </c>
      <c r="B35" s="427" t="str">
        <f>Biodata!B37</f>
        <v>181910300</v>
      </c>
      <c r="C35" s="428" t="str">
        <f>Biodata!C37</f>
        <v>RIFAN MUHAMAD RIZKI</v>
      </c>
      <c r="D35" s="422">
        <f t="shared" si="0"/>
        <v>0</v>
      </c>
      <c r="E35" s="422" t="str">
        <f t="shared" si="1"/>
        <v/>
      </c>
      <c r="F35" s="422">
        <f t="shared" si="2"/>
        <v>0</v>
      </c>
      <c r="G35" s="422" t="str">
        <f t="shared" si="3"/>
        <v/>
      </c>
    </row>
    <row r="36" spans="1:7" x14ac:dyDescent="0.2">
      <c r="A36" s="422">
        <f>Biodata!A38</f>
        <v>30</v>
      </c>
      <c r="B36" s="427" t="str">
        <f>Biodata!B38</f>
        <v>181910318</v>
      </c>
      <c r="C36" s="428" t="str">
        <f>Biodata!C38</f>
        <v>RISMA SURYANI</v>
      </c>
      <c r="D36" s="422">
        <f t="shared" si="0"/>
        <v>72</v>
      </c>
      <c r="E36" s="422" t="str">
        <f t="shared" si="1"/>
        <v>C</v>
      </c>
      <c r="F36" s="422">
        <f t="shared" si="2"/>
        <v>76</v>
      </c>
      <c r="G36" s="422" t="str">
        <f t="shared" si="3"/>
        <v>C</v>
      </c>
    </row>
    <row r="37" spans="1:7" x14ac:dyDescent="0.2">
      <c r="A37" s="422">
        <f>Biodata!A39</f>
        <v>31</v>
      </c>
      <c r="B37" s="427" t="str">
        <f>Biodata!B39</f>
        <v>181910320</v>
      </c>
      <c r="C37" s="428" t="str">
        <f>Biodata!C39</f>
        <v>RISNA TIRANI</v>
      </c>
      <c r="D37" s="422">
        <f t="shared" si="0"/>
        <v>82</v>
      </c>
      <c r="E37" s="422" t="str">
        <f t="shared" si="1"/>
        <v>B</v>
      </c>
      <c r="F37" s="422">
        <f t="shared" si="2"/>
        <v>80</v>
      </c>
      <c r="G37" s="422" t="str">
        <f t="shared" si="3"/>
        <v>B</v>
      </c>
    </row>
    <row r="38" spans="1:7" x14ac:dyDescent="0.2">
      <c r="A38" s="422">
        <f>Biodata!A40</f>
        <v>32</v>
      </c>
      <c r="B38" s="427" t="str">
        <f>Biodata!B40</f>
        <v>181910331</v>
      </c>
      <c r="C38" s="428" t="str">
        <f>Biodata!C40</f>
        <v>RULLY PRATAMA S.</v>
      </c>
      <c r="D38" s="422">
        <f t="shared" si="0"/>
        <v>61</v>
      </c>
      <c r="E38" s="422" t="str">
        <f t="shared" si="1"/>
        <v>D</v>
      </c>
      <c r="F38" s="422">
        <f t="shared" si="2"/>
        <v>65</v>
      </c>
      <c r="G38" s="422" t="str">
        <f t="shared" si="3"/>
        <v>D</v>
      </c>
    </row>
    <row r="39" spans="1:7" x14ac:dyDescent="0.2">
      <c r="A39" s="422">
        <f>Biodata!A41</f>
        <v>33</v>
      </c>
      <c r="B39" s="427" t="str">
        <f>Biodata!B41</f>
        <v>181910335</v>
      </c>
      <c r="C39" s="428" t="str">
        <f>Biodata!C41</f>
        <v>SALSA ASYKIYA</v>
      </c>
      <c r="D39" s="422">
        <f t="shared" si="0"/>
        <v>84</v>
      </c>
      <c r="E39" s="422" t="str">
        <f t="shared" si="1"/>
        <v>B</v>
      </c>
      <c r="F39" s="422">
        <f t="shared" si="2"/>
        <v>85</v>
      </c>
      <c r="G39" s="422" t="str">
        <f t="shared" si="3"/>
        <v>B</v>
      </c>
    </row>
    <row r="40" spans="1:7" x14ac:dyDescent="0.2">
      <c r="A40" s="422">
        <f>Biodata!A42</f>
        <v>34</v>
      </c>
      <c r="B40" s="427" t="str">
        <f>Biodata!B42</f>
        <v>181910353</v>
      </c>
      <c r="C40" s="428" t="str">
        <f>Biodata!C42</f>
        <v>SILFI HAMIDAH</v>
      </c>
      <c r="D40" s="422">
        <f t="shared" si="0"/>
        <v>78</v>
      </c>
      <c r="E40" s="422" t="str">
        <f t="shared" si="1"/>
        <v>C</v>
      </c>
      <c r="F40" s="422">
        <f t="shared" si="2"/>
        <v>76</v>
      </c>
      <c r="G40" s="422" t="str">
        <f t="shared" si="3"/>
        <v>C</v>
      </c>
    </row>
    <row r="41" spans="1:7" x14ac:dyDescent="0.2">
      <c r="A41" s="422">
        <f>Biodata!A43</f>
        <v>35</v>
      </c>
      <c r="B41" s="427" t="str">
        <f>Biodata!B43</f>
        <v>181910408</v>
      </c>
      <c r="C41" s="428" t="str">
        <f>Biodata!C43</f>
        <v>YESHA RAHAYU</v>
      </c>
      <c r="D41" s="422">
        <f t="shared" si="0"/>
        <v>0</v>
      </c>
      <c r="E41" s="422" t="str">
        <f t="shared" si="1"/>
        <v/>
      </c>
      <c r="F41" s="422">
        <f t="shared" si="2"/>
        <v>0</v>
      </c>
      <c r="G41" s="422" t="str">
        <f t="shared" si="3"/>
        <v/>
      </c>
    </row>
    <row r="42" spans="1:7" x14ac:dyDescent="0.2">
      <c r="A42" s="422">
        <f>Biodata!A44</f>
        <v>36</v>
      </c>
      <c r="B42" s="427" t="str">
        <f>Biodata!B44</f>
        <v>036</v>
      </c>
      <c r="C42" s="428" t="str">
        <f>Biodata!C44</f>
        <v>A36</v>
      </c>
      <c r="D42" s="422">
        <f t="shared" si="0"/>
        <v>0</v>
      </c>
      <c r="E42" s="422" t="str">
        <f t="shared" si="1"/>
        <v/>
      </c>
      <c r="F42" s="422">
        <f t="shared" si="2"/>
        <v>0</v>
      </c>
      <c r="G42" s="422" t="str">
        <f t="shared" si="3"/>
        <v/>
      </c>
    </row>
    <row r="43" spans="1:7" x14ac:dyDescent="0.2">
      <c r="A43" s="422">
        <f>Biodata!A45</f>
        <v>37</v>
      </c>
      <c r="B43" s="427" t="str">
        <f>Biodata!B45</f>
        <v>037</v>
      </c>
      <c r="C43" s="428" t="str">
        <f>Biodata!C45</f>
        <v>A37</v>
      </c>
      <c r="D43" s="422">
        <f t="shared" si="0"/>
        <v>0</v>
      </c>
      <c r="E43" s="422" t="str">
        <f t="shared" si="1"/>
        <v/>
      </c>
      <c r="F43" s="422">
        <f t="shared" si="2"/>
        <v>0</v>
      </c>
      <c r="G43" s="422" t="str">
        <f t="shared" si="3"/>
        <v/>
      </c>
    </row>
    <row r="44" spans="1:7" x14ac:dyDescent="0.2">
      <c r="A44" s="422">
        <f>Biodata!A46</f>
        <v>38</v>
      </c>
      <c r="B44" s="427" t="str">
        <f>Biodata!B46</f>
        <v>038</v>
      </c>
      <c r="C44" s="428" t="str">
        <f>Biodata!C46</f>
        <v>A38</v>
      </c>
      <c r="D44" s="422">
        <f t="shared" si="0"/>
        <v>0</v>
      </c>
      <c r="E44" s="422" t="str">
        <f t="shared" si="1"/>
        <v/>
      </c>
      <c r="F44" s="422">
        <f t="shared" si="2"/>
        <v>0</v>
      </c>
      <c r="G44" s="422" t="str">
        <f t="shared" si="3"/>
        <v/>
      </c>
    </row>
    <row r="45" spans="1:7" x14ac:dyDescent="0.2">
      <c r="A45" s="422">
        <f>Biodata!A47</f>
        <v>39</v>
      </c>
      <c r="B45" s="427" t="str">
        <f>Biodata!B47</f>
        <v>039</v>
      </c>
      <c r="C45" s="428" t="str">
        <f>Biodata!C47</f>
        <v>A39</v>
      </c>
      <c r="D45" s="422">
        <f t="shared" si="0"/>
        <v>0</v>
      </c>
      <c r="E45" s="422" t="str">
        <f t="shared" si="1"/>
        <v/>
      </c>
      <c r="F45" s="422">
        <f t="shared" si="2"/>
        <v>0</v>
      </c>
      <c r="G45" s="422" t="str">
        <f t="shared" si="3"/>
        <v/>
      </c>
    </row>
    <row r="46" spans="1:7" x14ac:dyDescent="0.2">
      <c r="A46" s="422">
        <f>Biodata!A48</f>
        <v>40</v>
      </c>
      <c r="B46" s="427" t="str">
        <f>Biodata!B48</f>
        <v>040</v>
      </c>
      <c r="C46" s="428" t="str">
        <f>Biodata!C48</f>
        <v>A40</v>
      </c>
      <c r="D46" s="422">
        <f t="shared" si="0"/>
        <v>0</v>
      </c>
      <c r="E46" s="422" t="str">
        <f t="shared" si="1"/>
        <v/>
      </c>
      <c r="F46" s="422">
        <f t="shared" si="2"/>
        <v>0</v>
      </c>
      <c r="G46" s="422" t="str">
        <f t="shared" si="3"/>
        <v/>
      </c>
    </row>
    <row r="47" spans="1:7" x14ac:dyDescent="0.2">
      <c r="C47" s="432"/>
    </row>
    <row r="48" spans="1:7" x14ac:dyDescent="0.2">
      <c r="C48" s="432"/>
    </row>
    <row r="49" spans="3:3" s="425" customFormat="1" x14ac:dyDescent="0.2">
      <c r="C49" s="432"/>
    </row>
    <row r="50" spans="3:3" s="425" customFormat="1" x14ac:dyDescent="0.2">
      <c r="C50" s="432"/>
    </row>
  </sheetData>
  <sheetProtection sheet="1" objects="1" scenarios="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activeCell="D5" sqref="D5"/>
    </sheetView>
  </sheetViews>
  <sheetFormatPr defaultRowHeight="11.25" x14ac:dyDescent="0.2"/>
  <cols>
    <col min="1" max="1" width="3.7109375" style="422" customWidth="1"/>
    <col min="2" max="2" width="7.140625" style="422" customWidth="1"/>
    <col min="3" max="3" width="21.7109375" style="425" customWidth="1"/>
    <col min="4" max="4" width="11.85546875" style="422" customWidth="1"/>
    <col min="5" max="5" width="8" style="422" customWidth="1"/>
    <col min="6" max="6" width="12" style="422" customWidth="1"/>
    <col min="7" max="7" width="8" style="422" customWidth="1"/>
    <col min="8" max="16384" width="9.140625" style="425"/>
  </cols>
  <sheetData>
    <row r="1" spans="1:7" x14ac:dyDescent="0.2">
      <c r="C1" s="423" t="s">
        <v>322</v>
      </c>
      <c r="D1" s="424" t="str">
        <f>Biodata!C4</f>
        <v xml:space="preserve"> X / IPS_5 </v>
      </c>
    </row>
    <row r="2" spans="1:7" x14ac:dyDescent="0.2">
      <c r="C2" s="423" t="s">
        <v>321</v>
      </c>
      <c r="D2" s="424" t="str">
        <f>Biodata!C5</f>
        <v>2 / Genap</v>
      </c>
    </row>
    <row r="3" spans="1:7" x14ac:dyDescent="0.2">
      <c r="D3" s="424"/>
    </row>
    <row r="4" spans="1:7" x14ac:dyDescent="0.2">
      <c r="C4" s="423" t="s">
        <v>320</v>
      </c>
      <c r="D4" s="424" t="str">
        <f>LEGER!J6</f>
        <v>Sejarah Indonesia</v>
      </c>
    </row>
    <row r="5" spans="1:7" x14ac:dyDescent="0.2">
      <c r="C5" s="423" t="s">
        <v>319</v>
      </c>
      <c r="D5" s="424">
        <f>RAPORT!C82</f>
        <v>70</v>
      </c>
    </row>
    <row r="6" spans="1:7" x14ac:dyDescent="0.2">
      <c r="A6" s="422" t="s">
        <v>323</v>
      </c>
      <c r="B6" s="422" t="s">
        <v>10</v>
      </c>
      <c r="C6" s="425" t="s">
        <v>324</v>
      </c>
      <c r="D6" s="422" t="s">
        <v>74</v>
      </c>
      <c r="E6" s="422" t="s">
        <v>72</v>
      </c>
      <c r="F6" s="422" t="s">
        <v>146</v>
      </c>
      <c r="G6" s="422" t="s">
        <v>72</v>
      </c>
    </row>
    <row r="7" spans="1:7" x14ac:dyDescent="0.2">
      <c r="A7" s="422">
        <f>Biodata!A9</f>
        <v>1</v>
      </c>
      <c r="B7" s="427" t="str">
        <f>Biodata!B9</f>
        <v>181910008</v>
      </c>
      <c r="C7" s="428" t="str">
        <f>Biodata!C9</f>
        <v>ADITA TRI KURNIA PUTRI</v>
      </c>
      <c r="D7" s="422">
        <f t="shared" ref="D7:D46" si="0">IFERROR(VLOOKUP(B7&amp;"A",leggerx1,7,0),"")</f>
        <v>0</v>
      </c>
      <c r="E7" s="422" t="str">
        <f t="shared" ref="E7:E46" si="1">IFERROR(VLOOKUP(B7&amp;"C",leggerx1,7,0),"")</f>
        <v/>
      </c>
      <c r="F7" s="422">
        <f t="shared" ref="F7:F46" si="2">IFERROR(VLOOKUP(B7&amp;"B",leggerx1,7,0),"")</f>
        <v>0</v>
      </c>
      <c r="G7" s="422" t="str">
        <f t="shared" ref="G7:G46" si="3">IFERROR(VLOOKUP(B7&amp;"D",leggerx1,7,0),"")</f>
        <v/>
      </c>
    </row>
    <row r="8" spans="1:7" x14ac:dyDescent="0.2">
      <c r="A8" s="422">
        <f>Biodata!A10</f>
        <v>2</v>
      </c>
      <c r="B8" s="427" t="str">
        <f>Biodata!B10</f>
        <v>181910011</v>
      </c>
      <c r="C8" s="428" t="str">
        <f>Biodata!C10</f>
        <v xml:space="preserve">ADNES KOMALA DEWI </v>
      </c>
      <c r="D8" s="422">
        <f t="shared" si="0"/>
        <v>50</v>
      </c>
      <c r="E8" s="422" t="str">
        <f t="shared" si="1"/>
        <v>D</v>
      </c>
      <c r="F8" s="422">
        <f t="shared" si="2"/>
        <v>50</v>
      </c>
      <c r="G8" s="422" t="str">
        <f t="shared" si="3"/>
        <v>D</v>
      </c>
    </row>
    <row r="9" spans="1:7" x14ac:dyDescent="0.2">
      <c r="A9" s="422">
        <f>Biodata!A11</f>
        <v>3</v>
      </c>
      <c r="B9" s="427" t="str">
        <f>Biodata!B11</f>
        <v>181910014</v>
      </c>
      <c r="C9" s="428" t="str">
        <f>Biodata!C11</f>
        <v>AGUNG BUDI PRASTAWA</v>
      </c>
      <c r="D9" s="422">
        <f t="shared" si="0"/>
        <v>34</v>
      </c>
      <c r="E9" s="422" t="str">
        <f t="shared" si="1"/>
        <v>D</v>
      </c>
      <c r="F9" s="422">
        <f t="shared" si="2"/>
        <v>34</v>
      </c>
      <c r="G9" s="422" t="str">
        <f t="shared" si="3"/>
        <v>D</v>
      </c>
    </row>
    <row r="10" spans="1:7" x14ac:dyDescent="0.2">
      <c r="A10" s="422">
        <f>Biodata!A12</f>
        <v>4</v>
      </c>
      <c r="B10" s="427" t="str">
        <f>Biodata!B12</f>
        <v>181910045</v>
      </c>
      <c r="C10" s="428" t="str">
        <f>Biodata!C12</f>
        <v>ARYA DYTA WIGUNA</v>
      </c>
      <c r="D10" s="422">
        <f t="shared" si="0"/>
        <v>80</v>
      </c>
      <c r="E10" s="422" t="str">
        <f t="shared" si="1"/>
        <v>B</v>
      </c>
      <c r="F10" s="422">
        <f t="shared" si="2"/>
        <v>75</v>
      </c>
      <c r="G10" s="422" t="str">
        <f t="shared" si="3"/>
        <v>C</v>
      </c>
    </row>
    <row r="11" spans="1:7" x14ac:dyDescent="0.2">
      <c r="A11" s="422">
        <f>Biodata!A13</f>
        <v>5</v>
      </c>
      <c r="B11" s="427" t="str">
        <f>Biodata!B13</f>
        <v>181910054</v>
      </c>
      <c r="C11" s="428" t="str">
        <f>Biodata!C13</f>
        <v>AZRIEL TAMA SANTIAJI</v>
      </c>
      <c r="D11" s="422">
        <f t="shared" si="0"/>
        <v>34</v>
      </c>
      <c r="E11" s="422" t="str">
        <f t="shared" si="1"/>
        <v>D</v>
      </c>
      <c r="F11" s="422">
        <f t="shared" si="2"/>
        <v>34</v>
      </c>
      <c r="G11" s="422" t="str">
        <f t="shared" si="3"/>
        <v>D</v>
      </c>
    </row>
    <row r="12" spans="1:7" x14ac:dyDescent="0.2">
      <c r="A12" s="422">
        <f>Biodata!A14</f>
        <v>6</v>
      </c>
      <c r="B12" s="427" t="str">
        <f>Biodata!B14</f>
        <v>181910055</v>
      </c>
      <c r="C12" s="428" t="str">
        <f>Biodata!C14</f>
        <v>AZZUHRI HAUDI</v>
      </c>
      <c r="D12" s="422">
        <f t="shared" si="0"/>
        <v>51</v>
      </c>
      <c r="E12" s="422" t="str">
        <f t="shared" si="1"/>
        <v>D</v>
      </c>
      <c r="F12" s="422">
        <f t="shared" si="2"/>
        <v>51</v>
      </c>
      <c r="G12" s="422" t="str">
        <f t="shared" si="3"/>
        <v>D</v>
      </c>
    </row>
    <row r="13" spans="1:7" x14ac:dyDescent="0.2">
      <c r="A13" s="422">
        <f>Biodata!A15</f>
        <v>7</v>
      </c>
      <c r="B13" s="427" t="str">
        <f>Biodata!B15</f>
        <v>181910056</v>
      </c>
      <c r="C13" s="428" t="str">
        <f>Biodata!C15</f>
        <v>BAYU BATARA SURYA PUTRA</v>
      </c>
      <c r="D13" s="422">
        <f t="shared" si="0"/>
        <v>42</v>
      </c>
      <c r="E13" s="422" t="str">
        <f t="shared" si="1"/>
        <v>D</v>
      </c>
      <c r="F13" s="422">
        <f t="shared" si="2"/>
        <v>42</v>
      </c>
      <c r="G13" s="422" t="str">
        <f t="shared" si="3"/>
        <v>D</v>
      </c>
    </row>
    <row r="14" spans="1:7" x14ac:dyDescent="0.2">
      <c r="A14" s="422">
        <f>Biodata!A16</f>
        <v>8</v>
      </c>
      <c r="B14" s="427" t="str">
        <f>Biodata!B16</f>
        <v>181910069</v>
      </c>
      <c r="C14" s="428" t="str">
        <f>Biodata!C16</f>
        <v>DANDY ERVAN PRATAMA</v>
      </c>
      <c r="D14" s="422">
        <f t="shared" si="0"/>
        <v>29</v>
      </c>
      <c r="E14" s="422" t="str">
        <f t="shared" si="1"/>
        <v>D</v>
      </c>
      <c r="F14" s="422">
        <f t="shared" si="2"/>
        <v>29</v>
      </c>
      <c r="G14" s="422" t="str">
        <f t="shared" si="3"/>
        <v>D</v>
      </c>
    </row>
    <row r="15" spans="1:7" x14ac:dyDescent="0.2">
      <c r="A15" s="422">
        <f>Biodata!A17</f>
        <v>9</v>
      </c>
      <c r="B15" s="427" t="str">
        <f>Biodata!B17</f>
        <v>181910085</v>
      </c>
      <c r="C15" s="428" t="str">
        <f>Biodata!C17</f>
        <v>DENISA ASTI RAHMAWATI</v>
      </c>
      <c r="D15" s="422">
        <f t="shared" si="0"/>
        <v>27</v>
      </c>
      <c r="E15" s="422" t="str">
        <f t="shared" si="1"/>
        <v>D</v>
      </c>
      <c r="F15" s="422">
        <f t="shared" si="2"/>
        <v>27</v>
      </c>
      <c r="G15" s="422" t="str">
        <f t="shared" si="3"/>
        <v>D</v>
      </c>
    </row>
    <row r="16" spans="1:7" x14ac:dyDescent="0.2">
      <c r="A16" s="422">
        <f>Biodata!A18</f>
        <v>10</v>
      </c>
      <c r="B16" s="427" t="str">
        <f>Biodata!B18</f>
        <v>181910093</v>
      </c>
      <c r="C16" s="428" t="str">
        <f>Biodata!C18</f>
        <v>DIAN RAMDHAN SAPTIAN</v>
      </c>
      <c r="D16" s="422">
        <f t="shared" si="0"/>
        <v>28</v>
      </c>
      <c r="E16" s="422" t="str">
        <f t="shared" si="1"/>
        <v>D</v>
      </c>
      <c r="F16" s="422">
        <f t="shared" si="2"/>
        <v>28</v>
      </c>
      <c r="G16" s="422" t="str">
        <f t="shared" si="3"/>
        <v>D</v>
      </c>
    </row>
    <row r="17" spans="1:7" x14ac:dyDescent="0.2">
      <c r="A17" s="422">
        <f>Biodata!A19</f>
        <v>11</v>
      </c>
      <c r="B17" s="427" t="str">
        <f>Biodata!B19</f>
        <v>181910103</v>
      </c>
      <c r="C17" s="428" t="str">
        <f>Biodata!C19</f>
        <v>DIVYA ADHIANI NURDIN</v>
      </c>
      <c r="D17" s="422">
        <f t="shared" si="0"/>
        <v>50</v>
      </c>
      <c r="E17" s="422" t="str">
        <f t="shared" si="1"/>
        <v>D</v>
      </c>
      <c r="F17" s="422">
        <f t="shared" si="2"/>
        <v>50</v>
      </c>
      <c r="G17" s="422" t="str">
        <f t="shared" si="3"/>
        <v>D</v>
      </c>
    </row>
    <row r="18" spans="1:7" x14ac:dyDescent="0.2">
      <c r="A18" s="422">
        <f>Biodata!A20</f>
        <v>12</v>
      </c>
      <c r="B18" s="427" t="str">
        <f>Biodata!B20</f>
        <v>181910104</v>
      </c>
      <c r="C18" s="428" t="str">
        <f>Biodata!C20</f>
        <v>DWIKI DERMAWAN</v>
      </c>
      <c r="D18" s="422">
        <f t="shared" si="0"/>
        <v>30</v>
      </c>
      <c r="E18" s="422" t="str">
        <f t="shared" si="1"/>
        <v>D</v>
      </c>
      <c r="F18" s="422">
        <f t="shared" si="2"/>
        <v>30</v>
      </c>
      <c r="G18" s="422" t="str">
        <f t="shared" si="3"/>
        <v>D</v>
      </c>
    </row>
    <row r="19" spans="1:7" x14ac:dyDescent="0.2">
      <c r="A19" s="422">
        <f>Biodata!A21</f>
        <v>13</v>
      </c>
      <c r="B19" s="427" t="str">
        <f>Biodata!B21</f>
        <v>181910118</v>
      </c>
      <c r="C19" s="428" t="str">
        <f>Biodata!C21</f>
        <v>ENCEP CANDRA</v>
      </c>
      <c r="D19" s="422">
        <f t="shared" si="0"/>
        <v>57</v>
      </c>
      <c r="E19" s="422" t="str">
        <f t="shared" si="1"/>
        <v>D</v>
      </c>
      <c r="F19" s="422">
        <f t="shared" si="2"/>
        <v>57</v>
      </c>
      <c r="G19" s="422" t="str">
        <f t="shared" si="3"/>
        <v>D</v>
      </c>
    </row>
    <row r="20" spans="1:7" x14ac:dyDescent="0.2">
      <c r="A20" s="422">
        <f>Biodata!A22</f>
        <v>14</v>
      </c>
      <c r="B20" s="427" t="str">
        <f>Biodata!B22</f>
        <v>181910128</v>
      </c>
      <c r="C20" s="428" t="str">
        <f>Biodata!C22</f>
        <v>FAIZAL EGI</v>
      </c>
      <c r="D20" s="422">
        <f t="shared" si="0"/>
        <v>50</v>
      </c>
      <c r="E20" s="422" t="str">
        <f t="shared" si="1"/>
        <v>D</v>
      </c>
      <c r="F20" s="422">
        <f t="shared" si="2"/>
        <v>50</v>
      </c>
      <c r="G20" s="422" t="str">
        <f t="shared" si="3"/>
        <v>D</v>
      </c>
    </row>
    <row r="21" spans="1:7" x14ac:dyDescent="0.2">
      <c r="A21" s="422">
        <f>Biodata!A23</f>
        <v>15</v>
      </c>
      <c r="B21" s="427" t="str">
        <f>Biodata!B23</f>
        <v>181910133</v>
      </c>
      <c r="C21" s="428" t="str">
        <f>Biodata!C23</f>
        <v>FAUZI DHALFADLIL AZHANI</v>
      </c>
      <c r="D21" s="422">
        <f t="shared" si="0"/>
        <v>40</v>
      </c>
      <c r="E21" s="422" t="str">
        <f t="shared" si="1"/>
        <v>D</v>
      </c>
      <c r="F21" s="422">
        <f t="shared" si="2"/>
        <v>40</v>
      </c>
      <c r="G21" s="422" t="str">
        <f t="shared" si="3"/>
        <v>D</v>
      </c>
    </row>
    <row r="22" spans="1:7" x14ac:dyDescent="0.2">
      <c r="A22" s="422">
        <f>Biodata!A24</f>
        <v>16</v>
      </c>
      <c r="B22" s="427" t="str">
        <f>Biodata!B24</f>
        <v>181910161</v>
      </c>
      <c r="C22" s="428" t="str">
        <f>Biodata!C24</f>
        <v>HILMAN PUTRA PAMUNGKAS</v>
      </c>
      <c r="D22" s="422">
        <f t="shared" si="0"/>
        <v>80</v>
      </c>
      <c r="E22" s="422" t="str">
        <f t="shared" si="1"/>
        <v>B</v>
      </c>
      <c r="F22" s="422">
        <f t="shared" si="2"/>
        <v>75</v>
      </c>
      <c r="G22" s="422" t="str">
        <f t="shared" si="3"/>
        <v>C</v>
      </c>
    </row>
    <row r="23" spans="1:7" x14ac:dyDescent="0.2">
      <c r="A23" s="422">
        <f>Biodata!A25</f>
        <v>17</v>
      </c>
      <c r="B23" s="427" t="str">
        <f>Biodata!B25</f>
        <v>181910165</v>
      </c>
      <c r="C23" s="428" t="str">
        <f>Biodata!C25</f>
        <v>IHSYA FADILLAH MUSLIM</v>
      </c>
      <c r="D23" s="422">
        <f t="shared" si="0"/>
        <v>38</v>
      </c>
      <c r="E23" s="422" t="str">
        <f t="shared" si="1"/>
        <v>D</v>
      </c>
      <c r="F23" s="422">
        <f t="shared" si="2"/>
        <v>38</v>
      </c>
      <c r="G23" s="422" t="str">
        <f t="shared" si="3"/>
        <v>D</v>
      </c>
    </row>
    <row r="24" spans="1:7" x14ac:dyDescent="0.2">
      <c r="A24" s="422">
        <f>Biodata!A26</f>
        <v>18</v>
      </c>
      <c r="B24" s="427" t="str">
        <f>Biodata!B26</f>
        <v>181910185</v>
      </c>
      <c r="C24" s="428" t="str">
        <f>Biodata!C26</f>
        <v>JIHAD AKBAR</v>
      </c>
      <c r="D24" s="422">
        <f t="shared" si="0"/>
        <v>31</v>
      </c>
      <c r="E24" s="422" t="str">
        <f t="shared" si="1"/>
        <v>D</v>
      </c>
      <c r="F24" s="422">
        <f t="shared" si="2"/>
        <v>31</v>
      </c>
      <c r="G24" s="422" t="str">
        <f t="shared" si="3"/>
        <v>D</v>
      </c>
    </row>
    <row r="25" spans="1:7" x14ac:dyDescent="0.2">
      <c r="A25" s="422">
        <f>Biodata!A27</f>
        <v>19</v>
      </c>
      <c r="B25" s="427" t="str">
        <f>Biodata!B27</f>
        <v>181910226</v>
      </c>
      <c r="C25" s="428" t="str">
        <f>Biodata!C27</f>
        <v>MUHAMAD IZZAZUL FIKRIAN</v>
      </c>
      <c r="D25" s="422">
        <f t="shared" si="0"/>
        <v>0</v>
      </c>
      <c r="E25" s="422" t="str">
        <f t="shared" si="1"/>
        <v/>
      </c>
      <c r="F25" s="422">
        <f t="shared" si="2"/>
        <v>0</v>
      </c>
      <c r="G25" s="422" t="str">
        <f t="shared" si="3"/>
        <v/>
      </c>
    </row>
    <row r="26" spans="1:7" x14ac:dyDescent="0.2">
      <c r="A26" s="422">
        <f>Biodata!A28</f>
        <v>20</v>
      </c>
      <c r="B26" s="427" t="str">
        <f>Biodata!B28</f>
        <v>181910433</v>
      </c>
      <c r="C26" s="428" t="str">
        <f>Biodata!C28</f>
        <v>MUHAMAD RIZAL</v>
      </c>
      <c r="D26" s="422">
        <f t="shared" si="0"/>
        <v>36</v>
      </c>
      <c r="E26" s="422" t="str">
        <f t="shared" si="1"/>
        <v>D</v>
      </c>
      <c r="F26" s="422">
        <f t="shared" si="2"/>
        <v>36</v>
      </c>
      <c r="G26" s="422" t="str">
        <f t="shared" si="3"/>
        <v>D</v>
      </c>
    </row>
    <row r="27" spans="1:7" x14ac:dyDescent="0.2">
      <c r="A27" s="422">
        <f>Biodata!A29</f>
        <v>21</v>
      </c>
      <c r="B27" s="427" t="str">
        <f>Biodata!B29</f>
        <v>181910240</v>
      </c>
      <c r="C27" s="428" t="str">
        <f>Biodata!C29</f>
        <v>NESHA RAUDHATUL ZANNAH</v>
      </c>
      <c r="D27" s="422">
        <f t="shared" si="0"/>
        <v>55</v>
      </c>
      <c r="E27" s="422" t="str">
        <f t="shared" si="1"/>
        <v>D</v>
      </c>
      <c r="F27" s="422">
        <f t="shared" si="2"/>
        <v>55</v>
      </c>
      <c r="G27" s="422" t="str">
        <f t="shared" si="3"/>
        <v>D</v>
      </c>
    </row>
    <row r="28" spans="1:7" x14ac:dyDescent="0.2">
      <c r="A28" s="422">
        <f>Biodata!A30</f>
        <v>22</v>
      </c>
      <c r="B28" s="427" t="str">
        <f>Biodata!B30</f>
        <v>181910262</v>
      </c>
      <c r="C28" s="428" t="str">
        <f>Biodata!C30</f>
        <v>PUTRI ANGGRAENI</v>
      </c>
      <c r="D28" s="422">
        <f t="shared" si="0"/>
        <v>70</v>
      </c>
      <c r="E28" s="422" t="str">
        <f t="shared" si="1"/>
        <v>C</v>
      </c>
      <c r="F28" s="422">
        <f t="shared" si="2"/>
        <v>70</v>
      </c>
      <c r="G28" s="422" t="str">
        <f t="shared" si="3"/>
        <v>C</v>
      </c>
    </row>
    <row r="29" spans="1:7" x14ac:dyDescent="0.2">
      <c r="A29" s="422">
        <f>Biodata!A31</f>
        <v>23</v>
      </c>
      <c r="B29" s="427" t="str">
        <f>Biodata!B31</f>
        <v>181910266</v>
      </c>
      <c r="C29" s="428" t="str">
        <f>Biodata!C31</f>
        <v>PUTRI WULANDARI</v>
      </c>
      <c r="D29" s="422">
        <f t="shared" si="0"/>
        <v>70</v>
      </c>
      <c r="E29" s="422" t="str">
        <f t="shared" si="1"/>
        <v>C</v>
      </c>
      <c r="F29" s="422">
        <f t="shared" si="2"/>
        <v>70</v>
      </c>
      <c r="G29" s="422" t="str">
        <f t="shared" si="3"/>
        <v>C</v>
      </c>
    </row>
    <row r="30" spans="1:7" x14ac:dyDescent="0.2">
      <c r="A30" s="422">
        <f>Biodata!A32</f>
        <v>24</v>
      </c>
      <c r="B30" s="427" t="str">
        <f>Biodata!B32</f>
        <v>181910272</v>
      </c>
      <c r="C30" s="428" t="str">
        <f>Biodata!C32</f>
        <v>RAFLY GYMNASTIAR</v>
      </c>
      <c r="D30" s="422">
        <f t="shared" si="0"/>
        <v>23</v>
      </c>
      <c r="E30" s="422" t="str">
        <f t="shared" si="1"/>
        <v>D</v>
      </c>
      <c r="F30" s="422">
        <f t="shared" si="2"/>
        <v>23</v>
      </c>
      <c r="G30" s="422" t="str">
        <f t="shared" si="3"/>
        <v>D</v>
      </c>
    </row>
    <row r="31" spans="1:7" x14ac:dyDescent="0.2">
      <c r="A31" s="422">
        <f>Biodata!A33</f>
        <v>25</v>
      </c>
      <c r="B31" s="427" t="str">
        <f>Biodata!B33</f>
        <v>181910280</v>
      </c>
      <c r="C31" s="428" t="str">
        <f>Biodata!C33</f>
        <v>REFIANA</v>
      </c>
      <c r="D31" s="422">
        <f t="shared" si="0"/>
        <v>32</v>
      </c>
      <c r="E31" s="422" t="str">
        <f t="shared" si="1"/>
        <v>D</v>
      </c>
      <c r="F31" s="422">
        <f t="shared" si="2"/>
        <v>32</v>
      </c>
      <c r="G31" s="422" t="str">
        <f t="shared" si="3"/>
        <v>D</v>
      </c>
    </row>
    <row r="32" spans="1:7" x14ac:dyDescent="0.2">
      <c r="A32" s="422">
        <f>Biodata!A34</f>
        <v>26</v>
      </c>
      <c r="B32" s="427" t="str">
        <f>Biodata!B34</f>
        <v>181910285</v>
      </c>
      <c r="C32" s="428" t="str">
        <f>Biodata!C34</f>
        <v>RENALDI PRIYATAMA</v>
      </c>
      <c r="D32" s="422">
        <f t="shared" si="0"/>
        <v>23</v>
      </c>
      <c r="E32" s="422" t="str">
        <f t="shared" si="1"/>
        <v>D</v>
      </c>
      <c r="F32" s="422">
        <f t="shared" si="2"/>
        <v>23</v>
      </c>
      <c r="G32" s="422" t="str">
        <f t="shared" si="3"/>
        <v>D</v>
      </c>
    </row>
    <row r="33" spans="1:7" x14ac:dyDescent="0.2">
      <c r="A33" s="422">
        <f>Biodata!A35</f>
        <v>27</v>
      </c>
      <c r="B33" s="427" t="str">
        <f>Biodata!B35</f>
        <v>181910286</v>
      </c>
      <c r="C33" s="428" t="str">
        <f>Biodata!C35</f>
        <v>RENATA</v>
      </c>
      <c r="D33" s="422">
        <f t="shared" si="0"/>
        <v>80</v>
      </c>
      <c r="E33" s="422" t="str">
        <f t="shared" si="1"/>
        <v>B</v>
      </c>
      <c r="F33" s="422">
        <f t="shared" si="2"/>
        <v>75</v>
      </c>
      <c r="G33" s="422" t="str">
        <f t="shared" si="3"/>
        <v>C</v>
      </c>
    </row>
    <row r="34" spans="1:7" x14ac:dyDescent="0.2">
      <c r="A34" s="422">
        <f>Biodata!A36</f>
        <v>28</v>
      </c>
      <c r="B34" s="427" t="str">
        <f>Biodata!B36</f>
        <v>181910293</v>
      </c>
      <c r="C34" s="428" t="str">
        <f>Biodata!C36</f>
        <v xml:space="preserve">REZA ERNANDA </v>
      </c>
      <c r="D34" s="422">
        <f t="shared" si="0"/>
        <v>80</v>
      </c>
      <c r="E34" s="422" t="str">
        <f t="shared" si="1"/>
        <v>B</v>
      </c>
      <c r="F34" s="422">
        <f t="shared" si="2"/>
        <v>75</v>
      </c>
      <c r="G34" s="422" t="str">
        <f t="shared" si="3"/>
        <v>C</v>
      </c>
    </row>
    <row r="35" spans="1:7" x14ac:dyDescent="0.2">
      <c r="A35" s="422">
        <f>Biodata!A37</f>
        <v>29</v>
      </c>
      <c r="B35" s="427" t="str">
        <f>Biodata!B37</f>
        <v>181910300</v>
      </c>
      <c r="C35" s="428" t="str">
        <f>Biodata!C37</f>
        <v>RIFAN MUHAMAD RIZKI</v>
      </c>
      <c r="D35" s="422">
        <f t="shared" si="0"/>
        <v>0</v>
      </c>
      <c r="E35" s="422" t="str">
        <f t="shared" si="1"/>
        <v/>
      </c>
      <c r="F35" s="422">
        <f t="shared" si="2"/>
        <v>0</v>
      </c>
      <c r="G35" s="422" t="str">
        <f t="shared" si="3"/>
        <v/>
      </c>
    </row>
    <row r="36" spans="1:7" x14ac:dyDescent="0.2">
      <c r="A36" s="422">
        <f>Biodata!A38</f>
        <v>30</v>
      </c>
      <c r="B36" s="427" t="str">
        <f>Biodata!B38</f>
        <v>181910318</v>
      </c>
      <c r="C36" s="428" t="str">
        <f>Biodata!C38</f>
        <v>RISMA SURYANI</v>
      </c>
      <c r="D36" s="422">
        <f t="shared" si="0"/>
        <v>70</v>
      </c>
      <c r="E36" s="422" t="str">
        <f t="shared" si="1"/>
        <v>C</v>
      </c>
      <c r="F36" s="422">
        <f t="shared" si="2"/>
        <v>70</v>
      </c>
      <c r="G36" s="422" t="str">
        <f t="shared" si="3"/>
        <v>C</v>
      </c>
    </row>
    <row r="37" spans="1:7" x14ac:dyDescent="0.2">
      <c r="A37" s="422">
        <f>Biodata!A39</f>
        <v>31</v>
      </c>
      <c r="B37" s="427" t="str">
        <f>Biodata!B39</f>
        <v>181910320</v>
      </c>
      <c r="C37" s="428" t="str">
        <f>Biodata!C39</f>
        <v>RISNA TIRANI</v>
      </c>
      <c r="D37" s="422">
        <f t="shared" si="0"/>
        <v>80</v>
      </c>
      <c r="E37" s="422" t="str">
        <f t="shared" si="1"/>
        <v>B</v>
      </c>
      <c r="F37" s="422">
        <f t="shared" si="2"/>
        <v>75</v>
      </c>
      <c r="G37" s="422" t="str">
        <f t="shared" si="3"/>
        <v>C</v>
      </c>
    </row>
    <row r="38" spans="1:7" x14ac:dyDescent="0.2">
      <c r="A38" s="422">
        <f>Biodata!A40</f>
        <v>32</v>
      </c>
      <c r="B38" s="427" t="str">
        <f>Biodata!B40</f>
        <v>181910331</v>
      </c>
      <c r="C38" s="428" t="str">
        <f>Biodata!C40</f>
        <v>RULLY PRATAMA S.</v>
      </c>
      <c r="D38" s="422">
        <f t="shared" si="0"/>
        <v>54</v>
      </c>
      <c r="E38" s="422" t="str">
        <f t="shared" si="1"/>
        <v>D</v>
      </c>
      <c r="F38" s="422">
        <f t="shared" si="2"/>
        <v>54</v>
      </c>
      <c r="G38" s="422" t="str">
        <f t="shared" si="3"/>
        <v>D</v>
      </c>
    </row>
    <row r="39" spans="1:7" x14ac:dyDescent="0.2">
      <c r="A39" s="422">
        <f>Biodata!A41</f>
        <v>33</v>
      </c>
      <c r="B39" s="427" t="str">
        <f>Biodata!B41</f>
        <v>181910335</v>
      </c>
      <c r="C39" s="428" t="str">
        <f>Biodata!C41</f>
        <v>SALSA ASYKIYA</v>
      </c>
      <c r="D39" s="422">
        <f t="shared" si="0"/>
        <v>80</v>
      </c>
      <c r="E39" s="422" t="str">
        <f t="shared" si="1"/>
        <v>B</v>
      </c>
      <c r="F39" s="422">
        <f t="shared" si="2"/>
        <v>75</v>
      </c>
      <c r="G39" s="422" t="str">
        <f t="shared" si="3"/>
        <v>C</v>
      </c>
    </row>
    <row r="40" spans="1:7" x14ac:dyDescent="0.2">
      <c r="A40" s="422">
        <f>Biodata!A42</f>
        <v>34</v>
      </c>
      <c r="B40" s="427" t="str">
        <f>Biodata!B42</f>
        <v>181910353</v>
      </c>
      <c r="C40" s="428" t="str">
        <f>Biodata!C42</f>
        <v>SILFI HAMIDAH</v>
      </c>
      <c r="D40" s="422">
        <f t="shared" si="0"/>
        <v>80</v>
      </c>
      <c r="E40" s="422" t="str">
        <f t="shared" si="1"/>
        <v>B</v>
      </c>
      <c r="F40" s="422">
        <f t="shared" si="2"/>
        <v>75</v>
      </c>
      <c r="G40" s="422" t="str">
        <f t="shared" si="3"/>
        <v>C</v>
      </c>
    </row>
    <row r="41" spans="1:7" x14ac:dyDescent="0.2">
      <c r="A41" s="422">
        <f>Biodata!A43</f>
        <v>35</v>
      </c>
      <c r="B41" s="427" t="str">
        <f>Biodata!B43</f>
        <v>181910408</v>
      </c>
      <c r="C41" s="428" t="str">
        <f>Biodata!C43</f>
        <v>YESHA RAHAYU</v>
      </c>
      <c r="D41" s="422">
        <f t="shared" si="0"/>
        <v>0</v>
      </c>
      <c r="E41" s="422" t="str">
        <f t="shared" si="1"/>
        <v/>
      </c>
      <c r="F41" s="422">
        <f t="shared" si="2"/>
        <v>0</v>
      </c>
      <c r="G41" s="422" t="str">
        <f t="shared" si="3"/>
        <v/>
      </c>
    </row>
    <row r="42" spans="1:7" x14ac:dyDescent="0.2">
      <c r="A42" s="422">
        <f>Biodata!A44</f>
        <v>36</v>
      </c>
      <c r="B42" s="427" t="str">
        <f>Biodata!B44</f>
        <v>036</v>
      </c>
      <c r="C42" s="428" t="str">
        <f>Biodata!C44</f>
        <v>A36</v>
      </c>
      <c r="D42" s="422">
        <f t="shared" si="0"/>
        <v>0</v>
      </c>
      <c r="E42" s="422" t="str">
        <f t="shared" si="1"/>
        <v/>
      </c>
      <c r="F42" s="422">
        <f t="shared" si="2"/>
        <v>0</v>
      </c>
      <c r="G42" s="422" t="str">
        <f t="shared" si="3"/>
        <v/>
      </c>
    </row>
    <row r="43" spans="1:7" x14ac:dyDescent="0.2">
      <c r="A43" s="422">
        <f>Biodata!A45</f>
        <v>37</v>
      </c>
      <c r="B43" s="427" t="str">
        <f>Biodata!B45</f>
        <v>037</v>
      </c>
      <c r="C43" s="428" t="str">
        <f>Biodata!C45</f>
        <v>A37</v>
      </c>
      <c r="D43" s="422">
        <f t="shared" si="0"/>
        <v>0</v>
      </c>
      <c r="E43" s="422" t="str">
        <f t="shared" si="1"/>
        <v/>
      </c>
      <c r="F43" s="422">
        <f t="shared" si="2"/>
        <v>0</v>
      </c>
      <c r="G43" s="422" t="str">
        <f t="shared" si="3"/>
        <v/>
      </c>
    </row>
    <row r="44" spans="1:7" x14ac:dyDescent="0.2">
      <c r="A44" s="422">
        <f>Biodata!A46</f>
        <v>38</v>
      </c>
      <c r="B44" s="427" t="str">
        <f>Biodata!B46</f>
        <v>038</v>
      </c>
      <c r="C44" s="428" t="str">
        <f>Biodata!C46</f>
        <v>A38</v>
      </c>
      <c r="D44" s="422">
        <f t="shared" si="0"/>
        <v>0</v>
      </c>
      <c r="E44" s="422" t="str">
        <f t="shared" si="1"/>
        <v/>
      </c>
      <c r="F44" s="422">
        <f t="shared" si="2"/>
        <v>0</v>
      </c>
      <c r="G44" s="422" t="str">
        <f t="shared" si="3"/>
        <v/>
      </c>
    </row>
    <row r="45" spans="1:7" x14ac:dyDescent="0.2">
      <c r="A45" s="422">
        <f>Biodata!A47</f>
        <v>39</v>
      </c>
      <c r="B45" s="427" t="str">
        <f>Biodata!B47</f>
        <v>039</v>
      </c>
      <c r="C45" s="428" t="str">
        <f>Biodata!C47</f>
        <v>A39</v>
      </c>
      <c r="D45" s="422">
        <f t="shared" si="0"/>
        <v>0</v>
      </c>
      <c r="E45" s="422" t="str">
        <f t="shared" si="1"/>
        <v/>
      </c>
      <c r="F45" s="422">
        <f t="shared" si="2"/>
        <v>0</v>
      </c>
      <c r="G45" s="422" t="str">
        <f t="shared" si="3"/>
        <v/>
      </c>
    </row>
    <row r="46" spans="1:7" x14ac:dyDescent="0.2">
      <c r="A46" s="422">
        <f>Biodata!A48</f>
        <v>40</v>
      </c>
      <c r="B46" s="427" t="str">
        <f>Biodata!B48</f>
        <v>040</v>
      </c>
      <c r="C46" s="428" t="str">
        <f>Biodata!C48</f>
        <v>A40</v>
      </c>
      <c r="D46" s="422">
        <f t="shared" si="0"/>
        <v>0</v>
      </c>
      <c r="E46" s="422" t="str">
        <f t="shared" si="1"/>
        <v/>
      </c>
      <c r="F46" s="422">
        <f t="shared" si="2"/>
        <v>0</v>
      </c>
      <c r="G46" s="422" t="str">
        <f t="shared" si="3"/>
        <v/>
      </c>
    </row>
    <row r="47" spans="1:7" x14ac:dyDescent="0.2">
      <c r="C47" s="432"/>
    </row>
    <row r="48" spans="1:7" x14ac:dyDescent="0.2">
      <c r="C48" s="432"/>
    </row>
    <row r="49" spans="3:3" s="425" customFormat="1" x14ac:dyDescent="0.2">
      <c r="C49" s="432"/>
    </row>
    <row r="50" spans="3:3" s="425" customFormat="1" x14ac:dyDescent="0.2">
      <c r="C50" s="432"/>
    </row>
  </sheetData>
  <sheetProtection sheet="1" objects="1" scenarios="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activeCell="D5" sqref="D5"/>
    </sheetView>
  </sheetViews>
  <sheetFormatPr defaultRowHeight="11.25" x14ac:dyDescent="0.2"/>
  <cols>
    <col min="1" max="1" width="3.7109375" style="422" customWidth="1"/>
    <col min="2" max="2" width="7.140625" style="422" customWidth="1"/>
    <col min="3" max="3" width="21.7109375" style="425" customWidth="1"/>
    <col min="4" max="4" width="11.85546875" style="422" customWidth="1"/>
    <col min="5" max="5" width="8" style="422" customWidth="1"/>
    <col min="6" max="6" width="12" style="422" customWidth="1"/>
    <col min="7" max="7" width="8" style="422" customWidth="1"/>
    <col min="8" max="16384" width="9.140625" style="425"/>
  </cols>
  <sheetData>
    <row r="1" spans="1:7" x14ac:dyDescent="0.2">
      <c r="C1" s="423" t="s">
        <v>322</v>
      </c>
      <c r="D1" s="424" t="str">
        <f>Biodata!C4</f>
        <v xml:space="preserve"> X / IPS_5 </v>
      </c>
    </row>
    <row r="2" spans="1:7" x14ac:dyDescent="0.2">
      <c r="C2" s="423" t="s">
        <v>321</v>
      </c>
      <c r="D2" s="424" t="str">
        <f>Biodata!C5</f>
        <v>2 / Genap</v>
      </c>
    </row>
    <row r="3" spans="1:7" x14ac:dyDescent="0.2">
      <c r="D3" s="424"/>
    </row>
    <row r="4" spans="1:7" x14ac:dyDescent="0.2">
      <c r="C4" s="423" t="s">
        <v>320</v>
      </c>
      <c r="D4" s="424" t="str">
        <f>LEGER!K6</f>
        <v>Bahasa Inggris</v>
      </c>
    </row>
    <row r="5" spans="1:7" x14ac:dyDescent="0.2">
      <c r="C5" s="423" t="s">
        <v>319</v>
      </c>
      <c r="D5" s="424">
        <f>RAPORT!C82</f>
        <v>70</v>
      </c>
    </row>
    <row r="6" spans="1:7" x14ac:dyDescent="0.2">
      <c r="A6" s="422" t="s">
        <v>323</v>
      </c>
      <c r="B6" s="422" t="s">
        <v>10</v>
      </c>
      <c r="C6" s="425" t="s">
        <v>324</v>
      </c>
      <c r="D6" s="422" t="s">
        <v>74</v>
      </c>
      <c r="E6" s="422" t="s">
        <v>72</v>
      </c>
      <c r="F6" s="422" t="s">
        <v>146</v>
      </c>
      <c r="G6" s="422" t="s">
        <v>72</v>
      </c>
    </row>
    <row r="7" spans="1:7" x14ac:dyDescent="0.2">
      <c r="A7" s="422">
        <f>Biodata!A9</f>
        <v>1</v>
      </c>
      <c r="B7" s="427" t="str">
        <f>Biodata!B9</f>
        <v>181910008</v>
      </c>
      <c r="C7" s="428" t="str">
        <f>Biodata!C9</f>
        <v>ADITA TRI KURNIA PUTRI</v>
      </c>
      <c r="D7" s="422">
        <f t="shared" ref="D7:D46" si="0">IFERROR(VLOOKUP(B7&amp;"A",leggerx1,8,0),"")</f>
        <v>0</v>
      </c>
      <c r="E7" s="422" t="str">
        <f t="shared" ref="E7:E46" si="1">IFERROR(VLOOKUP(B7&amp;"C",leggerx1,8,0),"")</f>
        <v/>
      </c>
      <c r="F7" s="422">
        <f t="shared" ref="F7:F46" si="2">IFERROR(VLOOKUP(B7&amp;"B",leggerx1,8,0),"")</f>
        <v>0</v>
      </c>
      <c r="G7" s="422" t="str">
        <f t="shared" ref="G7:G46" si="3">IFERROR(VLOOKUP(B7&amp;"D",leggerx1,8,0),"")</f>
        <v/>
      </c>
    </row>
    <row r="8" spans="1:7" x14ac:dyDescent="0.2">
      <c r="A8" s="422">
        <f>Biodata!A10</f>
        <v>2</v>
      </c>
      <c r="B8" s="427" t="str">
        <f>Biodata!B10</f>
        <v>181910011</v>
      </c>
      <c r="C8" s="428" t="str">
        <f>Biodata!C10</f>
        <v xml:space="preserve">ADNES KOMALA DEWI </v>
      </c>
      <c r="D8" s="422">
        <f t="shared" si="0"/>
        <v>57</v>
      </c>
      <c r="E8" s="422" t="str">
        <f t="shared" si="1"/>
        <v>D</v>
      </c>
      <c r="F8" s="422">
        <f t="shared" si="2"/>
        <v>71</v>
      </c>
      <c r="G8" s="422" t="str">
        <f t="shared" si="3"/>
        <v>C</v>
      </c>
    </row>
    <row r="9" spans="1:7" x14ac:dyDescent="0.2">
      <c r="A9" s="422">
        <f>Biodata!A11</f>
        <v>3</v>
      </c>
      <c r="B9" s="427" t="str">
        <f>Biodata!B11</f>
        <v>181910014</v>
      </c>
      <c r="C9" s="428" t="str">
        <f>Biodata!C11</f>
        <v>AGUNG BUDI PRASTAWA</v>
      </c>
      <c r="D9" s="422">
        <f t="shared" si="0"/>
        <v>52</v>
      </c>
      <c r="E9" s="422" t="str">
        <f t="shared" si="1"/>
        <v>D</v>
      </c>
      <c r="F9" s="422">
        <f t="shared" si="2"/>
        <v>66</v>
      </c>
      <c r="G9" s="422" t="str">
        <f t="shared" si="3"/>
        <v>D</v>
      </c>
    </row>
    <row r="10" spans="1:7" x14ac:dyDescent="0.2">
      <c r="A10" s="422">
        <f>Biodata!A12</f>
        <v>4</v>
      </c>
      <c r="B10" s="427" t="str">
        <f>Biodata!B12</f>
        <v>181910045</v>
      </c>
      <c r="C10" s="428" t="str">
        <f>Biodata!C12</f>
        <v>ARYA DYTA WIGUNA</v>
      </c>
      <c r="D10" s="422">
        <f t="shared" si="0"/>
        <v>71</v>
      </c>
      <c r="E10" s="422" t="str">
        <f t="shared" si="1"/>
        <v>C</v>
      </c>
      <c r="F10" s="422">
        <f t="shared" si="2"/>
        <v>73</v>
      </c>
      <c r="G10" s="422" t="str">
        <f t="shared" si="3"/>
        <v>C</v>
      </c>
    </row>
    <row r="11" spans="1:7" x14ac:dyDescent="0.2">
      <c r="A11" s="422">
        <f>Biodata!A13</f>
        <v>5</v>
      </c>
      <c r="B11" s="427" t="str">
        <f>Biodata!B13</f>
        <v>181910054</v>
      </c>
      <c r="C11" s="428" t="str">
        <f>Biodata!C13</f>
        <v>AZRIEL TAMA SANTIAJI</v>
      </c>
      <c r="D11" s="422">
        <f t="shared" si="0"/>
        <v>58</v>
      </c>
      <c r="E11" s="422" t="str">
        <f t="shared" si="1"/>
        <v>D</v>
      </c>
      <c r="F11" s="422">
        <f t="shared" si="2"/>
        <v>66</v>
      </c>
      <c r="G11" s="422" t="str">
        <f t="shared" si="3"/>
        <v>D</v>
      </c>
    </row>
    <row r="12" spans="1:7" x14ac:dyDescent="0.2">
      <c r="A12" s="422">
        <f>Biodata!A14</f>
        <v>6</v>
      </c>
      <c r="B12" s="427" t="str">
        <f>Biodata!B14</f>
        <v>181910055</v>
      </c>
      <c r="C12" s="428" t="str">
        <f>Biodata!C14</f>
        <v>AZZUHRI HAUDI</v>
      </c>
      <c r="D12" s="422">
        <f t="shared" si="0"/>
        <v>57</v>
      </c>
      <c r="E12" s="422" t="str">
        <f t="shared" si="1"/>
        <v>D</v>
      </c>
      <c r="F12" s="422">
        <f t="shared" si="2"/>
        <v>66</v>
      </c>
      <c r="G12" s="422" t="str">
        <f t="shared" si="3"/>
        <v>D</v>
      </c>
    </row>
    <row r="13" spans="1:7" x14ac:dyDescent="0.2">
      <c r="A13" s="422">
        <f>Biodata!A15</f>
        <v>7</v>
      </c>
      <c r="B13" s="427" t="str">
        <f>Biodata!B15</f>
        <v>181910056</v>
      </c>
      <c r="C13" s="428" t="str">
        <f>Biodata!C15</f>
        <v>BAYU BATARA SURYA PUTRA</v>
      </c>
      <c r="D13" s="422">
        <f t="shared" si="0"/>
        <v>55</v>
      </c>
      <c r="E13" s="422" t="str">
        <f t="shared" si="1"/>
        <v>D</v>
      </c>
      <c r="F13" s="422">
        <f t="shared" si="2"/>
        <v>73</v>
      </c>
      <c r="G13" s="422" t="str">
        <f t="shared" si="3"/>
        <v>C</v>
      </c>
    </row>
    <row r="14" spans="1:7" x14ac:dyDescent="0.2">
      <c r="A14" s="422">
        <f>Biodata!A16</f>
        <v>8</v>
      </c>
      <c r="B14" s="427" t="str">
        <f>Biodata!B16</f>
        <v>181910069</v>
      </c>
      <c r="C14" s="428" t="str">
        <f>Biodata!C16</f>
        <v>DANDY ERVAN PRATAMA</v>
      </c>
      <c r="D14" s="422">
        <f t="shared" si="0"/>
        <v>46</v>
      </c>
      <c r="E14" s="422" t="str">
        <f t="shared" si="1"/>
        <v>D</v>
      </c>
      <c r="F14" s="422">
        <f t="shared" si="2"/>
        <v>66</v>
      </c>
      <c r="G14" s="422" t="str">
        <f t="shared" si="3"/>
        <v>D</v>
      </c>
    </row>
    <row r="15" spans="1:7" x14ac:dyDescent="0.2">
      <c r="A15" s="422">
        <f>Biodata!A17</f>
        <v>9</v>
      </c>
      <c r="B15" s="427" t="str">
        <f>Biodata!B17</f>
        <v>181910085</v>
      </c>
      <c r="C15" s="428" t="str">
        <f>Biodata!C17</f>
        <v>DENISA ASTI RAHMAWATI</v>
      </c>
      <c r="D15" s="422">
        <f t="shared" si="0"/>
        <v>70</v>
      </c>
      <c r="E15" s="422" t="str">
        <f t="shared" si="1"/>
        <v>C</v>
      </c>
      <c r="F15" s="422">
        <f t="shared" si="2"/>
        <v>70</v>
      </c>
      <c r="G15" s="422" t="str">
        <f t="shared" si="3"/>
        <v>C</v>
      </c>
    </row>
    <row r="16" spans="1:7" x14ac:dyDescent="0.2">
      <c r="A16" s="422">
        <f>Biodata!A18</f>
        <v>10</v>
      </c>
      <c r="B16" s="427" t="str">
        <f>Biodata!B18</f>
        <v>181910093</v>
      </c>
      <c r="C16" s="428" t="str">
        <f>Biodata!C18</f>
        <v>DIAN RAMDHAN SAPTIAN</v>
      </c>
      <c r="D16" s="422">
        <f t="shared" si="0"/>
        <v>52</v>
      </c>
      <c r="E16" s="422" t="str">
        <f t="shared" si="1"/>
        <v>D</v>
      </c>
      <c r="F16" s="422">
        <f t="shared" si="2"/>
        <v>66</v>
      </c>
      <c r="G16" s="422" t="str">
        <f t="shared" si="3"/>
        <v>D</v>
      </c>
    </row>
    <row r="17" spans="1:7" x14ac:dyDescent="0.2">
      <c r="A17" s="422">
        <f>Biodata!A19</f>
        <v>11</v>
      </c>
      <c r="B17" s="427" t="str">
        <f>Biodata!B19</f>
        <v>181910103</v>
      </c>
      <c r="C17" s="428" t="str">
        <f>Biodata!C19</f>
        <v>DIVYA ADHIANI NURDIN</v>
      </c>
      <c r="D17" s="422">
        <f t="shared" si="0"/>
        <v>71</v>
      </c>
      <c r="E17" s="422" t="str">
        <f t="shared" si="1"/>
        <v>C</v>
      </c>
      <c r="F17" s="422">
        <f t="shared" si="2"/>
        <v>73</v>
      </c>
      <c r="G17" s="422" t="str">
        <f t="shared" si="3"/>
        <v>C</v>
      </c>
    </row>
    <row r="18" spans="1:7" x14ac:dyDescent="0.2">
      <c r="A18" s="422">
        <f>Biodata!A20</f>
        <v>12</v>
      </c>
      <c r="B18" s="427" t="str">
        <f>Biodata!B20</f>
        <v>181910104</v>
      </c>
      <c r="C18" s="428" t="str">
        <f>Biodata!C20</f>
        <v>DWIKI DERMAWAN</v>
      </c>
      <c r="D18" s="422">
        <f t="shared" si="0"/>
        <v>47</v>
      </c>
      <c r="E18" s="422" t="str">
        <f t="shared" si="1"/>
        <v>D</v>
      </c>
      <c r="F18" s="422">
        <f t="shared" si="2"/>
        <v>66</v>
      </c>
      <c r="G18" s="422" t="str">
        <f t="shared" si="3"/>
        <v>D</v>
      </c>
    </row>
    <row r="19" spans="1:7" x14ac:dyDescent="0.2">
      <c r="A19" s="422">
        <f>Biodata!A21</f>
        <v>13</v>
      </c>
      <c r="B19" s="427" t="str">
        <f>Biodata!B21</f>
        <v>181910118</v>
      </c>
      <c r="C19" s="428" t="str">
        <f>Biodata!C21</f>
        <v>ENCEP CANDRA</v>
      </c>
      <c r="D19" s="422">
        <f t="shared" si="0"/>
        <v>70</v>
      </c>
      <c r="E19" s="422" t="str">
        <f t="shared" si="1"/>
        <v>C</v>
      </c>
      <c r="F19" s="422">
        <f t="shared" si="2"/>
        <v>71</v>
      </c>
      <c r="G19" s="422" t="str">
        <f t="shared" si="3"/>
        <v>C</v>
      </c>
    </row>
    <row r="20" spans="1:7" x14ac:dyDescent="0.2">
      <c r="A20" s="422">
        <f>Biodata!A22</f>
        <v>14</v>
      </c>
      <c r="B20" s="427" t="str">
        <f>Biodata!B22</f>
        <v>181910128</v>
      </c>
      <c r="C20" s="428" t="str">
        <f>Biodata!C22</f>
        <v>FAIZAL EGI</v>
      </c>
      <c r="D20" s="422">
        <f t="shared" si="0"/>
        <v>49</v>
      </c>
      <c r="E20" s="422" t="str">
        <f t="shared" si="1"/>
        <v>D</v>
      </c>
      <c r="F20" s="422">
        <f t="shared" si="2"/>
        <v>66</v>
      </c>
      <c r="G20" s="422" t="str">
        <f t="shared" si="3"/>
        <v>D</v>
      </c>
    </row>
    <row r="21" spans="1:7" x14ac:dyDescent="0.2">
      <c r="A21" s="422">
        <f>Biodata!A23</f>
        <v>15</v>
      </c>
      <c r="B21" s="427" t="str">
        <f>Biodata!B23</f>
        <v>181910133</v>
      </c>
      <c r="C21" s="428" t="str">
        <f>Biodata!C23</f>
        <v>FAUZI DHALFADLIL AZHANI</v>
      </c>
      <c r="D21" s="422">
        <f t="shared" si="0"/>
        <v>52</v>
      </c>
      <c r="E21" s="422" t="str">
        <f t="shared" si="1"/>
        <v>D</v>
      </c>
      <c r="F21" s="422">
        <f t="shared" si="2"/>
        <v>66</v>
      </c>
      <c r="G21" s="422" t="str">
        <f t="shared" si="3"/>
        <v>D</v>
      </c>
    </row>
    <row r="22" spans="1:7" x14ac:dyDescent="0.2">
      <c r="A22" s="422">
        <f>Biodata!A24</f>
        <v>16</v>
      </c>
      <c r="B22" s="427" t="str">
        <f>Biodata!B24</f>
        <v>181910161</v>
      </c>
      <c r="C22" s="428" t="str">
        <f>Biodata!C24</f>
        <v>HILMAN PUTRA PAMUNGKAS</v>
      </c>
      <c r="D22" s="422">
        <f t="shared" si="0"/>
        <v>71</v>
      </c>
      <c r="E22" s="422" t="str">
        <f t="shared" si="1"/>
        <v>C</v>
      </c>
      <c r="F22" s="422">
        <f t="shared" si="2"/>
        <v>71</v>
      </c>
      <c r="G22" s="422" t="str">
        <f t="shared" si="3"/>
        <v>C</v>
      </c>
    </row>
    <row r="23" spans="1:7" x14ac:dyDescent="0.2">
      <c r="A23" s="422">
        <f>Biodata!A25</f>
        <v>17</v>
      </c>
      <c r="B23" s="427" t="str">
        <f>Biodata!B25</f>
        <v>181910165</v>
      </c>
      <c r="C23" s="428" t="str">
        <f>Biodata!C25</f>
        <v>IHSYA FADILLAH MUSLIM</v>
      </c>
      <c r="D23" s="422">
        <f t="shared" si="0"/>
        <v>59</v>
      </c>
      <c r="E23" s="422" t="str">
        <f t="shared" si="1"/>
        <v>D</v>
      </c>
      <c r="F23" s="422">
        <f t="shared" si="2"/>
        <v>70</v>
      </c>
      <c r="G23" s="422" t="str">
        <f t="shared" si="3"/>
        <v>C</v>
      </c>
    </row>
    <row r="24" spans="1:7" x14ac:dyDescent="0.2">
      <c r="A24" s="422">
        <f>Biodata!A26</f>
        <v>18</v>
      </c>
      <c r="B24" s="427" t="str">
        <f>Biodata!B26</f>
        <v>181910185</v>
      </c>
      <c r="C24" s="428" t="str">
        <f>Biodata!C26</f>
        <v>JIHAD AKBAR</v>
      </c>
      <c r="D24" s="422">
        <f t="shared" si="0"/>
        <v>46</v>
      </c>
      <c r="E24" s="422" t="str">
        <f t="shared" si="1"/>
        <v>D</v>
      </c>
      <c r="F24" s="422">
        <f t="shared" si="2"/>
        <v>66</v>
      </c>
      <c r="G24" s="422" t="str">
        <f t="shared" si="3"/>
        <v>D</v>
      </c>
    </row>
    <row r="25" spans="1:7" x14ac:dyDescent="0.2">
      <c r="A25" s="422">
        <f>Biodata!A27</f>
        <v>19</v>
      </c>
      <c r="B25" s="427" t="str">
        <f>Biodata!B27</f>
        <v>181910226</v>
      </c>
      <c r="C25" s="428" t="str">
        <f>Biodata!C27</f>
        <v>MUHAMAD IZZAZUL FIKRIAN</v>
      </c>
      <c r="D25" s="422">
        <f t="shared" si="0"/>
        <v>0</v>
      </c>
      <c r="E25" s="422" t="str">
        <f t="shared" si="1"/>
        <v/>
      </c>
      <c r="F25" s="422">
        <f t="shared" si="2"/>
        <v>0</v>
      </c>
      <c r="G25" s="422" t="str">
        <f t="shared" si="3"/>
        <v/>
      </c>
    </row>
    <row r="26" spans="1:7" x14ac:dyDescent="0.2">
      <c r="A26" s="422">
        <f>Biodata!A28</f>
        <v>20</v>
      </c>
      <c r="B26" s="427" t="str">
        <f>Biodata!B28</f>
        <v>181910433</v>
      </c>
      <c r="C26" s="428" t="str">
        <f>Biodata!C28</f>
        <v>MUHAMAD RIZAL</v>
      </c>
      <c r="D26" s="422">
        <f t="shared" si="0"/>
        <v>45</v>
      </c>
      <c r="E26" s="422" t="str">
        <f t="shared" si="1"/>
        <v>D</v>
      </c>
      <c r="F26" s="422">
        <f t="shared" si="2"/>
        <v>66</v>
      </c>
      <c r="G26" s="422" t="str">
        <f t="shared" si="3"/>
        <v>D</v>
      </c>
    </row>
    <row r="27" spans="1:7" x14ac:dyDescent="0.2">
      <c r="A27" s="422">
        <f>Biodata!A29</f>
        <v>21</v>
      </c>
      <c r="B27" s="427" t="str">
        <f>Biodata!B29</f>
        <v>181910240</v>
      </c>
      <c r="C27" s="428" t="str">
        <f>Biodata!C29</f>
        <v>NESHA RAUDHATUL ZANNAH</v>
      </c>
      <c r="D27" s="422">
        <f t="shared" si="0"/>
        <v>70</v>
      </c>
      <c r="E27" s="422" t="str">
        <f t="shared" si="1"/>
        <v>C</v>
      </c>
      <c r="F27" s="422">
        <f t="shared" si="2"/>
        <v>73</v>
      </c>
      <c r="G27" s="422" t="str">
        <f t="shared" si="3"/>
        <v>C</v>
      </c>
    </row>
    <row r="28" spans="1:7" x14ac:dyDescent="0.2">
      <c r="A28" s="422">
        <f>Biodata!A30</f>
        <v>22</v>
      </c>
      <c r="B28" s="427" t="str">
        <f>Biodata!B30</f>
        <v>181910262</v>
      </c>
      <c r="C28" s="428" t="str">
        <f>Biodata!C30</f>
        <v>PUTRI ANGGRAENI</v>
      </c>
      <c r="D28" s="422">
        <f t="shared" si="0"/>
        <v>70</v>
      </c>
      <c r="E28" s="422" t="str">
        <f t="shared" si="1"/>
        <v>C</v>
      </c>
      <c r="F28" s="422">
        <f t="shared" si="2"/>
        <v>73</v>
      </c>
      <c r="G28" s="422" t="str">
        <f t="shared" si="3"/>
        <v>C</v>
      </c>
    </row>
    <row r="29" spans="1:7" x14ac:dyDescent="0.2">
      <c r="A29" s="422">
        <f>Biodata!A31</f>
        <v>23</v>
      </c>
      <c r="B29" s="427" t="str">
        <f>Biodata!B31</f>
        <v>181910266</v>
      </c>
      <c r="C29" s="428" t="str">
        <f>Biodata!C31</f>
        <v>PUTRI WULANDARI</v>
      </c>
      <c r="D29" s="422">
        <f t="shared" si="0"/>
        <v>70</v>
      </c>
      <c r="E29" s="422" t="str">
        <f t="shared" si="1"/>
        <v>C</v>
      </c>
      <c r="F29" s="422">
        <f t="shared" si="2"/>
        <v>68</v>
      </c>
      <c r="G29" s="422" t="str">
        <f t="shared" si="3"/>
        <v>D</v>
      </c>
    </row>
    <row r="30" spans="1:7" x14ac:dyDescent="0.2">
      <c r="A30" s="422">
        <f>Biodata!A32</f>
        <v>24</v>
      </c>
      <c r="B30" s="427" t="str">
        <f>Biodata!B32</f>
        <v>181910272</v>
      </c>
      <c r="C30" s="428" t="str">
        <f>Biodata!C32</f>
        <v>RAFLY GYMNASTIAR</v>
      </c>
      <c r="D30" s="422">
        <f t="shared" si="0"/>
        <v>41</v>
      </c>
      <c r="E30" s="422" t="str">
        <f t="shared" si="1"/>
        <v>D</v>
      </c>
      <c r="F30" s="422">
        <f t="shared" si="2"/>
        <v>66</v>
      </c>
      <c r="G30" s="422" t="str">
        <f t="shared" si="3"/>
        <v>D</v>
      </c>
    </row>
    <row r="31" spans="1:7" x14ac:dyDescent="0.2">
      <c r="A31" s="422">
        <f>Biodata!A33</f>
        <v>25</v>
      </c>
      <c r="B31" s="427" t="str">
        <f>Biodata!B33</f>
        <v>181910280</v>
      </c>
      <c r="C31" s="428" t="str">
        <f>Biodata!C33</f>
        <v>REFIANA</v>
      </c>
      <c r="D31" s="422">
        <f t="shared" si="0"/>
        <v>57</v>
      </c>
      <c r="E31" s="422" t="str">
        <f t="shared" si="1"/>
        <v>D</v>
      </c>
      <c r="F31" s="422">
        <f t="shared" si="2"/>
        <v>69</v>
      </c>
      <c r="G31" s="422" t="str">
        <f t="shared" si="3"/>
        <v>D</v>
      </c>
    </row>
    <row r="32" spans="1:7" x14ac:dyDescent="0.2">
      <c r="A32" s="422">
        <f>Biodata!A34</f>
        <v>26</v>
      </c>
      <c r="B32" s="427" t="str">
        <f>Biodata!B34</f>
        <v>181910285</v>
      </c>
      <c r="C32" s="428" t="str">
        <f>Biodata!C34</f>
        <v>RENALDI PRIYATAMA</v>
      </c>
      <c r="D32" s="422">
        <f t="shared" si="0"/>
        <v>46</v>
      </c>
      <c r="E32" s="422" t="str">
        <f t="shared" si="1"/>
        <v>D</v>
      </c>
      <c r="F32" s="422">
        <f t="shared" si="2"/>
        <v>66</v>
      </c>
      <c r="G32" s="422" t="str">
        <f t="shared" si="3"/>
        <v>D</v>
      </c>
    </row>
    <row r="33" spans="1:7" x14ac:dyDescent="0.2">
      <c r="A33" s="422">
        <f>Biodata!A35</f>
        <v>27</v>
      </c>
      <c r="B33" s="427" t="str">
        <f>Biodata!B35</f>
        <v>181910286</v>
      </c>
      <c r="C33" s="428" t="str">
        <f>Biodata!C35</f>
        <v>RENATA</v>
      </c>
      <c r="D33" s="422">
        <f t="shared" si="0"/>
        <v>70</v>
      </c>
      <c r="E33" s="422" t="str">
        <f t="shared" si="1"/>
        <v>C</v>
      </c>
      <c r="F33" s="422">
        <f t="shared" si="2"/>
        <v>73</v>
      </c>
      <c r="G33" s="422" t="str">
        <f t="shared" si="3"/>
        <v>C</v>
      </c>
    </row>
    <row r="34" spans="1:7" x14ac:dyDescent="0.2">
      <c r="A34" s="422">
        <f>Biodata!A36</f>
        <v>28</v>
      </c>
      <c r="B34" s="427" t="str">
        <f>Biodata!B36</f>
        <v>181910293</v>
      </c>
      <c r="C34" s="428" t="str">
        <f>Biodata!C36</f>
        <v xml:space="preserve">REZA ERNANDA </v>
      </c>
      <c r="D34" s="422">
        <f t="shared" si="0"/>
        <v>71</v>
      </c>
      <c r="E34" s="422" t="str">
        <f t="shared" si="1"/>
        <v>C</v>
      </c>
      <c r="F34" s="422">
        <f t="shared" si="2"/>
        <v>73</v>
      </c>
      <c r="G34" s="422" t="str">
        <f t="shared" si="3"/>
        <v>C</v>
      </c>
    </row>
    <row r="35" spans="1:7" x14ac:dyDescent="0.2">
      <c r="A35" s="422">
        <f>Biodata!A37</f>
        <v>29</v>
      </c>
      <c r="B35" s="427" t="str">
        <f>Biodata!B37</f>
        <v>181910300</v>
      </c>
      <c r="C35" s="428" t="str">
        <f>Biodata!C37</f>
        <v>RIFAN MUHAMAD RIZKI</v>
      </c>
      <c r="D35" s="422">
        <f t="shared" si="0"/>
        <v>0</v>
      </c>
      <c r="E35" s="422" t="str">
        <f t="shared" si="1"/>
        <v/>
      </c>
      <c r="F35" s="422">
        <f t="shared" si="2"/>
        <v>0</v>
      </c>
      <c r="G35" s="422" t="str">
        <f t="shared" si="3"/>
        <v/>
      </c>
    </row>
    <row r="36" spans="1:7" x14ac:dyDescent="0.2">
      <c r="A36" s="422">
        <f>Biodata!A38</f>
        <v>30</v>
      </c>
      <c r="B36" s="427" t="str">
        <f>Biodata!B38</f>
        <v>181910318</v>
      </c>
      <c r="C36" s="428" t="str">
        <f>Biodata!C38</f>
        <v>RISMA SURYANI</v>
      </c>
      <c r="D36" s="422">
        <f t="shared" si="0"/>
        <v>70</v>
      </c>
      <c r="E36" s="422" t="str">
        <f t="shared" si="1"/>
        <v>C</v>
      </c>
      <c r="F36" s="422">
        <f t="shared" si="2"/>
        <v>74</v>
      </c>
      <c r="G36" s="422" t="str">
        <f t="shared" si="3"/>
        <v>C</v>
      </c>
    </row>
    <row r="37" spans="1:7" x14ac:dyDescent="0.2">
      <c r="A37" s="422">
        <f>Biodata!A39</f>
        <v>31</v>
      </c>
      <c r="B37" s="427" t="str">
        <f>Biodata!B39</f>
        <v>181910320</v>
      </c>
      <c r="C37" s="428" t="str">
        <f>Biodata!C39</f>
        <v>RISNA TIRANI</v>
      </c>
      <c r="D37" s="422">
        <f t="shared" si="0"/>
        <v>81</v>
      </c>
      <c r="E37" s="422" t="str">
        <f t="shared" si="1"/>
        <v>B</v>
      </c>
      <c r="F37" s="422">
        <f t="shared" si="2"/>
        <v>77</v>
      </c>
      <c r="G37" s="422" t="str">
        <f t="shared" si="3"/>
        <v>C</v>
      </c>
    </row>
    <row r="38" spans="1:7" x14ac:dyDescent="0.2">
      <c r="A38" s="422">
        <f>Biodata!A40</f>
        <v>32</v>
      </c>
      <c r="B38" s="427" t="str">
        <f>Biodata!B40</f>
        <v>181910331</v>
      </c>
      <c r="C38" s="428" t="str">
        <f>Biodata!C40</f>
        <v>RULLY PRATAMA S.</v>
      </c>
      <c r="D38" s="422">
        <f t="shared" si="0"/>
        <v>70</v>
      </c>
      <c r="E38" s="422" t="str">
        <f t="shared" si="1"/>
        <v>C</v>
      </c>
      <c r="F38" s="422">
        <f t="shared" si="2"/>
        <v>71</v>
      </c>
      <c r="G38" s="422" t="str">
        <f t="shared" si="3"/>
        <v>C</v>
      </c>
    </row>
    <row r="39" spans="1:7" x14ac:dyDescent="0.2">
      <c r="A39" s="422">
        <f>Biodata!A41</f>
        <v>33</v>
      </c>
      <c r="B39" s="427" t="str">
        <f>Biodata!B41</f>
        <v>181910335</v>
      </c>
      <c r="C39" s="428" t="str">
        <f>Biodata!C41</f>
        <v>SALSA ASYKIYA</v>
      </c>
      <c r="D39" s="422">
        <f t="shared" si="0"/>
        <v>78</v>
      </c>
      <c r="E39" s="422" t="str">
        <f t="shared" si="1"/>
        <v>C</v>
      </c>
      <c r="F39" s="422">
        <f t="shared" si="2"/>
        <v>77</v>
      </c>
      <c r="G39" s="422" t="str">
        <f t="shared" si="3"/>
        <v>C</v>
      </c>
    </row>
    <row r="40" spans="1:7" x14ac:dyDescent="0.2">
      <c r="A40" s="422">
        <f>Biodata!A42</f>
        <v>34</v>
      </c>
      <c r="B40" s="427" t="str">
        <f>Biodata!B42</f>
        <v>181910353</v>
      </c>
      <c r="C40" s="428" t="str">
        <f>Biodata!C42</f>
        <v>SILFI HAMIDAH</v>
      </c>
      <c r="D40" s="422">
        <f t="shared" si="0"/>
        <v>70</v>
      </c>
      <c r="E40" s="422" t="str">
        <f t="shared" si="1"/>
        <v>C</v>
      </c>
      <c r="F40" s="422">
        <f t="shared" si="2"/>
        <v>71</v>
      </c>
      <c r="G40" s="422" t="str">
        <f t="shared" si="3"/>
        <v>C</v>
      </c>
    </row>
    <row r="41" spans="1:7" x14ac:dyDescent="0.2">
      <c r="A41" s="422">
        <f>Biodata!A43</f>
        <v>35</v>
      </c>
      <c r="B41" s="427" t="str">
        <f>Biodata!B43</f>
        <v>181910408</v>
      </c>
      <c r="C41" s="428" t="str">
        <f>Biodata!C43</f>
        <v>YESHA RAHAYU</v>
      </c>
      <c r="D41" s="422">
        <f t="shared" si="0"/>
        <v>0</v>
      </c>
      <c r="E41" s="422" t="str">
        <f t="shared" si="1"/>
        <v/>
      </c>
      <c r="F41" s="422">
        <f t="shared" si="2"/>
        <v>0</v>
      </c>
      <c r="G41" s="422" t="str">
        <f t="shared" si="3"/>
        <v/>
      </c>
    </row>
    <row r="42" spans="1:7" x14ac:dyDescent="0.2">
      <c r="A42" s="422">
        <f>Biodata!A44</f>
        <v>36</v>
      </c>
      <c r="B42" s="427" t="str">
        <f>Biodata!B44</f>
        <v>036</v>
      </c>
      <c r="C42" s="428" t="str">
        <f>Biodata!C44</f>
        <v>A36</v>
      </c>
      <c r="D42" s="422">
        <f t="shared" si="0"/>
        <v>0</v>
      </c>
      <c r="E42" s="422" t="str">
        <f t="shared" si="1"/>
        <v/>
      </c>
      <c r="F42" s="422">
        <f t="shared" si="2"/>
        <v>0</v>
      </c>
      <c r="G42" s="422" t="str">
        <f t="shared" si="3"/>
        <v/>
      </c>
    </row>
    <row r="43" spans="1:7" x14ac:dyDescent="0.2">
      <c r="A43" s="422">
        <f>Biodata!A45</f>
        <v>37</v>
      </c>
      <c r="B43" s="427" t="str">
        <f>Biodata!B45</f>
        <v>037</v>
      </c>
      <c r="C43" s="428" t="str">
        <f>Biodata!C45</f>
        <v>A37</v>
      </c>
      <c r="D43" s="422">
        <f t="shared" si="0"/>
        <v>0</v>
      </c>
      <c r="E43" s="422" t="str">
        <f t="shared" si="1"/>
        <v/>
      </c>
      <c r="F43" s="422">
        <f t="shared" si="2"/>
        <v>0</v>
      </c>
      <c r="G43" s="422" t="str">
        <f t="shared" si="3"/>
        <v/>
      </c>
    </row>
    <row r="44" spans="1:7" x14ac:dyDescent="0.2">
      <c r="A44" s="422">
        <f>Biodata!A46</f>
        <v>38</v>
      </c>
      <c r="B44" s="427" t="str">
        <f>Biodata!B46</f>
        <v>038</v>
      </c>
      <c r="C44" s="428" t="str">
        <f>Biodata!C46</f>
        <v>A38</v>
      </c>
      <c r="D44" s="422">
        <f t="shared" si="0"/>
        <v>0</v>
      </c>
      <c r="E44" s="422" t="str">
        <f t="shared" si="1"/>
        <v/>
      </c>
      <c r="F44" s="422">
        <f t="shared" si="2"/>
        <v>0</v>
      </c>
      <c r="G44" s="422" t="str">
        <f t="shared" si="3"/>
        <v/>
      </c>
    </row>
    <row r="45" spans="1:7" x14ac:dyDescent="0.2">
      <c r="A45" s="422">
        <f>Biodata!A47</f>
        <v>39</v>
      </c>
      <c r="B45" s="427" t="str">
        <f>Biodata!B47</f>
        <v>039</v>
      </c>
      <c r="C45" s="428" t="str">
        <f>Biodata!C47</f>
        <v>A39</v>
      </c>
      <c r="D45" s="422">
        <f t="shared" si="0"/>
        <v>0</v>
      </c>
      <c r="E45" s="422" t="str">
        <f t="shared" si="1"/>
        <v/>
      </c>
      <c r="F45" s="422">
        <f t="shared" si="2"/>
        <v>0</v>
      </c>
      <c r="G45" s="422" t="str">
        <f t="shared" si="3"/>
        <v/>
      </c>
    </row>
    <row r="46" spans="1:7" x14ac:dyDescent="0.2">
      <c r="A46" s="422">
        <f>Biodata!A48</f>
        <v>40</v>
      </c>
      <c r="B46" s="427" t="str">
        <f>Biodata!B48</f>
        <v>040</v>
      </c>
      <c r="C46" s="428" t="str">
        <f>Biodata!C48</f>
        <v>A40</v>
      </c>
      <c r="D46" s="422">
        <f t="shared" si="0"/>
        <v>0</v>
      </c>
      <c r="E46" s="422" t="str">
        <f t="shared" si="1"/>
        <v/>
      </c>
      <c r="F46" s="422">
        <f t="shared" si="2"/>
        <v>0</v>
      </c>
      <c r="G46" s="422" t="str">
        <f t="shared" si="3"/>
        <v/>
      </c>
    </row>
    <row r="47" spans="1:7" x14ac:dyDescent="0.2">
      <c r="C47" s="432"/>
    </row>
    <row r="48" spans="1:7" x14ac:dyDescent="0.2">
      <c r="C48" s="432"/>
    </row>
    <row r="49" spans="3:3" s="425" customFormat="1" x14ac:dyDescent="0.2">
      <c r="C49" s="432"/>
    </row>
    <row r="50" spans="3:3" s="425" customFormat="1" x14ac:dyDescent="0.2">
      <c r="C50" s="432"/>
    </row>
  </sheetData>
  <sheetProtection sheet="1" objects="1" scenarios="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activeCell="D5" sqref="D5"/>
    </sheetView>
  </sheetViews>
  <sheetFormatPr defaultRowHeight="11.25" x14ac:dyDescent="0.2"/>
  <cols>
    <col min="1" max="1" width="3.7109375" style="422" customWidth="1"/>
    <col min="2" max="2" width="7.140625" style="422" customWidth="1"/>
    <col min="3" max="3" width="21.7109375" style="425" customWidth="1"/>
    <col min="4" max="4" width="11.85546875" style="422" customWidth="1"/>
    <col min="5" max="5" width="8" style="422" customWidth="1"/>
    <col min="6" max="6" width="12" style="422" customWidth="1"/>
    <col min="7" max="7" width="8" style="422" customWidth="1"/>
    <col min="8" max="16384" width="9.140625" style="425"/>
  </cols>
  <sheetData>
    <row r="1" spans="1:7" x14ac:dyDescent="0.2">
      <c r="C1" s="423" t="s">
        <v>322</v>
      </c>
      <c r="D1" s="424" t="str">
        <f>Biodata!C4</f>
        <v xml:space="preserve"> X / IPS_5 </v>
      </c>
    </row>
    <row r="2" spans="1:7" x14ac:dyDescent="0.2">
      <c r="C2" s="423" t="s">
        <v>321</v>
      </c>
      <c r="D2" s="424" t="str">
        <f>Biodata!C5</f>
        <v>2 / Genap</v>
      </c>
    </row>
    <row r="3" spans="1:7" x14ac:dyDescent="0.2">
      <c r="D3" s="424"/>
    </row>
    <row r="4" spans="1:7" x14ac:dyDescent="0.2">
      <c r="C4" s="423" t="s">
        <v>320</v>
      </c>
      <c r="D4" s="424" t="str">
        <f>LEGER!L6</f>
        <v>Seni Budaya</v>
      </c>
    </row>
    <row r="5" spans="1:7" x14ac:dyDescent="0.2">
      <c r="C5" s="423" t="s">
        <v>319</v>
      </c>
      <c r="D5" s="424">
        <f>RAPORT!C82</f>
        <v>70</v>
      </c>
    </row>
    <row r="6" spans="1:7" x14ac:dyDescent="0.2">
      <c r="A6" s="422" t="s">
        <v>323</v>
      </c>
      <c r="B6" s="422" t="s">
        <v>10</v>
      </c>
      <c r="C6" s="425" t="s">
        <v>324</v>
      </c>
      <c r="D6" s="422" t="s">
        <v>74</v>
      </c>
      <c r="E6" s="422" t="s">
        <v>72</v>
      </c>
      <c r="F6" s="422" t="s">
        <v>146</v>
      </c>
      <c r="G6" s="422" t="s">
        <v>72</v>
      </c>
    </row>
    <row r="7" spans="1:7" x14ac:dyDescent="0.2">
      <c r="A7" s="422">
        <f>Biodata!A9</f>
        <v>1</v>
      </c>
      <c r="B7" s="427" t="str">
        <f>Biodata!B9</f>
        <v>181910008</v>
      </c>
      <c r="C7" s="428" t="str">
        <f>Biodata!C9</f>
        <v>ADITA TRI KURNIA PUTRI</v>
      </c>
      <c r="D7" s="422">
        <f t="shared" ref="D7:D46" si="0">IFERROR(VLOOKUP(B7&amp;"A",leggerx1,9,0),"")</f>
        <v>0</v>
      </c>
      <c r="E7" s="422" t="str">
        <f t="shared" ref="E7:E46" si="1">IFERROR(VLOOKUP(B7&amp;"C",leggerx1,9,0),"")</f>
        <v/>
      </c>
      <c r="F7" s="422">
        <f t="shared" ref="F7:F46" si="2">IFERROR(VLOOKUP(B7&amp;"B",leggerx1,9,0),"")</f>
        <v>0</v>
      </c>
      <c r="G7" s="422" t="str">
        <f t="shared" ref="G7:G46" si="3">IFERROR(VLOOKUP(B7&amp;"D",leggerx1,9,0),"")</f>
        <v/>
      </c>
    </row>
    <row r="8" spans="1:7" x14ac:dyDescent="0.2">
      <c r="A8" s="422">
        <f>Biodata!A10</f>
        <v>2</v>
      </c>
      <c r="B8" s="427" t="str">
        <f>Biodata!B10</f>
        <v>181910011</v>
      </c>
      <c r="C8" s="428" t="str">
        <f>Biodata!C10</f>
        <v xml:space="preserve">ADNES KOMALA DEWI </v>
      </c>
      <c r="D8" s="422">
        <f t="shared" si="0"/>
        <v>75</v>
      </c>
      <c r="E8" s="422" t="str">
        <f t="shared" si="1"/>
        <v>C</v>
      </c>
      <c r="F8" s="422">
        <f t="shared" si="2"/>
        <v>75</v>
      </c>
      <c r="G8" s="422" t="str">
        <f t="shared" si="3"/>
        <v>C</v>
      </c>
    </row>
    <row r="9" spans="1:7" x14ac:dyDescent="0.2">
      <c r="A9" s="422">
        <f>Biodata!A11</f>
        <v>3</v>
      </c>
      <c r="B9" s="427" t="str">
        <f>Biodata!B11</f>
        <v>181910014</v>
      </c>
      <c r="C9" s="428" t="str">
        <f>Biodata!C11</f>
        <v>AGUNG BUDI PRASTAWA</v>
      </c>
      <c r="D9" s="422">
        <f t="shared" si="0"/>
        <v>74</v>
      </c>
      <c r="E9" s="422" t="str">
        <f t="shared" si="1"/>
        <v>C</v>
      </c>
      <c r="F9" s="422">
        <f t="shared" si="2"/>
        <v>73</v>
      </c>
      <c r="G9" s="422" t="str">
        <f t="shared" si="3"/>
        <v>C</v>
      </c>
    </row>
    <row r="10" spans="1:7" x14ac:dyDescent="0.2">
      <c r="A10" s="422">
        <f>Biodata!A12</f>
        <v>4</v>
      </c>
      <c r="B10" s="427" t="str">
        <f>Biodata!B12</f>
        <v>181910045</v>
      </c>
      <c r="C10" s="428" t="str">
        <f>Biodata!C12</f>
        <v>ARYA DYTA WIGUNA</v>
      </c>
      <c r="D10" s="422">
        <f t="shared" si="0"/>
        <v>82</v>
      </c>
      <c r="E10" s="422" t="str">
        <f t="shared" si="1"/>
        <v>B</v>
      </c>
      <c r="F10" s="422">
        <f t="shared" si="2"/>
        <v>76</v>
      </c>
      <c r="G10" s="422" t="str">
        <f t="shared" si="3"/>
        <v>C</v>
      </c>
    </row>
    <row r="11" spans="1:7" x14ac:dyDescent="0.2">
      <c r="A11" s="422">
        <f>Biodata!A13</f>
        <v>5</v>
      </c>
      <c r="B11" s="427" t="str">
        <f>Biodata!B13</f>
        <v>181910054</v>
      </c>
      <c r="C11" s="428" t="str">
        <f>Biodata!C13</f>
        <v>AZRIEL TAMA SANTIAJI</v>
      </c>
      <c r="D11" s="422">
        <f t="shared" si="0"/>
        <v>76</v>
      </c>
      <c r="E11" s="422" t="str">
        <f t="shared" si="1"/>
        <v>C</v>
      </c>
      <c r="F11" s="422">
        <f t="shared" si="2"/>
        <v>75</v>
      </c>
      <c r="G11" s="422" t="str">
        <f t="shared" si="3"/>
        <v>C</v>
      </c>
    </row>
    <row r="12" spans="1:7" x14ac:dyDescent="0.2">
      <c r="A12" s="422">
        <f>Biodata!A14</f>
        <v>6</v>
      </c>
      <c r="B12" s="427" t="str">
        <f>Biodata!B14</f>
        <v>181910055</v>
      </c>
      <c r="C12" s="428" t="str">
        <f>Biodata!C14</f>
        <v>AZZUHRI HAUDI</v>
      </c>
      <c r="D12" s="422">
        <f t="shared" si="0"/>
        <v>0</v>
      </c>
      <c r="E12" s="422" t="str">
        <f t="shared" si="1"/>
        <v/>
      </c>
      <c r="F12" s="422">
        <f t="shared" si="2"/>
        <v>0</v>
      </c>
      <c r="G12" s="422" t="str">
        <f t="shared" si="3"/>
        <v/>
      </c>
    </row>
    <row r="13" spans="1:7" x14ac:dyDescent="0.2">
      <c r="A13" s="422">
        <f>Biodata!A15</f>
        <v>7</v>
      </c>
      <c r="B13" s="427" t="str">
        <f>Biodata!B15</f>
        <v>181910056</v>
      </c>
      <c r="C13" s="428" t="str">
        <f>Biodata!C15</f>
        <v>BAYU BATARA SURYA PUTRA</v>
      </c>
      <c r="D13" s="422">
        <f t="shared" si="0"/>
        <v>74</v>
      </c>
      <c r="E13" s="422" t="str">
        <f t="shared" si="1"/>
        <v>C</v>
      </c>
      <c r="F13" s="422">
        <f t="shared" si="2"/>
        <v>75</v>
      </c>
      <c r="G13" s="422" t="str">
        <f t="shared" si="3"/>
        <v>C</v>
      </c>
    </row>
    <row r="14" spans="1:7" x14ac:dyDescent="0.2">
      <c r="A14" s="422">
        <f>Biodata!A16</f>
        <v>8</v>
      </c>
      <c r="B14" s="427" t="str">
        <f>Biodata!B16</f>
        <v>181910069</v>
      </c>
      <c r="C14" s="428" t="str">
        <f>Biodata!C16</f>
        <v>DANDY ERVAN PRATAMA</v>
      </c>
      <c r="D14" s="422">
        <f t="shared" si="0"/>
        <v>72</v>
      </c>
      <c r="E14" s="422" t="str">
        <f t="shared" si="1"/>
        <v>C</v>
      </c>
      <c r="F14" s="422">
        <f t="shared" si="2"/>
        <v>72</v>
      </c>
      <c r="G14" s="422" t="str">
        <f t="shared" si="3"/>
        <v>C</v>
      </c>
    </row>
    <row r="15" spans="1:7" x14ac:dyDescent="0.2">
      <c r="A15" s="422">
        <f>Biodata!A17</f>
        <v>9</v>
      </c>
      <c r="B15" s="427" t="str">
        <f>Biodata!B17</f>
        <v>181910085</v>
      </c>
      <c r="C15" s="428" t="str">
        <f>Biodata!C17</f>
        <v>DENISA ASTI RAHMAWATI</v>
      </c>
      <c r="D15" s="422">
        <f t="shared" si="0"/>
        <v>76</v>
      </c>
      <c r="E15" s="422" t="str">
        <f t="shared" si="1"/>
        <v>C</v>
      </c>
      <c r="F15" s="422">
        <f t="shared" si="2"/>
        <v>77</v>
      </c>
      <c r="G15" s="422" t="str">
        <f t="shared" si="3"/>
        <v>C</v>
      </c>
    </row>
    <row r="16" spans="1:7" x14ac:dyDescent="0.2">
      <c r="A16" s="422">
        <f>Biodata!A18</f>
        <v>10</v>
      </c>
      <c r="B16" s="427" t="str">
        <f>Biodata!B18</f>
        <v>181910093</v>
      </c>
      <c r="C16" s="428" t="str">
        <f>Biodata!C18</f>
        <v>DIAN RAMDHAN SAPTIAN</v>
      </c>
      <c r="D16" s="422">
        <f t="shared" si="0"/>
        <v>75</v>
      </c>
      <c r="E16" s="422" t="str">
        <f t="shared" si="1"/>
        <v>C</v>
      </c>
      <c r="F16" s="422">
        <f t="shared" si="2"/>
        <v>75</v>
      </c>
      <c r="G16" s="422" t="str">
        <f t="shared" si="3"/>
        <v>C</v>
      </c>
    </row>
    <row r="17" spans="1:7" x14ac:dyDescent="0.2">
      <c r="A17" s="422">
        <f>Biodata!A19</f>
        <v>11</v>
      </c>
      <c r="B17" s="427" t="str">
        <f>Biodata!B19</f>
        <v>181910103</v>
      </c>
      <c r="C17" s="428" t="str">
        <f>Biodata!C19</f>
        <v>DIVYA ADHIANI NURDIN</v>
      </c>
      <c r="D17" s="422">
        <f t="shared" si="0"/>
        <v>78</v>
      </c>
      <c r="E17" s="422" t="str">
        <f t="shared" si="1"/>
        <v>C</v>
      </c>
      <c r="F17" s="422">
        <f t="shared" si="2"/>
        <v>76</v>
      </c>
      <c r="G17" s="422" t="str">
        <f t="shared" si="3"/>
        <v>C</v>
      </c>
    </row>
    <row r="18" spans="1:7" x14ac:dyDescent="0.2">
      <c r="A18" s="422">
        <f>Biodata!A20</f>
        <v>12</v>
      </c>
      <c r="B18" s="427" t="str">
        <f>Biodata!B20</f>
        <v>181910104</v>
      </c>
      <c r="C18" s="428" t="str">
        <f>Biodata!C20</f>
        <v>DWIKI DERMAWAN</v>
      </c>
      <c r="D18" s="422">
        <f t="shared" si="0"/>
        <v>75</v>
      </c>
      <c r="E18" s="422" t="str">
        <f t="shared" si="1"/>
        <v>C</v>
      </c>
      <c r="F18" s="422">
        <f t="shared" si="2"/>
        <v>75</v>
      </c>
      <c r="G18" s="422" t="str">
        <f t="shared" si="3"/>
        <v>C</v>
      </c>
    </row>
    <row r="19" spans="1:7" x14ac:dyDescent="0.2">
      <c r="A19" s="422">
        <f>Biodata!A21</f>
        <v>13</v>
      </c>
      <c r="B19" s="427" t="str">
        <f>Biodata!B21</f>
        <v>181910118</v>
      </c>
      <c r="C19" s="428" t="str">
        <f>Biodata!C21</f>
        <v>ENCEP CANDRA</v>
      </c>
      <c r="D19" s="422">
        <f t="shared" si="0"/>
        <v>0</v>
      </c>
      <c r="E19" s="422" t="str">
        <f t="shared" si="1"/>
        <v/>
      </c>
      <c r="F19" s="422">
        <f t="shared" si="2"/>
        <v>74</v>
      </c>
      <c r="G19" s="422" t="str">
        <f t="shared" si="3"/>
        <v>C</v>
      </c>
    </row>
    <row r="20" spans="1:7" x14ac:dyDescent="0.2">
      <c r="A20" s="422">
        <f>Biodata!A22</f>
        <v>14</v>
      </c>
      <c r="B20" s="427" t="str">
        <f>Biodata!B22</f>
        <v>181910128</v>
      </c>
      <c r="C20" s="428" t="str">
        <f>Biodata!C22</f>
        <v>FAIZAL EGI</v>
      </c>
      <c r="D20" s="422">
        <f t="shared" si="0"/>
        <v>73</v>
      </c>
      <c r="E20" s="422" t="str">
        <f t="shared" si="1"/>
        <v>C</v>
      </c>
      <c r="F20" s="422">
        <f t="shared" si="2"/>
        <v>74</v>
      </c>
      <c r="G20" s="422" t="str">
        <f t="shared" si="3"/>
        <v>C</v>
      </c>
    </row>
    <row r="21" spans="1:7" x14ac:dyDescent="0.2">
      <c r="A21" s="422">
        <f>Biodata!A23</f>
        <v>15</v>
      </c>
      <c r="B21" s="427" t="str">
        <f>Biodata!B23</f>
        <v>181910133</v>
      </c>
      <c r="C21" s="428" t="str">
        <f>Biodata!C23</f>
        <v>FAUZI DHALFADLIL AZHANI</v>
      </c>
      <c r="D21" s="422">
        <f t="shared" si="0"/>
        <v>72</v>
      </c>
      <c r="E21" s="422" t="str">
        <f t="shared" si="1"/>
        <v>C</v>
      </c>
      <c r="F21" s="422">
        <f t="shared" si="2"/>
        <v>74</v>
      </c>
      <c r="G21" s="422" t="str">
        <f t="shared" si="3"/>
        <v>C</v>
      </c>
    </row>
    <row r="22" spans="1:7" x14ac:dyDescent="0.2">
      <c r="A22" s="422">
        <f>Biodata!A24</f>
        <v>16</v>
      </c>
      <c r="B22" s="427" t="str">
        <f>Biodata!B24</f>
        <v>181910161</v>
      </c>
      <c r="C22" s="428" t="str">
        <f>Biodata!C24</f>
        <v>HILMAN PUTRA PAMUNGKAS</v>
      </c>
      <c r="D22" s="422">
        <f t="shared" si="0"/>
        <v>0</v>
      </c>
      <c r="E22" s="422" t="str">
        <f t="shared" si="1"/>
        <v/>
      </c>
      <c r="F22" s="422">
        <f t="shared" si="2"/>
        <v>78</v>
      </c>
      <c r="G22" s="422" t="str">
        <f t="shared" si="3"/>
        <v>C</v>
      </c>
    </row>
    <row r="23" spans="1:7" x14ac:dyDescent="0.2">
      <c r="A23" s="422">
        <f>Biodata!A25</f>
        <v>17</v>
      </c>
      <c r="B23" s="427" t="str">
        <f>Biodata!B25</f>
        <v>181910165</v>
      </c>
      <c r="C23" s="428" t="str">
        <f>Biodata!C25</f>
        <v>IHSYA FADILLAH MUSLIM</v>
      </c>
      <c r="D23" s="422">
        <f t="shared" si="0"/>
        <v>73</v>
      </c>
      <c r="E23" s="422" t="str">
        <f t="shared" si="1"/>
        <v>C</v>
      </c>
      <c r="F23" s="422">
        <f t="shared" si="2"/>
        <v>74</v>
      </c>
      <c r="G23" s="422" t="str">
        <f t="shared" si="3"/>
        <v>C</v>
      </c>
    </row>
    <row r="24" spans="1:7" x14ac:dyDescent="0.2">
      <c r="A24" s="422">
        <f>Biodata!A26</f>
        <v>18</v>
      </c>
      <c r="B24" s="427" t="str">
        <f>Biodata!B26</f>
        <v>181910185</v>
      </c>
      <c r="C24" s="428" t="str">
        <f>Biodata!C26</f>
        <v>JIHAD AKBAR</v>
      </c>
      <c r="D24" s="422">
        <f t="shared" si="0"/>
        <v>75</v>
      </c>
      <c r="E24" s="422" t="str">
        <f t="shared" si="1"/>
        <v>C</v>
      </c>
      <c r="F24" s="422">
        <f t="shared" si="2"/>
        <v>75</v>
      </c>
      <c r="G24" s="422" t="str">
        <f t="shared" si="3"/>
        <v>C</v>
      </c>
    </row>
    <row r="25" spans="1:7" x14ac:dyDescent="0.2">
      <c r="A25" s="422">
        <f>Biodata!A27</f>
        <v>19</v>
      </c>
      <c r="B25" s="427" t="str">
        <f>Biodata!B27</f>
        <v>181910226</v>
      </c>
      <c r="C25" s="428" t="str">
        <f>Biodata!C27</f>
        <v>MUHAMAD IZZAZUL FIKRIAN</v>
      </c>
      <c r="D25" s="422">
        <f t="shared" si="0"/>
        <v>0</v>
      </c>
      <c r="E25" s="422" t="str">
        <f t="shared" si="1"/>
        <v/>
      </c>
      <c r="F25" s="422">
        <f t="shared" si="2"/>
        <v>0</v>
      </c>
      <c r="G25" s="422" t="str">
        <f t="shared" si="3"/>
        <v/>
      </c>
    </row>
    <row r="26" spans="1:7" x14ac:dyDescent="0.2">
      <c r="A26" s="422">
        <f>Biodata!A28</f>
        <v>20</v>
      </c>
      <c r="B26" s="427" t="str">
        <f>Biodata!B28</f>
        <v>181910433</v>
      </c>
      <c r="C26" s="428" t="str">
        <f>Biodata!C28</f>
        <v>MUHAMAD RIZAL</v>
      </c>
      <c r="D26" s="422">
        <f t="shared" si="0"/>
        <v>72</v>
      </c>
      <c r="E26" s="422" t="str">
        <f t="shared" si="1"/>
        <v>C</v>
      </c>
      <c r="F26" s="422">
        <f t="shared" si="2"/>
        <v>73</v>
      </c>
      <c r="G26" s="422" t="str">
        <f t="shared" si="3"/>
        <v>C</v>
      </c>
    </row>
    <row r="27" spans="1:7" x14ac:dyDescent="0.2">
      <c r="A27" s="422">
        <f>Biodata!A29</f>
        <v>21</v>
      </c>
      <c r="B27" s="427" t="str">
        <f>Biodata!B29</f>
        <v>181910240</v>
      </c>
      <c r="C27" s="428" t="str">
        <f>Biodata!C29</f>
        <v>NESHA RAUDHATUL ZANNAH</v>
      </c>
      <c r="D27" s="422">
        <f t="shared" si="0"/>
        <v>0</v>
      </c>
      <c r="E27" s="422" t="str">
        <f t="shared" si="1"/>
        <v/>
      </c>
      <c r="F27" s="422">
        <f t="shared" si="2"/>
        <v>78</v>
      </c>
      <c r="G27" s="422" t="str">
        <f t="shared" si="3"/>
        <v>C</v>
      </c>
    </row>
    <row r="28" spans="1:7" x14ac:dyDescent="0.2">
      <c r="A28" s="422">
        <f>Biodata!A30</f>
        <v>22</v>
      </c>
      <c r="B28" s="427" t="str">
        <f>Biodata!B30</f>
        <v>181910262</v>
      </c>
      <c r="C28" s="428" t="str">
        <f>Biodata!C30</f>
        <v>PUTRI ANGGRAENI</v>
      </c>
      <c r="D28" s="422">
        <f t="shared" si="0"/>
        <v>76</v>
      </c>
      <c r="E28" s="422" t="str">
        <f t="shared" si="1"/>
        <v>C</v>
      </c>
      <c r="F28" s="422">
        <f t="shared" si="2"/>
        <v>77</v>
      </c>
      <c r="G28" s="422" t="str">
        <f t="shared" si="3"/>
        <v>C</v>
      </c>
    </row>
    <row r="29" spans="1:7" x14ac:dyDescent="0.2">
      <c r="A29" s="422">
        <f>Biodata!A31</f>
        <v>23</v>
      </c>
      <c r="B29" s="427" t="str">
        <f>Biodata!B31</f>
        <v>181910266</v>
      </c>
      <c r="C29" s="428" t="str">
        <f>Biodata!C31</f>
        <v>PUTRI WULANDARI</v>
      </c>
      <c r="D29" s="422">
        <f t="shared" si="0"/>
        <v>75</v>
      </c>
      <c r="E29" s="422" t="str">
        <f t="shared" si="1"/>
        <v>C</v>
      </c>
      <c r="F29" s="422">
        <f t="shared" si="2"/>
        <v>75</v>
      </c>
      <c r="G29" s="422" t="str">
        <f t="shared" si="3"/>
        <v>C</v>
      </c>
    </row>
    <row r="30" spans="1:7" x14ac:dyDescent="0.2">
      <c r="A30" s="422">
        <f>Biodata!A32</f>
        <v>24</v>
      </c>
      <c r="B30" s="427" t="str">
        <f>Biodata!B32</f>
        <v>181910272</v>
      </c>
      <c r="C30" s="428" t="str">
        <f>Biodata!C32</f>
        <v>RAFLY GYMNASTIAR</v>
      </c>
      <c r="D30" s="422">
        <f t="shared" si="0"/>
        <v>73</v>
      </c>
      <c r="E30" s="422" t="str">
        <f t="shared" si="1"/>
        <v>C</v>
      </c>
      <c r="F30" s="422">
        <f t="shared" si="2"/>
        <v>74</v>
      </c>
      <c r="G30" s="422" t="str">
        <f t="shared" si="3"/>
        <v>C</v>
      </c>
    </row>
    <row r="31" spans="1:7" x14ac:dyDescent="0.2">
      <c r="A31" s="422">
        <f>Biodata!A33</f>
        <v>25</v>
      </c>
      <c r="B31" s="427" t="str">
        <f>Biodata!B33</f>
        <v>181910280</v>
      </c>
      <c r="C31" s="428" t="str">
        <f>Biodata!C33</f>
        <v>REFIANA</v>
      </c>
      <c r="D31" s="422">
        <f t="shared" si="0"/>
        <v>0</v>
      </c>
      <c r="E31" s="422" t="str">
        <f t="shared" si="1"/>
        <v/>
      </c>
      <c r="F31" s="422">
        <f t="shared" si="2"/>
        <v>70</v>
      </c>
      <c r="G31" s="422" t="str">
        <f t="shared" si="3"/>
        <v>C</v>
      </c>
    </row>
    <row r="32" spans="1:7" x14ac:dyDescent="0.2">
      <c r="A32" s="422">
        <f>Biodata!A34</f>
        <v>26</v>
      </c>
      <c r="B32" s="427" t="str">
        <f>Biodata!B34</f>
        <v>181910285</v>
      </c>
      <c r="C32" s="428" t="str">
        <f>Biodata!C34</f>
        <v>RENALDI PRIYATAMA</v>
      </c>
      <c r="D32" s="422">
        <f t="shared" si="0"/>
        <v>72</v>
      </c>
      <c r="E32" s="422" t="str">
        <f t="shared" si="1"/>
        <v>C</v>
      </c>
      <c r="F32" s="422">
        <f t="shared" si="2"/>
        <v>72</v>
      </c>
      <c r="G32" s="422" t="str">
        <f t="shared" si="3"/>
        <v>C</v>
      </c>
    </row>
    <row r="33" spans="1:7" x14ac:dyDescent="0.2">
      <c r="A33" s="422">
        <f>Biodata!A35</f>
        <v>27</v>
      </c>
      <c r="B33" s="427" t="str">
        <f>Biodata!B35</f>
        <v>181910286</v>
      </c>
      <c r="C33" s="428" t="str">
        <f>Biodata!C35</f>
        <v>RENATA</v>
      </c>
      <c r="D33" s="422">
        <f t="shared" si="0"/>
        <v>76</v>
      </c>
      <c r="E33" s="422" t="str">
        <f t="shared" si="1"/>
        <v>C</v>
      </c>
      <c r="F33" s="422">
        <f t="shared" si="2"/>
        <v>75</v>
      </c>
      <c r="G33" s="422" t="str">
        <f t="shared" si="3"/>
        <v>C</v>
      </c>
    </row>
    <row r="34" spans="1:7" x14ac:dyDescent="0.2">
      <c r="A34" s="422">
        <f>Biodata!A36</f>
        <v>28</v>
      </c>
      <c r="B34" s="427" t="str">
        <f>Biodata!B36</f>
        <v>181910293</v>
      </c>
      <c r="C34" s="428" t="str">
        <f>Biodata!C36</f>
        <v xml:space="preserve">REZA ERNANDA </v>
      </c>
      <c r="D34" s="422">
        <f t="shared" si="0"/>
        <v>75</v>
      </c>
      <c r="E34" s="422" t="str">
        <f t="shared" si="1"/>
        <v>C</v>
      </c>
      <c r="F34" s="422">
        <f t="shared" si="2"/>
        <v>75</v>
      </c>
      <c r="G34" s="422" t="str">
        <f t="shared" si="3"/>
        <v>C</v>
      </c>
    </row>
    <row r="35" spans="1:7" x14ac:dyDescent="0.2">
      <c r="A35" s="422">
        <f>Biodata!A37</f>
        <v>29</v>
      </c>
      <c r="B35" s="427" t="str">
        <f>Biodata!B37</f>
        <v>181910300</v>
      </c>
      <c r="C35" s="428" t="str">
        <f>Biodata!C37</f>
        <v>RIFAN MUHAMAD RIZKI</v>
      </c>
      <c r="D35" s="422">
        <f t="shared" si="0"/>
        <v>0</v>
      </c>
      <c r="E35" s="422" t="str">
        <f t="shared" si="1"/>
        <v/>
      </c>
      <c r="F35" s="422">
        <f t="shared" si="2"/>
        <v>0</v>
      </c>
      <c r="G35" s="422" t="str">
        <f t="shared" si="3"/>
        <v/>
      </c>
    </row>
    <row r="36" spans="1:7" x14ac:dyDescent="0.2">
      <c r="A36" s="422">
        <f>Biodata!A38</f>
        <v>30</v>
      </c>
      <c r="B36" s="427" t="str">
        <f>Biodata!B38</f>
        <v>181910318</v>
      </c>
      <c r="C36" s="428" t="str">
        <f>Biodata!C38</f>
        <v>RISMA SURYANI</v>
      </c>
      <c r="D36" s="422">
        <f t="shared" si="0"/>
        <v>78</v>
      </c>
      <c r="E36" s="422" t="str">
        <f t="shared" si="1"/>
        <v>C</v>
      </c>
      <c r="F36" s="422">
        <f t="shared" si="2"/>
        <v>77</v>
      </c>
      <c r="G36" s="422" t="str">
        <f t="shared" si="3"/>
        <v>C</v>
      </c>
    </row>
    <row r="37" spans="1:7" x14ac:dyDescent="0.2">
      <c r="A37" s="422">
        <f>Biodata!A39</f>
        <v>31</v>
      </c>
      <c r="B37" s="427" t="str">
        <f>Biodata!B39</f>
        <v>181910320</v>
      </c>
      <c r="C37" s="428" t="str">
        <f>Biodata!C39</f>
        <v>RISNA TIRANI</v>
      </c>
      <c r="D37" s="422">
        <f t="shared" si="0"/>
        <v>77</v>
      </c>
      <c r="E37" s="422" t="str">
        <f t="shared" si="1"/>
        <v>C</v>
      </c>
      <c r="F37" s="422">
        <f t="shared" si="2"/>
        <v>76</v>
      </c>
      <c r="G37" s="422" t="str">
        <f t="shared" si="3"/>
        <v>C</v>
      </c>
    </row>
    <row r="38" spans="1:7" x14ac:dyDescent="0.2">
      <c r="A38" s="422">
        <f>Biodata!A40</f>
        <v>32</v>
      </c>
      <c r="B38" s="427" t="str">
        <f>Biodata!B40</f>
        <v>181910331</v>
      </c>
      <c r="C38" s="428" t="str">
        <f>Biodata!C40</f>
        <v>RULLY PRATAMA S.</v>
      </c>
      <c r="D38" s="422">
        <f t="shared" si="0"/>
        <v>74</v>
      </c>
      <c r="E38" s="422" t="str">
        <f t="shared" si="1"/>
        <v>C</v>
      </c>
      <c r="F38" s="422">
        <f t="shared" si="2"/>
        <v>74</v>
      </c>
      <c r="G38" s="422" t="str">
        <f t="shared" si="3"/>
        <v>C</v>
      </c>
    </row>
    <row r="39" spans="1:7" x14ac:dyDescent="0.2">
      <c r="A39" s="422">
        <f>Biodata!A41</f>
        <v>33</v>
      </c>
      <c r="B39" s="427" t="str">
        <f>Biodata!B41</f>
        <v>181910335</v>
      </c>
      <c r="C39" s="428" t="str">
        <f>Biodata!C41</f>
        <v>SALSA ASYKIYA</v>
      </c>
      <c r="D39" s="422">
        <f t="shared" si="0"/>
        <v>76</v>
      </c>
      <c r="E39" s="422" t="str">
        <f t="shared" si="1"/>
        <v>C</v>
      </c>
      <c r="F39" s="422">
        <f t="shared" si="2"/>
        <v>76</v>
      </c>
      <c r="G39" s="422" t="str">
        <f t="shared" si="3"/>
        <v>C</v>
      </c>
    </row>
    <row r="40" spans="1:7" x14ac:dyDescent="0.2">
      <c r="A40" s="422">
        <f>Biodata!A42</f>
        <v>34</v>
      </c>
      <c r="B40" s="427" t="str">
        <f>Biodata!B42</f>
        <v>181910353</v>
      </c>
      <c r="C40" s="428" t="str">
        <f>Biodata!C42</f>
        <v>SILFI HAMIDAH</v>
      </c>
      <c r="D40" s="422">
        <f t="shared" si="0"/>
        <v>76</v>
      </c>
      <c r="E40" s="422" t="str">
        <f t="shared" si="1"/>
        <v>C</v>
      </c>
      <c r="F40" s="422">
        <f t="shared" si="2"/>
        <v>76</v>
      </c>
      <c r="G40" s="422" t="str">
        <f t="shared" si="3"/>
        <v>C</v>
      </c>
    </row>
    <row r="41" spans="1:7" x14ac:dyDescent="0.2">
      <c r="A41" s="422">
        <f>Biodata!A43</f>
        <v>35</v>
      </c>
      <c r="B41" s="427" t="str">
        <f>Biodata!B43</f>
        <v>181910408</v>
      </c>
      <c r="C41" s="428" t="str">
        <f>Biodata!C43</f>
        <v>YESHA RAHAYU</v>
      </c>
      <c r="D41" s="422">
        <f t="shared" si="0"/>
        <v>0</v>
      </c>
      <c r="E41" s="422" t="str">
        <f t="shared" si="1"/>
        <v/>
      </c>
      <c r="F41" s="422">
        <f t="shared" si="2"/>
        <v>0</v>
      </c>
      <c r="G41" s="422" t="str">
        <f t="shared" si="3"/>
        <v/>
      </c>
    </row>
    <row r="42" spans="1:7" x14ac:dyDescent="0.2">
      <c r="A42" s="422">
        <f>Biodata!A44</f>
        <v>36</v>
      </c>
      <c r="B42" s="427" t="str">
        <f>Biodata!B44</f>
        <v>036</v>
      </c>
      <c r="C42" s="428" t="str">
        <f>Biodata!C44</f>
        <v>A36</v>
      </c>
      <c r="D42" s="422">
        <f t="shared" si="0"/>
        <v>0</v>
      </c>
      <c r="E42" s="422" t="str">
        <f t="shared" si="1"/>
        <v/>
      </c>
      <c r="F42" s="422">
        <f t="shared" si="2"/>
        <v>0</v>
      </c>
      <c r="G42" s="422" t="str">
        <f t="shared" si="3"/>
        <v/>
      </c>
    </row>
    <row r="43" spans="1:7" x14ac:dyDescent="0.2">
      <c r="A43" s="422">
        <f>Biodata!A45</f>
        <v>37</v>
      </c>
      <c r="B43" s="427" t="str">
        <f>Biodata!B45</f>
        <v>037</v>
      </c>
      <c r="C43" s="428" t="str">
        <f>Biodata!C45</f>
        <v>A37</v>
      </c>
      <c r="D43" s="422">
        <f t="shared" si="0"/>
        <v>0</v>
      </c>
      <c r="E43" s="422" t="str">
        <f t="shared" si="1"/>
        <v/>
      </c>
      <c r="F43" s="422">
        <f t="shared" si="2"/>
        <v>0</v>
      </c>
      <c r="G43" s="422" t="str">
        <f t="shared" si="3"/>
        <v/>
      </c>
    </row>
    <row r="44" spans="1:7" x14ac:dyDescent="0.2">
      <c r="A44" s="422">
        <f>Biodata!A46</f>
        <v>38</v>
      </c>
      <c r="B44" s="427" t="str">
        <f>Biodata!B46</f>
        <v>038</v>
      </c>
      <c r="C44" s="428" t="str">
        <f>Biodata!C46</f>
        <v>A38</v>
      </c>
      <c r="D44" s="422">
        <f t="shared" si="0"/>
        <v>0</v>
      </c>
      <c r="E44" s="422" t="str">
        <f t="shared" si="1"/>
        <v/>
      </c>
      <c r="F44" s="422">
        <f t="shared" si="2"/>
        <v>0</v>
      </c>
      <c r="G44" s="422" t="str">
        <f t="shared" si="3"/>
        <v/>
      </c>
    </row>
    <row r="45" spans="1:7" x14ac:dyDescent="0.2">
      <c r="A45" s="422">
        <f>Biodata!A47</f>
        <v>39</v>
      </c>
      <c r="B45" s="427" t="str">
        <f>Biodata!B47</f>
        <v>039</v>
      </c>
      <c r="C45" s="428" t="str">
        <f>Biodata!C47</f>
        <v>A39</v>
      </c>
      <c r="D45" s="422">
        <f t="shared" si="0"/>
        <v>0</v>
      </c>
      <c r="E45" s="422" t="str">
        <f t="shared" si="1"/>
        <v/>
      </c>
      <c r="F45" s="422">
        <f t="shared" si="2"/>
        <v>0</v>
      </c>
      <c r="G45" s="422" t="str">
        <f t="shared" si="3"/>
        <v/>
      </c>
    </row>
    <row r="46" spans="1:7" x14ac:dyDescent="0.2">
      <c r="A46" s="422">
        <f>Biodata!A48</f>
        <v>40</v>
      </c>
      <c r="B46" s="427" t="str">
        <f>Biodata!B48</f>
        <v>040</v>
      </c>
      <c r="C46" s="428" t="str">
        <f>Biodata!C48</f>
        <v>A40</v>
      </c>
      <c r="D46" s="422">
        <f t="shared" si="0"/>
        <v>0</v>
      </c>
      <c r="E46" s="422" t="str">
        <f t="shared" si="1"/>
        <v/>
      </c>
      <c r="F46" s="422">
        <f t="shared" si="2"/>
        <v>0</v>
      </c>
      <c r="G46" s="422" t="str">
        <f t="shared" si="3"/>
        <v/>
      </c>
    </row>
    <row r="47" spans="1:7" x14ac:dyDescent="0.2">
      <c r="C47" s="432"/>
    </row>
    <row r="48" spans="1:7" x14ac:dyDescent="0.2">
      <c r="C48" s="432"/>
    </row>
    <row r="49" spans="3:3" s="425" customFormat="1" x14ac:dyDescent="0.2">
      <c r="C49" s="432"/>
    </row>
    <row r="50" spans="3:3" s="425" customFormat="1" x14ac:dyDescent="0.2">
      <c r="C50" s="432"/>
    </row>
  </sheetData>
  <sheetProtection sheet="1" objects="1" scenarios="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activeCell="D5" sqref="D5"/>
    </sheetView>
  </sheetViews>
  <sheetFormatPr defaultRowHeight="11.25" x14ac:dyDescent="0.2"/>
  <cols>
    <col min="1" max="1" width="3.7109375" style="422" customWidth="1"/>
    <col min="2" max="2" width="7.140625" style="422" customWidth="1"/>
    <col min="3" max="3" width="21.7109375" style="425" customWidth="1"/>
    <col min="4" max="4" width="11.85546875" style="422" customWidth="1"/>
    <col min="5" max="5" width="8" style="422" customWidth="1"/>
    <col min="6" max="6" width="12" style="422" customWidth="1"/>
    <col min="7" max="7" width="8" style="422" customWidth="1"/>
    <col min="8" max="16384" width="9.140625" style="425"/>
  </cols>
  <sheetData>
    <row r="1" spans="1:7" x14ac:dyDescent="0.2">
      <c r="C1" s="423" t="s">
        <v>322</v>
      </c>
      <c r="D1" s="424" t="str">
        <f>Biodata!C4</f>
        <v xml:space="preserve"> X / IPS_5 </v>
      </c>
    </row>
    <row r="2" spans="1:7" x14ac:dyDescent="0.2">
      <c r="C2" s="423" t="s">
        <v>321</v>
      </c>
      <c r="D2" s="424" t="str">
        <f>Biodata!C5</f>
        <v>2 / Genap</v>
      </c>
    </row>
    <row r="3" spans="1:7" x14ac:dyDescent="0.2">
      <c r="D3" s="424"/>
    </row>
    <row r="4" spans="1:7" x14ac:dyDescent="0.2">
      <c r="C4" s="423" t="s">
        <v>320</v>
      </c>
      <c r="D4" s="424" t="str">
        <f>LEGER!M6</f>
        <v>Pendidikan Jasmani, Olah Raga dan Kesehatan</v>
      </c>
    </row>
    <row r="5" spans="1:7" x14ac:dyDescent="0.2">
      <c r="C5" s="423" t="s">
        <v>319</v>
      </c>
      <c r="D5" s="424">
        <f>RAPORT!C82</f>
        <v>70</v>
      </c>
    </row>
    <row r="6" spans="1:7" x14ac:dyDescent="0.2">
      <c r="A6" s="422" t="s">
        <v>323</v>
      </c>
      <c r="B6" s="422" t="s">
        <v>10</v>
      </c>
      <c r="C6" s="425" t="s">
        <v>324</v>
      </c>
      <c r="D6" s="422" t="s">
        <v>74</v>
      </c>
      <c r="E6" s="422" t="s">
        <v>72</v>
      </c>
      <c r="F6" s="422" t="s">
        <v>146</v>
      </c>
      <c r="G6" s="422" t="s">
        <v>72</v>
      </c>
    </row>
    <row r="7" spans="1:7" x14ac:dyDescent="0.2">
      <c r="A7" s="422">
        <f>Biodata!A9</f>
        <v>1</v>
      </c>
      <c r="B7" s="427" t="str">
        <f>Biodata!B9</f>
        <v>181910008</v>
      </c>
      <c r="C7" s="428" t="str">
        <f>Biodata!C9</f>
        <v>ADITA TRI KURNIA PUTRI</v>
      </c>
      <c r="D7" s="422">
        <f t="shared" ref="D7:D46" si="0">IFERROR(VLOOKUP(B7&amp;"A",leggerx1,10,0),"")</f>
        <v>0</v>
      </c>
      <c r="E7" s="422" t="str">
        <f t="shared" ref="E7:E46" si="1">IFERROR(VLOOKUP(B7&amp;"C",leggerx1,10,0),"")</f>
        <v/>
      </c>
      <c r="F7" s="422">
        <f t="shared" ref="F7:F46" si="2">IFERROR(VLOOKUP(B7&amp;"B",leggerx1,10,0),"")</f>
        <v>0</v>
      </c>
      <c r="G7" s="422" t="str">
        <f t="shared" ref="G7:G46" si="3">IFERROR(VLOOKUP(B7&amp;"D",leggerx1,10,0),"")</f>
        <v/>
      </c>
    </row>
    <row r="8" spans="1:7" x14ac:dyDescent="0.2">
      <c r="A8" s="422">
        <f>Biodata!A10</f>
        <v>2</v>
      </c>
      <c r="B8" s="427" t="str">
        <f>Biodata!B10</f>
        <v>181910011</v>
      </c>
      <c r="C8" s="428" t="str">
        <f>Biodata!C10</f>
        <v xml:space="preserve">ADNES KOMALA DEWI </v>
      </c>
      <c r="D8" s="422">
        <f t="shared" si="0"/>
        <v>65</v>
      </c>
      <c r="E8" s="422" t="str">
        <f t="shared" si="1"/>
        <v>D</v>
      </c>
      <c r="F8" s="422">
        <f t="shared" si="2"/>
        <v>58</v>
      </c>
      <c r="G8" s="422" t="str">
        <f t="shared" si="3"/>
        <v>D</v>
      </c>
    </row>
    <row r="9" spans="1:7" x14ac:dyDescent="0.2">
      <c r="A9" s="422">
        <f>Biodata!A11</f>
        <v>3</v>
      </c>
      <c r="B9" s="427" t="str">
        <f>Biodata!B11</f>
        <v>181910014</v>
      </c>
      <c r="C9" s="428" t="str">
        <f>Biodata!C11</f>
        <v>AGUNG BUDI PRASTAWA</v>
      </c>
      <c r="D9" s="422">
        <f t="shared" si="0"/>
        <v>55</v>
      </c>
      <c r="E9" s="422" t="str">
        <f t="shared" si="1"/>
        <v>D</v>
      </c>
      <c r="F9" s="422">
        <f t="shared" si="2"/>
        <v>35</v>
      </c>
      <c r="G9" s="422" t="str">
        <f t="shared" si="3"/>
        <v>D</v>
      </c>
    </row>
    <row r="10" spans="1:7" x14ac:dyDescent="0.2">
      <c r="A10" s="422">
        <f>Biodata!A12</f>
        <v>4</v>
      </c>
      <c r="B10" s="427" t="str">
        <f>Biodata!B12</f>
        <v>181910045</v>
      </c>
      <c r="C10" s="428" t="str">
        <f>Biodata!C12</f>
        <v>ARYA DYTA WIGUNA</v>
      </c>
      <c r="D10" s="422">
        <f t="shared" si="0"/>
        <v>68</v>
      </c>
      <c r="E10" s="422" t="str">
        <f t="shared" si="1"/>
        <v>D</v>
      </c>
      <c r="F10" s="422">
        <f t="shared" si="2"/>
        <v>57</v>
      </c>
      <c r="G10" s="422" t="str">
        <f t="shared" si="3"/>
        <v>D</v>
      </c>
    </row>
    <row r="11" spans="1:7" x14ac:dyDescent="0.2">
      <c r="A11" s="422">
        <f>Biodata!A13</f>
        <v>5</v>
      </c>
      <c r="B11" s="427" t="str">
        <f>Biodata!B13</f>
        <v>181910054</v>
      </c>
      <c r="C11" s="428" t="str">
        <f>Biodata!C13</f>
        <v>AZRIEL TAMA SANTIAJI</v>
      </c>
      <c r="D11" s="422">
        <f t="shared" si="0"/>
        <v>50</v>
      </c>
      <c r="E11" s="422" t="str">
        <f t="shared" si="1"/>
        <v>D</v>
      </c>
      <c r="F11" s="422">
        <f t="shared" si="2"/>
        <v>40</v>
      </c>
      <c r="G11" s="422" t="str">
        <f t="shared" si="3"/>
        <v>D</v>
      </c>
    </row>
    <row r="12" spans="1:7" x14ac:dyDescent="0.2">
      <c r="A12" s="422">
        <f>Biodata!A14</f>
        <v>6</v>
      </c>
      <c r="B12" s="427" t="str">
        <f>Biodata!B14</f>
        <v>181910055</v>
      </c>
      <c r="C12" s="428" t="str">
        <f>Biodata!C14</f>
        <v>AZZUHRI HAUDI</v>
      </c>
      <c r="D12" s="422">
        <f t="shared" si="0"/>
        <v>80</v>
      </c>
      <c r="E12" s="422" t="str">
        <f t="shared" si="1"/>
        <v>B</v>
      </c>
      <c r="F12" s="422">
        <f t="shared" si="2"/>
        <v>63</v>
      </c>
      <c r="G12" s="422" t="str">
        <f t="shared" si="3"/>
        <v>D</v>
      </c>
    </row>
    <row r="13" spans="1:7" x14ac:dyDescent="0.2">
      <c r="A13" s="422">
        <f>Biodata!A15</f>
        <v>7</v>
      </c>
      <c r="B13" s="427" t="str">
        <f>Biodata!B15</f>
        <v>181910056</v>
      </c>
      <c r="C13" s="428" t="str">
        <f>Biodata!C15</f>
        <v>BAYU BATARA SURYA PUTRA</v>
      </c>
      <c r="D13" s="422">
        <f t="shared" si="0"/>
        <v>68</v>
      </c>
      <c r="E13" s="422" t="str">
        <f t="shared" si="1"/>
        <v>D</v>
      </c>
      <c r="F13" s="422">
        <f t="shared" si="2"/>
        <v>60</v>
      </c>
      <c r="G13" s="422" t="str">
        <f t="shared" si="3"/>
        <v>D</v>
      </c>
    </row>
    <row r="14" spans="1:7" x14ac:dyDescent="0.2">
      <c r="A14" s="422">
        <f>Biodata!A16</f>
        <v>8</v>
      </c>
      <c r="B14" s="427" t="str">
        <f>Biodata!B16</f>
        <v>181910069</v>
      </c>
      <c r="C14" s="428" t="str">
        <f>Biodata!C16</f>
        <v>DANDY ERVAN PRATAMA</v>
      </c>
      <c r="D14" s="422">
        <f t="shared" si="0"/>
        <v>50</v>
      </c>
      <c r="E14" s="422" t="str">
        <f t="shared" si="1"/>
        <v>D</v>
      </c>
      <c r="F14" s="422">
        <f t="shared" si="2"/>
        <v>25</v>
      </c>
      <c r="G14" s="422" t="str">
        <f t="shared" si="3"/>
        <v>D</v>
      </c>
    </row>
    <row r="15" spans="1:7" x14ac:dyDescent="0.2">
      <c r="A15" s="422">
        <f>Biodata!A17</f>
        <v>9</v>
      </c>
      <c r="B15" s="427" t="str">
        <f>Biodata!B17</f>
        <v>181910085</v>
      </c>
      <c r="C15" s="428" t="str">
        <f>Biodata!C17</f>
        <v>DENISA ASTI RAHMAWATI</v>
      </c>
      <c r="D15" s="422">
        <f t="shared" si="0"/>
        <v>67</v>
      </c>
      <c r="E15" s="422" t="str">
        <f t="shared" si="1"/>
        <v>D</v>
      </c>
      <c r="F15" s="422">
        <f t="shared" si="2"/>
        <v>58</v>
      </c>
      <c r="G15" s="422" t="str">
        <f t="shared" si="3"/>
        <v>D</v>
      </c>
    </row>
    <row r="16" spans="1:7" x14ac:dyDescent="0.2">
      <c r="A16" s="422">
        <f>Biodata!A18</f>
        <v>10</v>
      </c>
      <c r="B16" s="427" t="str">
        <f>Biodata!B18</f>
        <v>181910093</v>
      </c>
      <c r="C16" s="428" t="str">
        <f>Biodata!C18</f>
        <v>DIAN RAMDHAN SAPTIAN</v>
      </c>
      <c r="D16" s="422">
        <f t="shared" si="0"/>
        <v>68</v>
      </c>
      <c r="E16" s="422" t="str">
        <f t="shared" si="1"/>
        <v>D</v>
      </c>
      <c r="F16" s="422">
        <f t="shared" si="2"/>
        <v>55</v>
      </c>
      <c r="G16" s="422" t="str">
        <f t="shared" si="3"/>
        <v>D</v>
      </c>
    </row>
    <row r="17" spans="1:7" x14ac:dyDescent="0.2">
      <c r="A17" s="422">
        <f>Biodata!A19</f>
        <v>11</v>
      </c>
      <c r="B17" s="427" t="str">
        <f>Biodata!B19</f>
        <v>181910103</v>
      </c>
      <c r="C17" s="428" t="str">
        <f>Biodata!C19</f>
        <v>DIVYA ADHIANI NURDIN</v>
      </c>
      <c r="D17" s="422">
        <f t="shared" si="0"/>
        <v>70</v>
      </c>
      <c r="E17" s="422" t="str">
        <f t="shared" si="1"/>
        <v>C</v>
      </c>
      <c r="F17" s="422">
        <f t="shared" si="2"/>
        <v>60</v>
      </c>
      <c r="G17" s="422" t="str">
        <f t="shared" si="3"/>
        <v>D</v>
      </c>
    </row>
    <row r="18" spans="1:7" x14ac:dyDescent="0.2">
      <c r="A18" s="422">
        <f>Biodata!A20</f>
        <v>12</v>
      </c>
      <c r="B18" s="427" t="str">
        <f>Biodata!B20</f>
        <v>181910104</v>
      </c>
      <c r="C18" s="428" t="str">
        <f>Biodata!C20</f>
        <v>DWIKI DERMAWAN</v>
      </c>
      <c r="D18" s="422">
        <f t="shared" si="0"/>
        <v>65</v>
      </c>
      <c r="E18" s="422" t="str">
        <f t="shared" si="1"/>
        <v>D</v>
      </c>
      <c r="F18" s="422">
        <f t="shared" si="2"/>
        <v>58</v>
      </c>
      <c r="G18" s="422" t="str">
        <f t="shared" si="3"/>
        <v>D</v>
      </c>
    </row>
    <row r="19" spans="1:7" x14ac:dyDescent="0.2">
      <c r="A19" s="422">
        <f>Biodata!A21</f>
        <v>13</v>
      </c>
      <c r="B19" s="427" t="str">
        <f>Biodata!B21</f>
        <v>181910118</v>
      </c>
      <c r="C19" s="428" t="str">
        <f>Biodata!C21</f>
        <v>ENCEP CANDRA</v>
      </c>
      <c r="D19" s="422">
        <f t="shared" si="0"/>
        <v>79</v>
      </c>
      <c r="E19" s="422" t="str">
        <f t="shared" si="1"/>
        <v>C</v>
      </c>
      <c r="F19" s="422">
        <f t="shared" si="2"/>
        <v>65</v>
      </c>
      <c r="G19" s="422" t="str">
        <f t="shared" si="3"/>
        <v>D</v>
      </c>
    </row>
    <row r="20" spans="1:7" x14ac:dyDescent="0.2">
      <c r="A20" s="422">
        <f>Biodata!A22</f>
        <v>14</v>
      </c>
      <c r="B20" s="427" t="str">
        <f>Biodata!B22</f>
        <v>181910128</v>
      </c>
      <c r="C20" s="428" t="str">
        <f>Biodata!C22</f>
        <v>FAIZAL EGI</v>
      </c>
      <c r="D20" s="422">
        <f t="shared" si="0"/>
        <v>60</v>
      </c>
      <c r="E20" s="422" t="str">
        <f t="shared" si="1"/>
        <v>D</v>
      </c>
      <c r="F20" s="422">
        <f t="shared" si="2"/>
        <v>55</v>
      </c>
      <c r="G20" s="422" t="str">
        <f t="shared" si="3"/>
        <v>D</v>
      </c>
    </row>
    <row r="21" spans="1:7" x14ac:dyDescent="0.2">
      <c r="A21" s="422">
        <f>Biodata!A23</f>
        <v>15</v>
      </c>
      <c r="B21" s="427" t="str">
        <f>Biodata!B23</f>
        <v>181910133</v>
      </c>
      <c r="C21" s="428" t="str">
        <f>Biodata!C23</f>
        <v>FAUZI DHALFADLIL AZHANI</v>
      </c>
      <c r="D21" s="422">
        <f t="shared" si="0"/>
        <v>65</v>
      </c>
      <c r="E21" s="422" t="str">
        <f t="shared" si="1"/>
        <v>D</v>
      </c>
      <c r="F21" s="422">
        <f t="shared" si="2"/>
        <v>58</v>
      </c>
      <c r="G21" s="422" t="str">
        <f t="shared" si="3"/>
        <v>D</v>
      </c>
    </row>
    <row r="22" spans="1:7" x14ac:dyDescent="0.2">
      <c r="A22" s="422">
        <f>Biodata!A24</f>
        <v>16</v>
      </c>
      <c r="B22" s="427" t="str">
        <f>Biodata!B24</f>
        <v>181910161</v>
      </c>
      <c r="C22" s="428" t="str">
        <f>Biodata!C24</f>
        <v>HILMAN PUTRA PAMUNGKAS</v>
      </c>
      <c r="D22" s="422">
        <f t="shared" si="0"/>
        <v>75</v>
      </c>
      <c r="E22" s="422" t="str">
        <f t="shared" si="1"/>
        <v>C</v>
      </c>
      <c r="F22" s="422">
        <f t="shared" si="2"/>
        <v>60</v>
      </c>
      <c r="G22" s="422" t="str">
        <f t="shared" si="3"/>
        <v>D</v>
      </c>
    </row>
    <row r="23" spans="1:7" x14ac:dyDescent="0.2">
      <c r="A23" s="422">
        <f>Biodata!A25</f>
        <v>17</v>
      </c>
      <c r="B23" s="427" t="str">
        <f>Biodata!B25</f>
        <v>181910165</v>
      </c>
      <c r="C23" s="428" t="str">
        <f>Biodata!C25</f>
        <v>IHSYA FADILLAH MUSLIM</v>
      </c>
      <c r="D23" s="422">
        <f t="shared" si="0"/>
        <v>60</v>
      </c>
      <c r="E23" s="422" t="str">
        <f t="shared" si="1"/>
        <v>D</v>
      </c>
      <c r="F23" s="422">
        <f t="shared" si="2"/>
        <v>57</v>
      </c>
      <c r="G23" s="422" t="str">
        <f t="shared" si="3"/>
        <v>D</v>
      </c>
    </row>
    <row r="24" spans="1:7" x14ac:dyDescent="0.2">
      <c r="A24" s="422">
        <f>Biodata!A26</f>
        <v>18</v>
      </c>
      <c r="B24" s="427" t="str">
        <f>Biodata!B26</f>
        <v>181910185</v>
      </c>
      <c r="C24" s="428" t="str">
        <f>Biodata!C26</f>
        <v>JIHAD AKBAR</v>
      </c>
      <c r="D24" s="422">
        <f t="shared" si="0"/>
        <v>79</v>
      </c>
      <c r="E24" s="422" t="str">
        <f t="shared" si="1"/>
        <v>C</v>
      </c>
      <c r="F24" s="422">
        <f t="shared" si="2"/>
        <v>64</v>
      </c>
      <c r="G24" s="422" t="str">
        <f t="shared" si="3"/>
        <v>D</v>
      </c>
    </row>
    <row r="25" spans="1:7" x14ac:dyDescent="0.2">
      <c r="A25" s="422">
        <f>Biodata!A27</f>
        <v>19</v>
      </c>
      <c r="B25" s="427" t="str">
        <f>Biodata!B27</f>
        <v>181910226</v>
      </c>
      <c r="C25" s="428" t="str">
        <f>Biodata!C27</f>
        <v>MUHAMAD IZZAZUL FIKRIAN</v>
      </c>
      <c r="D25" s="422">
        <f t="shared" si="0"/>
        <v>0</v>
      </c>
      <c r="E25" s="422" t="str">
        <f t="shared" si="1"/>
        <v/>
      </c>
      <c r="F25" s="422">
        <f t="shared" si="2"/>
        <v>0</v>
      </c>
      <c r="G25" s="422" t="str">
        <f t="shared" si="3"/>
        <v/>
      </c>
    </row>
    <row r="26" spans="1:7" x14ac:dyDescent="0.2">
      <c r="A26" s="422">
        <f>Biodata!A28</f>
        <v>20</v>
      </c>
      <c r="B26" s="427" t="str">
        <f>Biodata!B28</f>
        <v>181910433</v>
      </c>
      <c r="C26" s="428" t="str">
        <f>Biodata!C28</f>
        <v>MUHAMAD RIZAL</v>
      </c>
      <c r="D26" s="422">
        <f t="shared" si="0"/>
        <v>77</v>
      </c>
      <c r="E26" s="422" t="str">
        <f t="shared" si="1"/>
        <v>C</v>
      </c>
      <c r="F26" s="422">
        <f t="shared" si="2"/>
        <v>60</v>
      </c>
      <c r="G26" s="422" t="str">
        <f t="shared" si="3"/>
        <v>D</v>
      </c>
    </row>
    <row r="27" spans="1:7" x14ac:dyDescent="0.2">
      <c r="A27" s="422">
        <f>Biodata!A29</f>
        <v>21</v>
      </c>
      <c r="B27" s="427" t="str">
        <f>Biodata!B29</f>
        <v>181910240</v>
      </c>
      <c r="C27" s="428" t="str">
        <f>Biodata!C29</f>
        <v>NESHA RAUDHATUL ZANNAH</v>
      </c>
      <c r="D27" s="422">
        <f t="shared" si="0"/>
        <v>73</v>
      </c>
      <c r="E27" s="422" t="str">
        <f t="shared" si="1"/>
        <v>C</v>
      </c>
      <c r="F27" s="422">
        <f t="shared" si="2"/>
        <v>67</v>
      </c>
      <c r="G27" s="422" t="str">
        <f t="shared" si="3"/>
        <v>D</v>
      </c>
    </row>
    <row r="28" spans="1:7" x14ac:dyDescent="0.2">
      <c r="A28" s="422">
        <f>Biodata!A30</f>
        <v>22</v>
      </c>
      <c r="B28" s="427" t="str">
        <f>Biodata!B30</f>
        <v>181910262</v>
      </c>
      <c r="C28" s="428" t="str">
        <f>Biodata!C30</f>
        <v>PUTRI ANGGRAENI</v>
      </c>
      <c r="D28" s="422">
        <f t="shared" si="0"/>
        <v>78</v>
      </c>
      <c r="E28" s="422" t="str">
        <f t="shared" si="1"/>
        <v>C</v>
      </c>
      <c r="F28" s="422">
        <f t="shared" si="2"/>
        <v>68</v>
      </c>
      <c r="G28" s="422" t="str">
        <f t="shared" si="3"/>
        <v>D</v>
      </c>
    </row>
    <row r="29" spans="1:7" x14ac:dyDescent="0.2">
      <c r="A29" s="422">
        <f>Biodata!A31</f>
        <v>23</v>
      </c>
      <c r="B29" s="427" t="str">
        <f>Biodata!B31</f>
        <v>181910266</v>
      </c>
      <c r="C29" s="428" t="str">
        <f>Biodata!C31</f>
        <v>PUTRI WULANDARI</v>
      </c>
      <c r="D29" s="422">
        <f t="shared" si="0"/>
        <v>80</v>
      </c>
      <c r="E29" s="422" t="str">
        <f t="shared" si="1"/>
        <v>B</v>
      </c>
      <c r="F29" s="422">
        <f t="shared" si="2"/>
        <v>82</v>
      </c>
      <c r="G29" s="422" t="str">
        <f t="shared" si="3"/>
        <v>B</v>
      </c>
    </row>
    <row r="30" spans="1:7" x14ac:dyDescent="0.2">
      <c r="A30" s="422">
        <f>Biodata!A32</f>
        <v>24</v>
      </c>
      <c r="B30" s="427" t="str">
        <f>Biodata!B32</f>
        <v>181910272</v>
      </c>
      <c r="C30" s="428" t="str">
        <f>Biodata!C32</f>
        <v>RAFLY GYMNASTIAR</v>
      </c>
      <c r="D30" s="422">
        <f t="shared" si="0"/>
        <v>0</v>
      </c>
      <c r="E30" s="422" t="str">
        <f t="shared" si="1"/>
        <v/>
      </c>
      <c r="F30" s="422">
        <f t="shared" si="2"/>
        <v>0</v>
      </c>
      <c r="G30" s="422" t="str">
        <f t="shared" si="3"/>
        <v/>
      </c>
    </row>
    <row r="31" spans="1:7" x14ac:dyDescent="0.2">
      <c r="A31" s="422">
        <f>Biodata!A33</f>
        <v>25</v>
      </c>
      <c r="B31" s="427" t="str">
        <f>Biodata!B33</f>
        <v>181910280</v>
      </c>
      <c r="C31" s="428" t="str">
        <f>Biodata!C33</f>
        <v>REFIANA</v>
      </c>
      <c r="D31" s="422">
        <f t="shared" si="0"/>
        <v>0</v>
      </c>
      <c r="E31" s="422" t="str">
        <f t="shared" si="1"/>
        <v/>
      </c>
      <c r="F31" s="422">
        <f t="shared" si="2"/>
        <v>0</v>
      </c>
      <c r="G31" s="422" t="str">
        <f t="shared" si="3"/>
        <v/>
      </c>
    </row>
    <row r="32" spans="1:7" x14ac:dyDescent="0.2">
      <c r="A32" s="422">
        <f>Biodata!A34</f>
        <v>26</v>
      </c>
      <c r="B32" s="427" t="str">
        <f>Biodata!B34</f>
        <v>181910285</v>
      </c>
      <c r="C32" s="428" t="str">
        <f>Biodata!C34</f>
        <v>RENALDI PRIYATAMA</v>
      </c>
      <c r="D32" s="422">
        <f t="shared" si="0"/>
        <v>58</v>
      </c>
      <c r="E32" s="422" t="str">
        <f t="shared" si="1"/>
        <v>D</v>
      </c>
      <c r="F32" s="422">
        <f t="shared" si="2"/>
        <v>45</v>
      </c>
      <c r="G32" s="422" t="str">
        <f t="shared" si="3"/>
        <v>D</v>
      </c>
    </row>
    <row r="33" spans="1:7" x14ac:dyDescent="0.2">
      <c r="A33" s="422">
        <f>Biodata!A35</f>
        <v>27</v>
      </c>
      <c r="B33" s="427" t="str">
        <f>Biodata!B35</f>
        <v>181910286</v>
      </c>
      <c r="C33" s="428" t="str">
        <f>Biodata!C35</f>
        <v>RENATA</v>
      </c>
      <c r="D33" s="422">
        <f t="shared" si="0"/>
        <v>80</v>
      </c>
      <c r="E33" s="422" t="str">
        <f t="shared" si="1"/>
        <v>B</v>
      </c>
      <c r="F33" s="422">
        <f t="shared" si="2"/>
        <v>83</v>
      </c>
      <c r="G33" s="422" t="str">
        <f t="shared" si="3"/>
        <v>B</v>
      </c>
    </row>
    <row r="34" spans="1:7" x14ac:dyDescent="0.2">
      <c r="A34" s="422">
        <f>Biodata!A36</f>
        <v>28</v>
      </c>
      <c r="B34" s="427" t="str">
        <f>Biodata!B36</f>
        <v>181910293</v>
      </c>
      <c r="C34" s="428" t="str">
        <f>Biodata!C36</f>
        <v xml:space="preserve">REZA ERNANDA </v>
      </c>
      <c r="D34" s="422">
        <f t="shared" si="0"/>
        <v>81</v>
      </c>
      <c r="E34" s="422" t="str">
        <f t="shared" si="1"/>
        <v>B</v>
      </c>
      <c r="F34" s="422">
        <f t="shared" si="2"/>
        <v>84</v>
      </c>
      <c r="G34" s="422" t="str">
        <f t="shared" si="3"/>
        <v>B</v>
      </c>
    </row>
    <row r="35" spans="1:7" x14ac:dyDescent="0.2">
      <c r="A35" s="422">
        <f>Biodata!A37</f>
        <v>29</v>
      </c>
      <c r="B35" s="427" t="str">
        <f>Biodata!B37</f>
        <v>181910300</v>
      </c>
      <c r="C35" s="428" t="str">
        <f>Biodata!C37</f>
        <v>RIFAN MUHAMAD RIZKI</v>
      </c>
      <c r="D35" s="422">
        <f t="shared" si="0"/>
        <v>0</v>
      </c>
      <c r="E35" s="422" t="str">
        <f t="shared" si="1"/>
        <v/>
      </c>
      <c r="F35" s="422">
        <f t="shared" si="2"/>
        <v>0</v>
      </c>
      <c r="G35" s="422" t="str">
        <f t="shared" si="3"/>
        <v/>
      </c>
    </row>
    <row r="36" spans="1:7" x14ac:dyDescent="0.2">
      <c r="A36" s="422">
        <f>Biodata!A38</f>
        <v>30</v>
      </c>
      <c r="B36" s="427" t="str">
        <f>Biodata!B38</f>
        <v>181910318</v>
      </c>
      <c r="C36" s="428" t="str">
        <f>Biodata!C38</f>
        <v>RISMA SURYANI</v>
      </c>
      <c r="D36" s="422">
        <f t="shared" si="0"/>
        <v>80</v>
      </c>
      <c r="E36" s="422" t="str">
        <f t="shared" si="1"/>
        <v>B</v>
      </c>
      <c r="F36" s="422">
        <f t="shared" si="2"/>
        <v>65</v>
      </c>
      <c r="G36" s="422" t="str">
        <f t="shared" si="3"/>
        <v>D</v>
      </c>
    </row>
    <row r="37" spans="1:7" x14ac:dyDescent="0.2">
      <c r="A37" s="422">
        <f>Biodata!A39</f>
        <v>31</v>
      </c>
      <c r="B37" s="427" t="str">
        <f>Biodata!B39</f>
        <v>181910320</v>
      </c>
      <c r="C37" s="428" t="str">
        <f>Biodata!C39</f>
        <v>RISNA TIRANI</v>
      </c>
      <c r="D37" s="422">
        <f t="shared" si="0"/>
        <v>83</v>
      </c>
      <c r="E37" s="422" t="str">
        <f t="shared" si="1"/>
        <v>B</v>
      </c>
      <c r="F37" s="422">
        <f t="shared" si="2"/>
        <v>87</v>
      </c>
      <c r="G37" s="422" t="str">
        <f t="shared" si="3"/>
        <v>B</v>
      </c>
    </row>
    <row r="38" spans="1:7" x14ac:dyDescent="0.2">
      <c r="A38" s="422">
        <f>Biodata!A40</f>
        <v>32</v>
      </c>
      <c r="B38" s="427" t="str">
        <f>Biodata!B40</f>
        <v>181910331</v>
      </c>
      <c r="C38" s="428" t="str">
        <f>Biodata!C40</f>
        <v>RULLY PRATAMA S.</v>
      </c>
      <c r="D38" s="422">
        <f t="shared" si="0"/>
        <v>75</v>
      </c>
      <c r="E38" s="422" t="str">
        <f t="shared" si="1"/>
        <v>C</v>
      </c>
      <c r="F38" s="422">
        <f t="shared" si="2"/>
        <v>60</v>
      </c>
      <c r="G38" s="422" t="str">
        <f t="shared" si="3"/>
        <v>D</v>
      </c>
    </row>
    <row r="39" spans="1:7" x14ac:dyDescent="0.2">
      <c r="A39" s="422">
        <f>Biodata!A41</f>
        <v>33</v>
      </c>
      <c r="B39" s="427" t="str">
        <f>Biodata!B41</f>
        <v>181910335</v>
      </c>
      <c r="C39" s="428" t="str">
        <f>Biodata!C41</f>
        <v>SALSA ASYKIYA</v>
      </c>
      <c r="D39" s="422">
        <f t="shared" si="0"/>
        <v>80</v>
      </c>
      <c r="E39" s="422" t="str">
        <f t="shared" si="1"/>
        <v>B</v>
      </c>
      <c r="F39" s="422">
        <f t="shared" si="2"/>
        <v>83</v>
      </c>
      <c r="G39" s="422" t="str">
        <f t="shared" si="3"/>
        <v>B</v>
      </c>
    </row>
    <row r="40" spans="1:7" x14ac:dyDescent="0.2">
      <c r="A40" s="422">
        <f>Biodata!A42</f>
        <v>34</v>
      </c>
      <c r="B40" s="427" t="str">
        <f>Biodata!B42</f>
        <v>181910353</v>
      </c>
      <c r="C40" s="428" t="str">
        <f>Biodata!C42</f>
        <v>SILFI HAMIDAH</v>
      </c>
      <c r="D40" s="422">
        <f t="shared" si="0"/>
        <v>80</v>
      </c>
      <c r="E40" s="422" t="str">
        <f t="shared" si="1"/>
        <v>B</v>
      </c>
      <c r="F40" s="422">
        <f t="shared" si="2"/>
        <v>83</v>
      </c>
      <c r="G40" s="422" t="str">
        <f t="shared" si="3"/>
        <v>B</v>
      </c>
    </row>
    <row r="41" spans="1:7" x14ac:dyDescent="0.2">
      <c r="A41" s="422">
        <f>Biodata!A43</f>
        <v>35</v>
      </c>
      <c r="B41" s="427" t="str">
        <f>Biodata!B43</f>
        <v>181910408</v>
      </c>
      <c r="C41" s="428" t="str">
        <f>Biodata!C43</f>
        <v>YESHA RAHAYU</v>
      </c>
      <c r="D41" s="422">
        <f t="shared" si="0"/>
        <v>0</v>
      </c>
      <c r="E41" s="422" t="str">
        <f t="shared" si="1"/>
        <v/>
      </c>
      <c r="F41" s="422">
        <f t="shared" si="2"/>
        <v>0</v>
      </c>
      <c r="G41" s="422" t="str">
        <f t="shared" si="3"/>
        <v/>
      </c>
    </row>
    <row r="42" spans="1:7" x14ac:dyDescent="0.2">
      <c r="A42" s="422">
        <f>Biodata!A44</f>
        <v>36</v>
      </c>
      <c r="B42" s="427" t="str">
        <f>Biodata!B44</f>
        <v>036</v>
      </c>
      <c r="C42" s="428" t="str">
        <f>Biodata!C44</f>
        <v>A36</v>
      </c>
      <c r="D42" s="422">
        <f t="shared" si="0"/>
        <v>0</v>
      </c>
      <c r="E42" s="422" t="str">
        <f t="shared" si="1"/>
        <v/>
      </c>
      <c r="F42" s="422">
        <f t="shared" si="2"/>
        <v>0</v>
      </c>
      <c r="G42" s="422" t="str">
        <f t="shared" si="3"/>
        <v/>
      </c>
    </row>
    <row r="43" spans="1:7" x14ac:dyDescent="0.2">
      <c r="A43" s="422">
        <f>Biodata!A45</f>
        <v>37</v>
      </c>
      <c r="B43" s="427" t="str">
        <f>Biodata!B45</f>
        <v>037</v>
      </c>
      <c r="C43" s="428" t="str">
        <f>Biodata!C45</f>
        <v>A37</v>
      </c>
      <c r="D43" s="422">
        <f t="shared" si="0"/>
        <v>0</v>
      </c>
      <c r="E43" s="422" t="str">
        <f t="shared" si="1"/>
        <v/>
      </c>
      <c r="F43" s="422">
        <f t="shared" si="2"/>
        <v>0</v>
      </c>
      <c r="G43" s="422" t="str">
        <f t="shared" si="3"/>
        <v/>
      </c>
    </row>
    <row r="44" spans="1:7" x14ac:dyDescent="0.2">
      <c r="A44" s="422">
        <f>Biodata!A46</f>
        <v>38</v>
      </c>
      <c r="B44" s="427" t="str">
        <f>Biodata!B46</f>
        <v>038</v>
      </c>
      <c r="C44" s="428" t="str">
        <f>Biodata!C46</f>
        <v>A38</v>
      </c>
      <c r="D44" s="422">
        <f t="shared" si="0"/>
        <v>0</v>
      </c>
      <c r="E44" s="422" t="str">
        <f t="shared" si="1"/>
        <v/>
      </c>
      <c r="F44" s="422">
        <f t="shared" si="2"/>
        <v>0</v>
      </c>
      <c r="G44" s="422" t="str">
        <f t="shared" si="3"/>
        <v/>
      </c>
    </row>
    <row r="45" spans="1:7" x14ac:dyDescent="0.2">
      <c r="A45" s="422">
        <f>Biodata!A47</f>
        <v>39</v>
      </c>
      <c r="B45" s="427" t="str">
        <f>Biodata!B47</f>
        <v>039</v>
      </c>
      <c r="C45" s="428" t="str">
        <f>Biodata!C47</f>
        <v>A39</v>
      </c>
      <c r="D45" s="422">
        <f t="shared" si="0"/>
        <v>0</v>
      </c>
      <c r="E45" s="422" t="str">
        <f t="shared" si="1"/>
        <v/>
      </c>
      <c r="F45" s="422">
        <f t="shared" si="2"/>
        <v>0</v>
      </c>
      <c r="G45" s="422" t="str">
        <f t="shared" si="3"/>
        <v/>
      </c>
    </row>
    <row r="46" spans="1:7" x14ac:dyDescent="0.2">
      <c r="A46" s="422">
        <f>Biodata!A48</f>
        <v>40</v>
      </c>
      <c r="B46" s="427" t="str">
        <f>Biodata!B48</f>
        <v>040</v>
      </c>
      <c r="C46" s="428" t="str">
        <f>Biodata!C48</f>
        <v>A40</v>
      </c>
      <c r="D46" s="422">
        <f t="shared" si="0"/>
        <v>0</v>
      </c>
      <c r="E46" s="422" t="str">
        <f t="shared" si="1"/>
        <v/>
      </c>
      <c r="F46" s="422">
        <f t="shared" si="2"/>
        <v>0</v>
      </c>
      <c r="G46" s="422" t="str">
        <f t="shared" si="3"/>
        <v/>
      </c>
    </row>
    <row r="47" spans="1:7" x14ac:dyDescent="0.2">
      <c r="C47" s="432"/>
    </row>
    <row r="48" spans="1:7" x14ac:dyDescent="0.2">
      <c r="C48" s="432"/>
    </row>
    <row r="49" spans="3:3" s="425" customFormat="1" x14ac:dyDescent="0.2">
      <c r="C49" s="432"/>
    </row>
    <row r="50" spans="3:3" s="425" customFormat="1" x14ac:dyDescent="0.2">
      <c r="C50" s="432"/>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6" enableFormatConditionsCalculation="0">
    <tabColor rgb="FF00B050"/>
  </sheetPr>
  <dimension ref="A1:X50"/>
  <sheetViews>
    <sheetView zoomScaleNormal="100" workbookViewId="0">
      <selection activeCell="E5" sqref="E5"/>
    </sheetView>
  </sheetViews>
  <sheetFormatPr defaultRowHeight="12.75" x14ac:dyDescent="0.2"/>
  <cols>
    <col min="1" max="1" width="5.85546875" style="13" customWidth="1"/>
    <col min="2" max="2" width="10.28515625" style="13" customWidth="1"/>
    <col min="3" max="3" width="28.85546875" style="13" customWidth="1"/>
    <col min="4" max="4" width="16.28515625" style="18" customWidth="1"/>
    <col min="5" max="7" width="9.140625" style="17"/>
    <col min="8" max="8" width="12.140625" style="17" customWidth="1"/>
    <col min="9" max="9" width="6.85546875" style="17" customWidth="1"/>
    <col min="10" max="10" width="11.28515625" style="17" customWidth="1"/>
    <col min="11" max="16384" width="9.140625" style="17"/>
  </cols>
  <sheetData>
    <row r="1" spans="1:24" ht="18" customHeight="1" x14ac:dyDescent="0.2">
      <c r="A1" s="15"/>
      <c r="B1" s="16" t="s">
        <v>35</v>
      </c>
      <c r="C1" s="17"/>
    </row>
    <row r="2" spans="1:24" x14ac:dyDescent="0.2">
      <c r="A2" s="169"/>
      <c r="B2" s="16" t="s">
        <v>40</v>
      </c>
    </row>
    <row r="3" spans="1:24" x14ac:dyDescent="0.2">
      <c r="B3" s="170" t="s">
        <v>44</v>
      </c>
      <c r="C3" s="13" t="s">
        <v>38</v>
      </c>
    </row>
    <row r="4" spans="1:24" x14ac:dyDescent="0.2">
      <c r="B4" s="170" t="s">
        <v>50</v>
      </c>
      <c r="C4" s="13" t="s">
        <v>365</v>
      </c>
      <c r="D4" s="171" t="s">
        <v>56</v>
      </c>
      <c r="E4" s="488" t="s">
        <v>497</v>
      </c>
    </row>
    <row r="5" spans="1:24" x14ac:dyDescent="0.2">
      <c r="B5" s="170" t="s">
        <v>45</v>
      </c>
      <c r="C5" s="13" t="s">
        <v>331</v>
      </c>
      <c r="D5" s="171" t="s">
        <v>75</v>
      </c>
      <c r="E5" s="172" t="s">
        <v>176</v>
      </c>
    </row>
    <row r="6" spans="1:24" x14ac:dyDescent="0.2">
      <c r="B6" s="170" t="s">
        <v>43</v>
      </c>
      <c r="C6" s="13" t="s">
        <v>332</v>
      </c>
    </row>
    <row r="7" spans="1:24" x14ac:dyDescent="0.2">
      <c r="A7" s="499" t="s">
        <v>76</v>
      </c>
      <c r="B7" s="498" t="s">
        <v>10</v>
      </c>
      <c r="C7" s="500" t="s">
        <v>41</v>
      </c>
      <c r="D7" s="501" t="s">
        <v>60</v>
      </c>
      <c r="E7" s="498" t="s">
        <v>77</v>
      </c>
      <c r="F7" s="498" t="s">
        <v>78</v>
      </c>
      <c r="G7" s="500" t="s">
        <v>79</v>
      </c>
      <c r="H7" s="498" t="s">
        <v>80</v>
      </c>
      <c r="I7" s="498" t="s">
        <v>81</v>
      </c>
      <c r="J7" s="498" t="s">
        <v>82</v>
      </c>
      <c r="K7" s="498" t="s">
        <v>83</v>
      </c>
      <c r="L7" s="498" t="s">
        <v>84</v>
      </c>
      <c r="M7" s="502" t="s">
        <v>85</v>
      </c>
      <c r="N7" s="502"/>
      <c r="O7" s="500" t="s">
        <v>86</v>
      </c>
      <c r="P7" s="500"/>
      <c r="Q7" s="500"/>
      <c r="R7" s="500"/>
      <c r="S7" s="502" t="s">
        <v>87</v>
      </c>
      <c r="T7" s="502"/>
      <c r="U7" s="500" t="s">
        <v>88</v>
      </c>
      <c r="V7" s="500"/>
      <c r="W7" s="500"/>
      <c r="X7" s="500"/>
    </row>
    <row r="8" spans="1:24" s="19" customFormat="1" x14ac:dyDescent="0.2">
      <c r="A8" s="499"/>
      <c r="B8" s="498"/>
      <c r="C8" s="500"/>
      <c r="D8" s="501"/>
      <c r="E8" s="498"/>
      <c r="F8" s="498"/>
      <c r="G8" s="500"/>
      <c r="H8" s="498"/>
      <c r="I8" s="498"/>
      <c r="J8" s="498"/>
      <c r="K8" s="498"/>
      <c r="L8" s="498"/>
      <c r="M8" s="173" t="s">
        <v>89</v>
      </c>
      <c r="N8" s="173" t="s">
        <v>90</v>
      </c>
      <c r="O8" s="174" t="s">
        <v>91</v>
      </c>
      <c r="P8" s="174" t="s">
        <v>92</v>
      </c>
      <c r="Q8" s="174" t="s">
        <v>93</v>
      </c>
      <c r="R8" s="174" t="s">
        <v>94</v>
      </c>
      <c r="S8" s="174" t="s">
        <v>95</v>
      </c>
      <c r="T8" s="174" t="s">
        <v>96</v>
      </c>
      <c r="U8" s="174" t="s">
        <v>97</v>
      </c>
      <c r="V8" s="174" t="s">
        <v>94</v>
      </c>
      <c r="W8" s="174" t="s">
        <v>93</v>
      </c>
      <c r="X8" s="174" t="s">
        <v>98</v>
      </c>
    </row>
    <row r="9" spans="1:24" x14ac:dyDescent="0.2">
      <c r="A9" s="152">
        <v>1</v>
      </c>
      <c r="B9" s="489" t="s">
        <v>366</v>
      </c>
      <c r="C9" s="490" t="s">
        <v>367</v>
      </c>
      <c r="D9" s="18">
        <v>9991234567</v>
      </c>
      <c r="E9" s="175" t="s">
        <v>231</v>
      </c>
      <c r="F9" s="175" t="s">
        <v>99</v>
      </c>
      <c r="G9" s="175" t="s">
        <v>221</v>
      </c>
      <c r="H9" s="175" t="s">
        <v>220</v>
      </c>
      <c r="I9" s="175">
        <v>1</v>
      </c>
      <c r="J9" s="176" t="s">
        <v>100</v>
      </c>
      <c r="K9" s="177" t="s">
        <v>101</v>
      </c>
      <c r="L9" s="176" t="s">
        <v>222</v>
      </c>
      <c r="M9" s="175" t="s">
        <v>223</v>
      </c>
      <c r="N9" s="178" t="s">
        <v>233</v>
      </c>
      <c r="O9" s="175" t="s">
        <v>224</v>
      </c>
      <c r="P9" s="175" t="s">
        <v>225</v>
      </c>
      <c r="Q9" s="176" t="s">
        <v>226</v>
      </c>
      <c r="R9" s="177" t="s">
        <v>102</v>
      </c>
      <c r="S9" s="175" t="s">
        <v>103</v>
      </c>
      <c r="T9" s="175" t="s">
        <v>227</v>
      </c>
      <c r="U9" s="175" t="s">
        <v>228</v>
      </c>
      <c r="V9" s="177" t="s">
        <v>104</v>
      </c>
      <c r="W9" s="176" t="s">
        <v>229</v>
      </c>
      <c r="X9" s="175" t="s">
        <v>230</v>
      </c>
    </row>
    <row r="10" spans="1:24" x14ac:dyDescent="0.2">
      <c r="A10" s="152">
        <v>2</v>
      </c>
      <c r="B10" s="489" t="s">
        <v>368</v>
      </c>
      <c r="C10" s="490" t="s">
        <v>369</v>
      </c>
      <c r="D10" s="18" t="s">
        <v>36</v>
      </c>
      <c r="E10" s="179" t="s">
        <v>36</v>
      </c>
      <c r="F10" s="179" t="s">
        <v>36</v>
      </c>
      <c r="G10" s="179" t="s">
        <v>36</v>
      </c>
      <c r="H10" s="179" t="s">
        <v>36</v>
      </c>
      <c r="I10" s="179" t="s">
        <v>36</v>
      </c>
      <c r="J10" s="179" t="s">
        <v>36</v>
      </c>
      <c r="K10" s="179" t="s">
        <v>36</v>
      </c>
      <c r="L10" s="179" t="s">
        <v>36</v>
      </c>
      <c r="M10" s="179" t="s">
        <v>36</v>
      </c>
      <c r="N10" s="179" t="s">
        <v>36</v>
      </c>
      <c r="O10" s="179" t="s">
        <v>36</v>
      </c>
      <c r="P10" s="179" t="s">
        <v>36</v>
      </c>
      <c r="Q10" s="179" t="s">
        <v>36</v>
      </c>
      <c r="R10" s="179" t="s">
        <v>36</v>
      </c>
      <c r="S10" s="179" t="s">
        <v>36</v>
      </c>
      <c r="T10" s="179" t="s">
        <v>36</v>
      </c>
      <c r="U10" s="179" t="s">
        <v>36</v>
      </c>
      <c r="V10" s="179" t="s">
        <v>36</v>
      </c>
      <c r="W10" s="179" t="s">
        <v>36</v>
      </c>
      <c r="X10" s="179" t="s">
        <v>36</v>
      </c>
    </row>
    <row r="11" spans="1:24" x14ac:dyDescent="0.2">
      <c r="A11" s="152">
        <v>3</v>
      </c>
      <c r="B11" s="489" t="s">
        <v>370</v>
      </c>
      <c r="C11" s="490" t="s">
        <v>371</v>
      </c>
      <c r="D11" s="18" t="s">
        <v>36</v>
      </c>
      <c r="E11" s="495" t="s">
        <v>440</v>
      </c>
      <c r="F11" s="495" t="s">
        <v>441</v>
      </c>
      <c r="G11" s="496" t="s">
        <v>221</v>
      </c>
      <c r="H11" s="496" t="s">
        <v>442</v>
      </c>
      <c r="I11" s="496">
        <v>1</v>
      </c>
      <c r="J11" s="496" t="s">
        <v>443</v>
      </c>
      <c r="K11" s="496"/>
      <c r="L11" s="496" t="s">
        <v>444</v>
      </c>
      <c r="M11" s="496" t="s">
        <v>445</v>
      </c>
      <c r="N11" s="496"/>
      <c r="O11" s="496" t="s">
        <v>446</v>
      </c>
      <c r="P11" s="496" t="s">
        <v>447</v>
      </c>
      <c r="Q11" s="496" t="s">
        <v>443</v>
      </c>
      <c r="R11" s="496"/>
      <c r="S11" s="496" t="s">
        <v>448</v>
      </c>
      <c r="T11" s="496" t="s">
        <v>449</v>
      </c>
      <c r="U11" s="496"/>
      <c r="V11" s="496"/>
      <c r="W11" s="496"/>
      <c r="X11" s="496" t="s">
        <v>448</v>
      </c>
    </row>
    <row r="12" spans="1:24" x14ac:dyDescent="0.2">
      <c r="A12" s="152">
        <v>4</v>
      </c>
      <c r="B12" s="489" t="s">
        <v>372</v>
      </c>
      <c r="C12" s="490" t="s">
        <v>373</v>
      </c>
      <c r="D12" s="18" t="s">
        <v>36</v>
      </c>
      <c r="E12" s="179" t="s">
        <v>36</v>
      </c>
      <c r="F12" s="179" t="s">
        <v>36</v>
      </c>
      <c r="G12" s="179" t="s">
        <v>36</v>
      </c>
      <c r="H12" s="179" t="s">
        <v>36</v>
      </c>
      <c r="I12" s="179" t="s">
        <v>36</v>
      </c>
      <c r="J12" s="179" t="s">
        <v>36</v>
      </c>
      <c r="K12" s="179" t="s">
        <v>36</v>
      </c>
      <c r="L12" s="179" t="s">
        <v>36</v>
      </c>
      <c r="M12" s="179" t="s">
        <v>36</v>
      </c>
      <c r="N12" s="179" t="s">
        <v>36</v>
      </c>
      <c r="O12" s="179" t="s">
        <v>36</v>
      </c>
      <c r="P12" s="179" t="s">
        <v>36</v>
      </c>
      <c r="Q12" s="179" t="s">
        <v>36</v>
      </c>
      <c r="R12" s="179" t="s">
        <v>36</v>
      </c>
      <c r="S12" s="179" t="s">
        <v>36</v>
      </c>
      <c r="T12" s="179" t="s">
        <v>36</v>
      </c>
      <c r="U12" s="179" t="s">
        <v>36</v>
      </c>
      <c r="V12" s="179" t="s">
        <v>36</v>
      </c>
      <c r="W12" s="179" t="s">
        <v>36</v>
      </c>
      <c r="X12" s="179" t="s">
        <v>36</v>
      </c>
    </row>
    <row r="13" spans="1:24" x14ac:dyDescent="0.2">
      <c r="A13" s="152">
        <v>5</v>
      </c>
      <c r="B13" s="489" t="s">
        <v>374</v>
      </c>
      <c r="C13" s="490" t="s">
        <v>375</v>
      </c>
      <c r="D13" s="18" t="s">
        <v>36</v>
      </c>
      <c r="E13" s="179" t="s">
        <v>36</v>
      </c>
      <c r="F13" s="179" t="s">
        <v>36</v>
      </c>
      <c r="G13" s="179" t="s">
        <v>36</v>
      </c>
      <c r="H13" s="179" t="s">
        <v>36</v>
      </c>
      <c r="I13" s="179" t="s">
        <v>36</v>
      </c>
      <c r="J13" s="179" t="s">
        <v>36</v>
      </c>
      <c r="K13" s="179" t="s">
        <v>36</v>
      </c>
      <c r="L13" s="179" t="s">
        <v>36</v>
      </c>
      <c r="M13" s="179" t="s">
        <v>36</v>
      </c>
      <c r="N13" s="179" t="s">
        <v>36</v>
      </c>
      <c r="O13" s="179" t="s">
        <v>36</v>
      </c>
      <c r="P13" s="179" t="s">
        <v>36</v>
      </c>
      <c r="Q13" s="179" t="s">
        <v>36</v>
      </c>
      <c r="R13" s="179" t="s">
        <v>36</v>
      </c>
      <c r="S13" s="179" t="s">
        <v>36</v>
      </c>
      <c r="T13" s="179" t="s">
        <v>36</v>
      </c>
      <c r="U13" s="179" t="s">
        <v>36</v>
      </c>
      <c r="V13" s="179" t="s">
        <v>36</v>
      </c>
      <c r="W13" s="179" t="s">
        <v>36</v>
      </c>
      <c r="X13" s="179" t="s">
        <v>36</v>
      </c>
    </row>
    <row r="14" spans="1:24" x14ac:dyDescent="0.2">
      <c r="A14" s="152">
        <v>6</v>
      </c>
      <c r="B14" s="489" t="s">
        <v>376</v>
      </c>
      <c r="C14" s="491" t="s">
        <v>377</v>
      </c>
      <c r="D14" s="18" t="s">
        <v>36</v>
      </c>
      <c r="E14" s="495" t="s">
        <v>450</v>
      </c>
      <c r="F14" s="495" t="s">
        <v>441</v>
      </c>
      <c r="G14" s="496" t="s">
        <v>221</v>
      </c>
      <c r="H14" s="496" t="s">
        <v>442</v>
      </c>
      <c r="I14" s="496">
        <v>5</v>
      </c>
      <c r="J14" s="496" t="s">
        <v>467</v>
      </c>
      <c r="K14" s="496"/>
      <c r="L14" s="496"/>
      <c r="M14" s="496"/>
      <c r="N14" s="496"/>
      <c r="O14" s="496"/>
      <c r="P14" s="496"/>
      <c r="Q14" s="496"/>
      <c r="R14" s="496"/>
      <c r="S14" s="496"/>
      <c r="T14" s="496"/>
      <c r="U14" s="496"/>
      <c r="V14" s="496"/>
      <c r="W14" s="496"/>
      <c r="X14" s="496"/>
    </row>
    <row r="15" spans="1:24" x14ac:dyDescent="0.2">
      <c r="A15" s="152">
        <v>7</v>
      </c>
      <c r="B15" s="489" t="s">
        <v>378</v>
      </c>
      <c r="C15" s="490" t="s">
        <v>379</v>
      </c>
      <c r="D15" s="18" t="s">
        <v>36</v>
      </c>
      <c r="E15" s="495" t="s">
        <v>451</v>
      </c>
      <c r="F15" s="495" t="s">
        <v>441</v>
      </c>
      <c r="G15" s="496" t="s">
        <v>221</v>
      </c>
      <c r="H15" s="496" t="s">
        <v>442</v>
      </c>
      <c r="I15" s="496">
        <v>1</v>
      </c>
      <c r="J15" s="496" t="s">
        <v>452</v>
      </c>
      <c r="K15" s="496"/>
      <c r="L15" s="496"/>
      <c r="M15" s="496"/>
      <c r="N15" s="496"/>
      <c r="O15" s="496"/>
      <c r="P15" s="496"/>
      <c r="Q15" s="496"/>
      <c r="R15" s="496"/>
      <c r="S15" s="496"/>
      <c r="T15" s="496"/>
      <c r="U15" s="496"/>
      <c r="V15" s="496"/>
      <c r="W15" s="496"/>
      <c r="X15" s="496"/>
    </row>
    <row r="16" spans="1:24" x14ac:dyDescent="0.2">
      <c r="A16" s="152">
        <v>8</v>
      </c>
      <c r="B16" s="489" t="s">
        <v>380</v>
      </c>
      <c r="C16" s="490" t="s">
        <v>381</v>
      </c>
      <c r="D16" s="18" t="s">
        <v>36</v>
      </c>
      <c r="E16" s="495" t="s">
        <v>453</v>
      </c>
      <c r="F16" s="495" t="s">
        <v>454</v>
      </c>
      <c r="G16" s="496" t="s">
        <v>221</v>
      </c>
      <c r="H16" s="496" t="s">
        <v>442</v>
      </c>
      <c r="I16" s="496">
        <v>3</v>
      </c>
      <c r="J16" s="496" t="s">
        <v>455</v>
      </c>
      <c r="K16" s="496"/>
      <c r="L16" s="496"/>
      <c r="M16" s="496"/>
      <c r="N16" s="496"/>
      <c r="O16" s="496"/>
      <c r="P16" s="496"/>
      <c r="Q16" s="496"/>
      <c r="R16" s="496"/>
      <c r="S16" s="496"/>
      <c r="T16" s="496"/>
      <c r="U16" s="496"/>
      <c r="V16" s="179" t="s">
        <v>36</v>
      </c>
      <c r="W16" s="179" t="s">
        <v>36</v>
      </c>
      <c r="X16" s="179" t="s">
        <v>36</v>
      </c>
    </row>
    <row r="17" spans="1:24" x14ac:dyDescent="0.2">
      <c r="A17" s="152">
        <v>9</v>
      </c>
      <c r="B17" s="489" t="s">
        <v>382</v>
      </c>
      <c r="C17" s="490" t="s">
        <v>383</v>
      </c>
      <c r="D17" s="18" t="s">
        <v>36</v>
      </c>
      <c r="E17" s="497" t="s">
        <v>36</v>
      </c>
      <c r="F17" s="495" t="s">
        <v>453</v>
      </c>
      <c r="G17" s="495" t="s">
        <v>454</v>
      </c>
      <c r="H17" s="496" t="s">
        <v>221</v>
      </c>
      <c r="I17" s="496" t="s">
        <v>442</v>
      </c>
      <c r="J17" s="496">
        <v>3</v>
      </c>
      <c r="K17" s="496" t="s">
        <v>455</v>
      </c>
      <c r="L17" s="179" t="s">
        <v>36</v>
      </c>
      <c r="M17" s="179" t="s">
        <v>36</v>
      </c>
      <c r="N17" s="179" t="s">
        <v>36</v>
      </c>
      <c r="O17" s="179" t="s">
        <v>36</v>
      </c>
      <c r="P17" s="179" t="s">
        <v>36</v>
      </c>
      <c r="Q17" s="179" t="s">
        <v>36</v>
      </c>
      <c r="R17" s="179" t="s">
        <v>36</v>
      </c>
      <c r="S17" s="179" t="s">
        <v>36</v>
      </c>
      <c r="T17" s="179" t="s">
        <v>36</v>
      </c>
      <c r="U17" s="179" t="s">
        <v>36</v>
      </c>
      <c r="V17" s="179" t="s">
        <v>36</v>
      </c>
      <c r="W17" s="179" t="s">
        <v>36</v>
      </c>
      <c r="X17" s="179" t="s">
        <v>36</v>
      </c>
    </row>
    <row r="18" spans="1:24" x14ac:dyDescent="0.2">
      <c r="A18" s="152">
        <v>10</v>
      </c>
      <c r="B18" s="489" t="s">
        <v>384</v>
      </c>
      <c r="C18" s="490" t="s">
        <v>385</v>
      </c>
      <c r="D18" s="18" t="s">
        <v>36</v>
      </c>
      <c r="E18" s="497" t="s">
        <v>36</v>
      </c>
      <c r="F18" s="495" t="s">
        <v>468</v>
      </c>
      <c r="G18" s="495" t="s">
        <v>441</v>
      </c>
      <c r="H18" s="496" t="s">
        <v>221</v>
      </c>
      <c r="I18" s="496" t="s">
        <v>442</v>
      </c>
      <c r="J18" s="496">
        <v>1</v>
      </c>
      <c r="K18" s="496" t="s">
        <v>469</v>
      </c>
      <c r="L18" s="496"/>
      <c r="M18" s="496"/>
      <c r="N18" s="496"/>
      <c r="O18" s="496"/>
      <c r="P18" s="496"/>
      <c r="Q18" s="496"/>
      <c r="R18" s="496"/>
      <c r="S18" s="496"/>
      <c r="T18" s="496"/>
      <c r="U18" s="496"/>
      <c r="V18" s="496"/>
      <c r="W18" s="496"/>
      <c r="X18" s="496"/>
    </row>
    <row r="19" spans="1:24" x14ac:dyDescent="0.2">
      <c r="A19" s="152">
        <v>11</v>
      </c>
      <c r="B19" s="489" t="s">
        <v>386</v>
      </c>
      <c r="C19" s="490" t="s">
        <v>387</v>
      </c>
      <c r="D19" s="18" t="s">
        <v>36</v>
      </c>
      <c r="E19" s="179" t="s">
        <v>36</v>
      </c>
      <c r="F19" s="179" t="s">
        <v>36</v>
      </c>
      <c r="G19" s="179"/>
      <c r="H19" s="179" t="s">
        <v>36</v>
      </c>
      <c r="I19" s="179" t="s">
        <v>36</v>
      </c>
      <c r="J19" s="179" t="s">
        <v>36</v>
      </c>
      <c r="K19" s="179" t="s">
        <v>36</v>
      </c>
      <c r="L19" s="179" t="s">
        <v>36</v>
      </c>
      <c r="M19" s="179" t="s">
        <v>36</v>
      </c>
      <c r="N19" s="179" t="s">
        <v>36</v>
      </c>
      <c r="O19" s="179" t="s">
        <v>36</v>
      </c>
      <c r="P19" s="179" t="s">
        <v>36</v>
      </c>
      <c r="Q19" s="179" t="s">
        <v>36</v>
      </c>
      <c r="R19" s="179" t="s">
        <v>36</v>
      </c>
      <c r="S19" s="179" t="s">
        <v>36</v>
      </c>
      <c r="T19" s="179" t="s">
        <v>36</v>
      </c>
      <c r="U19" s="179" t="s">
        <v>36</v>
      </c>
      <c r="V19" s="179" t="s">
        <v>36</v>
      </c>
      <c r="W19" s="179" t="s">
        <v>36</v>
      </c>
      <c r="X19" s="179" t="s">
        <v>36</v>
      </c>
    </row>
    <row r="20" spans="1:24" x14ac:dyDescent="0.2">
      <c r="A20" s="152">
        <v>12</v>
      </c>
      <c r="B20" s="489" t="s">
        <v>388</v>
      </c>
      <c r="C20" s="490" t="s">
        <v>389</v>
      </c>
      <c r="D20" s="18" t="s">
        <v>36</v>
      </c>
      <c r="E20" s="495" t="s">
        <v>470</v>
      </c>
      <c r="F20" s="495" t="s">
        <v>441</v>
      </c>
      <c r="G20" s="496" t="s">
        <v>221</v>
      </c>
      <c r="H20" s="496" t="s">
        <v>442</v>
      </c>
      <c r="I20" s="496">
        <v>1</v>
      </c>
      <c r="J20" s="496" t="s">
        <v>471</v>
      </c>
      <c r="K20" s="179" t="s">
        <v>36</v>
      </c>
      <c r="L20" s="179" t="s">
        <v>36</v>
      </c>
      <c r="M20" s="179" t="s">
        <v>36</v>
      </c>
      <c r="N20" s="179" t="s">
        <v>36</v>
      </c>
      <c r="O20" s="179" t="s">
        <v>36</v>
      </c>
      <c r="P20" s="179" t="s">
        <v>36</v>
      </c>
      <c r="Q20" s="179" t="s">
        <v>36</v>
      </c>
      <c r="R20" s="179" t="s">
        <v>36</v>
      </c>
      <c r="S20" s="179" t="s">
        <v>36</v>
      </c>
      <c r="T20" s="179" t="s">
        <v>36</v>
      </c>
      <c r="U20" s="179" t="s">
        <v>36</v>
      </c>
      <c r="V20" s="179" t="s">
        <v>36</v>
      </c>
      <c r="W20" s="179" t="s">
        <v>36</v>
      </c>
      <c r="X20" s="179" t="s">
        <v>36</v>
      </c>
    </row>
    <row r="21" spans="1:24" x14ac:dyDescent="0.2">
      <c r="A21" s="152">
        <v>13</v>
      </c>
      <c r="B21" s="489" t="s">
        <v>390</v>
      </c>
      <c r="C21" s="490" t="s">
        <v>391</v>
      </c>
      <c r="D21" s="18" t="s">
        <v>36</v>
      </c>
      <c r="E21" s="495" t="s">
        <v>472</v>
      </c>
      <c r="F21" s="495" t="s">
        <v>441</v>
      </c>
      <c r="G21" s="496" t="s">
        <v>221</v>
      </c>
      <c r="H21" s="496" t="s">
        <v>442</v>
      </c>
      <c r="I21" s="496">
        <v>2</v>
      </c>
      <c r="J21" s="496" t="s">
        <v>473</v>
      </c>
      <c r="K21" s="179" t="s">
        <v>36</v>
      </c>
      <c r="L21" s="179" t="s">
        <v>36</v>
      </c>
      <c r="M21" s="179" t="s">
        <v>36</v>
      </c>
      <c r="N21" s="179" t="s">
        <v>36</v>
      </c>
      <c r="O21" s="179" t="s">
        <v>36</v>
      </c>
      <c r="P21" s="179" t="s">
        <v>36</v>
      </c>
      <c r="Q21" s="179" t="s">
        <v>36</v>
      </c>
      <c r="R21" s="179" t="s">
        <v>36</v>
      </c>
      <c r="S21" s="179" t="s">
        <v>36</v>
      </c>
      <c r="T21" s="179" t="s">
        <v>36</v>
      </c>
      <c r="U21" s="179" t="s">
        <v>36</v>
      </c>
      <c r="V21" s="179" t="s">
        <v>36</v>
      </c>
      <c r="W21" s="179" t="s">
        <v>36</v>
      </c>
      <c r="X21" s="179" t="s">
        <v>36</v>
      </c>
    </row>
    <row r="22" spans="1:24" x14ac:dyDescent="0.2">
      <c r="A22" s="152">
        <v>14</v>
      </c>
      <c r="B22" s="489" t="s">
        <v>392</v>
      </c>
      <c r="C22" s="490" t="s">
        <v>393</v>
      </c>
      <c r="D22" s="18" t="s">
        <v>36</v>
      </c>
      <c r="E22" s="179" t="s">
        <v>36</v>
      </c>
      <c r="F22" s="179" t="s">
        <v>36</v>
      </c>
      <c r="G22" s="179" t="s">
        <v>36</v>
      </c>
      <c r="H22" s="179" t="s">
        <v>36</v>
      </c>
      <c r="I22" s="179" t="s">
        <v>36</v>
      </c>
      <c r="J22" s="179" t="s">
        <v>36</v>
      </c>
      <c r="K22" s="179" t="s">
        <v>36</v>
      </c>
      <c r="L22" s="179" t="s">
        <v>36</v>
      </c>
      <c r="M22" s="179" t="s">
        <v>36</v>
      </c>
      <c r="N22" s="179" t="s">
        <v>36</v>
      </c>
      <c r="O22" s="179" t="s">
        <v>36</v>
      </c>
      <c r="P22" s="179" t="s">
        <v>36</v>
      </c>
      <c r="Q22" s="179" t="s">
        <v>36</v>
      </c>
      <c r="R22" s="179" t="s">
        <v>36</v>
      </c>
      <c r="S22" s="179" t="s">
        <v>36</v>
      </c>
      <c r="T22" s="179" t="s">
        <v>36</v>
      </c>
      <c r="U22" s="179" t="s">
        <v>36</v>
      </c>
      <c r="V22" s="179" t="s">
        <v>36</v>
      </c>
      <c r="W22" s="179" t="s">
        <v>36</v>
      </c>
      <c r="X22" s="179" t="s">
        <v>36</v>
      </c>
    </row>
    <row r="23" spans="1:24" x14ac:dyDescent="0.2">
      <c r="A23" s="152">
        <v>15</v>
      </c>
      <c r="B23" s="489" t="s">
        <v>394</v>
      </c>
      <c r="C23" s="490" t="s">
        <v>395</v>
      </c>
      <c r="D23" s="18" t="s">
        <v>36</v>
      </c>
      <c r="E23" s="179" t="s">
        <v>36</v>
      </c>
      <c r="F23" s="179" t="s">
        <v>36</v>
      </c>
      <c r="G23" s="179" t="s">
        <v>36</v>
      </c>
      <c r="H23" s="179" t="s">
        <v>36</v>
      </c>
      <c r="I23" s="179" t="s">
        <v>36</v>
      </c>
      <c r="J23" s="179" t="s">
        <v>36</v>
      </c>
      <c r="K23" s="179" t="s">
        <v>36</v>
      </c>
      <c r="L23" s="179" t="s">
        <v>36</v>
      </c>
      <c r="M23" s="179" t="s">
        <v>36</v>
      </c>
      <c r="N23" s="179" t="s">
        <v>36</v>
      </c>
      <c r="O23" s="179" t="s">
        <v>36</v>
      </c>
      <c r="P23" s="179" t="s">
        <v>36</v>
      </c>
      <c r="Q23" s="179" t="s">
        <v>36</v>
      </c>
      <c r="R23" s="179" t="s">
        <v>36</v>
      </c>
      <c r="S23" s="179" t="s">
        <v>36</v>
      </c>
      <c r="T23" s="179" t="s">
        <v>36</v>
      </c>
      <c r="U23" s="179" t="s">
        <v>36</v>
      </c>
      <c r="V23" s="179" t="s">
        <v>36</v>
      </c>
      <c r="W23" s="179" t="s">
        <v>36</v>
      </c>
      <c r="X23" s="179" t="s">
        <v>36</v>
      </c>
    </row>
    <row r="24" spans="1:24" x14ac:dyDescent="0.2">
      <c r="A24" s="152">
        <v>16</v>
      </c>
      <c r="B24" s="489" t="s">
        <v>396</v>
      </c>
      <c r="C24" s="490" t="s">
        <v>397</v>
      </c>
      <c r="D24" s="18" t="s">
        <v>36</v>
      </c>
      <c r="E24" s="179" t="s">
        <v>36</v>
      </c>
      <c r="F24" s="179" t="s">
        <v>36</v>
      </c>
      <c r="G24" s="179" t="s">
        <v>36</v>
      </c>
      <c r="H24" s="179" t="s">
        <v>36</v>
      </c>
      <c r="I24" s="179" t="s">
        <v>36</v>
      </c>
      <c r="J24" s="179" t="s">
        <v>36</v>
      </c>
      <c r="K24" s="179" t="s">
        <v>36</v>
      </c>
      <c r="L24" s="179" t="s">
        <v>36</v>
      </c>
      <c r="M24" s="179" t="s">
        <v>36</v>
      </c>
      <c r="N24" s="179" t="s">
        <v>36</v>
      </c>
      <c r="O24" s="179" t="s">
        <v>36</v>
      </c>
      <c r="P24" s="179" t="s">
        <v>36</v>
      </c>
      <c r="Q24" s="179" t="s">
        <v>36</v>
      </c>
      <c r="R24" s="179" t="s">
        <v>36</v>
      </c>
      <c r="S24" s="179" t="s">
        <v>36</v>
      </c>
      <c r="T24" s="179" t="s">
        <v>36</v>
      </c>
      <c r="U24" s="179" t="s">
        <v>36</v>
      </c>
      <c r="V24" s="179" t="s">
        <v>36</v>
      </c>
      <c r="W24" s="179" t="s">
        <v>36</v>
      </c>
      <c r="X24" s="179" t="s">
        <v>36</v>
      </c>
    </row>
    <row r="25" spans="1:24" x14ac:dyDescent="0.2">
      <c r="A25" s="152">
        <v>17</v>
      </c>
      <c r="B25" s="489" t="s">
        <v>398</v>
      </c>
      <c r="C25" s="490" t="s">
        <v>399</v>
      </c>
      <c r="D25" s="18" t="s">
        <v>36</v>
      </c>
      <c r="E25" s="495" t="s">
        <v>456</v>
      </c>
      <c r="F25" s="495" t="s">
        <v>441</v>
      </c>
      <c r="G25" s="496" t="s">
        <v>221</v>
      </c>
      <c r="H25" s="496" t="s">
        <v>442</v>
      </c>
      <c r="I25" s="496">
        <v>3</v>
      </c>
      <c r="J25" s="496"/>
      <c r="K25" s="179" t="s">
        <v>36</v>
      </c>
      <c r="L25" s="179" t="s">
        <v>36</v>
      </c>
      <c r="M25" s="179" t="s">
        <v>36</v>
      </c>
      <c r="N25" s="179" t="s">
        <v>36</v>
      </c>
      <c r="O25" s="179" t="s">
        <v>36</v>
      </c>
      <c r="P25" s="179" t="s">
        <v>36</v>
      </c>
      <c r="Q25" s="179" t="s">
        <v>36</v>
      </c>
      <c r="R25" s="179" t="s">
        <v>36</v>
      </c>
      <c r="S25" s="179" t="s">
        <v>36</v>
      </c>
      <c r="T25" s="179" t="s">
        <v>36</v>
      </c>
      <c r="U25" s="179" t="s">
        <v>36</v>
      </c>
      <c r="V25" s="179" t="s">
        <v>36</v>
      </c>
      <c r="W25" s="179" t="s">
        <v>36</v>
      </c>
      <c r="X25" s="179" t="s">
        <v>36</v>
      </c>
    </row>
    <row r="26" spans="1:24" x14ac:dyDescent="0.2">
      <c r="A26" s="152">
        <v>18</v>
      </c>
      <c r="B26" s="489" t="s">
        <v>400</v>
      </c>
      <c r="C26" s="490" t="s">
        <v>401</v>
      </c>
      <c r="D26" s="18" t="s">
        <v>36</v>
      </c>
      <c r="E26" s="495" t="s">
        <v>457</v>
      </c>
      <c r="F26" s="495" t="s">
        <v>441</v>
      </c>
      <c r="G26" s="496" t="s">
        <v>221</v>
      </c>
      <c r="H26" s="496" t="s">
        <v>458</v>
      </c>
      <c r="I26" s="496">
        <v>2</v>
      </c>
      <c r="J26" s="496" t="s">
        <v>459</v>
      </c>
      <c r="K26" s="496"/>
      <c r="L26" s="496"/>
      <c r="M26" s="496"/>
      <c r="N26" s="496"/>
      <c r="O26" s="496"/>
      <c r="P26" s="496"/>
      <c r="Q26" s="496"/>
      <c r="R26" s="496"/>
      <c r="S26" s="496"/>
      <c r="T26" s="496"/>
      <c r="U26" s="496"/>
      <c r="V26" s="179" t="s">
        <v>36</v>
      </c>
      <c r="W26" s="179" t="s">
        <v>36</v>
      </c>
      <c r="X26" s="179" t="s">
        <v>36</v>
      </c>
    </row>
    <row r="27" spans="1:24" x14ac:dyDescent="0.2">
      <c r="A27" s="152">
        <v>19</v>
      </c>
      <c r="B27" s="489" t="s">
        <v>402</v>
      </c>
      <c r="C27" s="490" t="s">
        <v>403</v>
      </c>
      <c r="D27" s="18" t="s">
        <v>36</v>
      </c>
      <c r="E27" s="179" t="s">
        <v>36</v>
      </c>
      <c r="F27" s="179" t="s">
        <v>36</v>
      </c>
      <c r="G27" s="179" t="s">
        <v>36</v>
      </c>
      <c r="H27" s="179" t="s">
        <v>36</v>
      </c>
      <c r="I27" s="179" t="s">
        <v>36</v>
      </c>
      <c r="J27" s="179" t="s">
        <v>36</v>
      </c>
      <c r="K27" s="179" t="s">
        <v>36</v>
      </c>
      <c r="L27" s="179" t="s">
        <v>36</v>
      </c>
      <c r="M27" s="179" t="s">
        <v>36</v>
      </c>
      <c r="N27" s="179" t="s">
        <v>36</v>
      </c>
      <c r="O27" s="179" t="s">
        <v>36</v>
      </c>
      <c r="P27" s="179" t="s">
        <v>36</v>
      </c>
      <c r="Q27" s="179" t="s">
        <v>36</v>
      </c>
      <c r="R27" s="179" t="s">
        <v>36</v>
      </c>
      <c r="S27" s="179" t="s">
        <v>36</v>
      </c>
      <c r="T27" s="179" t="s">
        <v>36</v>
      </c>
      <c r="U27" s="179" t="s">
        <v>36</v>
      </c>
      <c r="V27" s="179" t="s">
        <v>36</v>
      </c>
      <c r="W27" s="179" t="s">
        <v>36</v>
      </c>
      <c r="X27" s="179" t="s">
        <v>36</v>
      </c>
    </row>
    <row r="28" spans="1:24" x14ac:dyDescent="0.2">
      <c r="A28" s="152">
        <v>20</v>
      </c>
      <c r="B28" s="489" t="s">
        <v>404</v>
      </c>
      <c r="C28" s="490" t="s">
        <v>405</v>
      </c>
      <c r="D28" s="18" t="s">
        <v>36</v>
      </c>
      <c r="E28" s="497" t="s">
        <v>36</v>
      </c>
      <c r="F28" s="495" t="s">
        <v>474</v>
      </c>
      <c r="G28" s="495" t="s">
        <v>441</v>
      </c>
      <c r="H28" s="496" t="s">
        <v>221</v>
      </c>
      <c r="I28" s="496" t="s">
        <v>442</v>
      </c>
      <c r="J28" s="496">
        <v>1</v>
      </c>
      <c r="K28" s="496" t="s">
        <v>475</v>
      </c>
      <c r="L28" s="179" t="s">
        <v>36</v>
      </c>
      <c r="M28" s="179" t="s">
        <v>36</v>
      </c>
      <c r="N28" s="179" t="s">
        <v>36</v>
      </c>
      <c r="O28" s="179" t="s">
        <v>36</v>
      </c>
      <c r="P28" s="179" t="s">
        <v>36</v>
      </c>
      <c r="Q28" s="179" t="s">
        <v>36</v>
      </c>
      <c r="R28" s="179" t="s">
        <v>36</v>
      </c>
      <c r="S28" s="179" t="s">
        <v>36</v>
      </c>
      <c r="T28" s="179" t="s">
        <v>36</v>
      </c>
      <c r="U28" s="179" t="s">
        <v>36</v>
      </c>
      <c r="V28" s="179" t="s">
        <v>36</v>
      </c>
      <c r="W28" s="179" t="s">
        <v>36</v>
      </c>
      <c r="X28" s="179" t="s">
        <v>36</v>
      </c>
    </row>
    <row r="29" spans="1:24" x14ac:dyDescent="0.2">
      <c r="A29" s="152">
        <v>21</v>
      </c>
      <c r="B29" s="489" t="s">
        <v>406</v>
      </c>
      <c r="C29" s="490" t="s">
        <v>407</v>
      </c>
      <c r="D29" s="18" t="s">
        <v>36</v>
      </c>
      <c r="E29" s="179" t="s">
        <v>36</v>
      </c>
      <c r="F29" s="179" t="s">
        <v>36</v>
      </c>
      <c r="G29" s="179" t="s">
        <v>36</v>
      </c>
      <c r="H29" s="179" t="s">
        <v>36</v>
      </c>
      <c r="I29" s="179" t="s">
        <v>36</v>
      </c>
      <c r="J29" s="179" t="s">
        <v>36</v>
      </c>
      <c r="K29" s="179" t="s">
        <v>36</v>
      </c>
      <c r="L29" s="179" t="s">
        <v>36</v>
      </c>
      <c r="M29" s="179" t="s">
        <v>36</v>
      </c>
      <c r="N29" s="179" t="s">
        <v>36</v>
      </c>
      <c r="O29" s="179" t="s">
        <v>36</v>
      </c>
      <c r="P29" s="179" t="s">
        <v>36</v>
      </c>
      <c r="Q29" s="179" t="s">
        <v>36</v>
      </c>
      <c r="R29" s="179" t="s">
        <v>36</v>
      </c>
      <c r="S29" s="179" t="s">
        <v>36</v>
      </c>
      <c r="T29" s="179" t="s">
        <v>36</v>
      </c>
      <c r="U29" s="179" t="s">
        <v>36</v>
      </c>
      <c r="V29" s="179" t="s">
        <v>36</v>
      </c>
      <c r="W29" s="179" t="s">
        <v>36</v>
      </c>
      <c r="X29" s="179" t="s">
        <v>36</v>
      </c>
    </row>
    <row r="30" spans="1:24" x14ac:dyDescent="0.2">
      <c r="A30" s="152">
        <v>22</v>
      </c>
      <c r="B30" s="489" t="s">
        <v>408</v>
      </c>
      <c r="C30" s="490" t="s">
        <v>409</v>
      </c>
      <c r="D30" s="18" t="s">
        <v>36</v>
      </c>
      <c r="E30" s="497" t="s">
        <v>36</v>
      </c>
      <c r="F30" s="495" t="s">
        <v>476</v>
      </c>
      <c r="G30" s="495" t="s">
        <v>454</v>
      </c>
      <c r="H30" s="496" t="s">
        <v>221</v>
      </c>
      <c r="I30" s="496" t="s">
        <v>442</v>
      </c>
      <c r="J30" s="496">
        <v>1</v>
      </c>
      <c r="K30" s="496" t="s">
        <v>477</v>
      </c>
      <c r="L30" s="496"/>
      <c r="M30" s="179" t="s">
        <v>36</v>
      </c>
      <c r="N30" s="179" t="s">
        <v>36</v>
      </c>
      <c r="O30" s="179" t="s">
        <v>36</v>
      </c>
      <c r="P30" s="179" t="s">
        <v>36</v>
      </c>
      <c r="Q30" s="179" t="s">
        <v>36</v>
      </c>
      <c r="R30" s="179" t="s">
        <v>36</v>
      </c>
      <c r="S30" s="179" t="s">
        <v>36</v>
      </c>
      <c r="T30" s="179" t="s">
        <v>36</v>
      </c>
      <c r="U30" s="179" t="s">
        <v>36</v>
      </c>
      <c r="V30" s="179" t="s">
        <v>36</v>
      </c>
      <c r="W30" s="179" t="s">
        <v>36</v>
      </c>
      <c r="X30" s="179" t="s">
        <v>36</v>
      </c>
    </row>
    <row r="31" spans="1:24" x14ac:dyDescent="0.2">
      <c r="A31" s="152">
        <v>23</v>
      </c>
      <c r="B31" s="489" t="s">
        <v>410</v>
      </c>
      <c r="C31" s="490" t="s">
        <v>411</v>
      </c>
      <c r="D31" s="18" t="s">
        <v>36</v>
      </c>
      <c r="E31" s="179" t="s">
        <v>36</v>
      </c>
      <c r="F31" s="495" t="s">
        <v>478</v>
      </c>
      <c r="G31" s="495" t="s">
        <v>454</v>
      </c>
      <c r="H31" s="496" t="s">
        <v>221</v>
      </c>
      <c r="I31" s="496" t="s">
        <v>442</v>
      </c>
      <c r="J31" s="496">
        <v>2</v>
      </c>
      <c r="K31" s="496" t="s">
        <v>479</v>
      </c>
      <c r="L31" s="496">
        <v>8.9604639550999995E-2</v>
      </c>
      <c r="M31" s="496" t="s">
        <v>480</v>
      </c>
      <c r="N31" s="496" t="s">
        <v>445</v>
      </c>
      <c r="O31" s="496"/>
      <c r="P31" s="496" t="s">
        <v>481</v>
      </c>
      <c r="Q31" s="496" t="s">
        <v>482</v>
      </c>
      <c r="R31" s="496" t="s">
        <v>479</v>
      </c>
      <c r="S31" s="496"/>
      <c r="T31" s="496"/>
      <c r="U31" s="496"/>
      <c r="V31" s="496"/>
      <c r="W31" s="496"/>
      <c r="X31" s="496"/>
    </row>
    <row r="32" spans="1:24" x14ac:dyDescent="0.2">
      <c r="A32" s="152">
        <v>24</v>
      </c>
      <c r="B32" s="489" t="s">
        <v>412</v>
      </c>
      <c r="C32" s="492" t="s">
        <v>413</v>
      </c>
      <c r="D32" s="18" t="s">
        <v>36</v>
      </c>
      <c r="E32" s="179" t="s">
        <v>36</v>
      </c>
      <c r="F32" s="179" t="s">
        <v>36</v>
      </c>
      <c r="G32" s="179" t="s">
        <v>36</v>
      </c>
      <c r="H32" s="179" t="s">
        <v>36</v>
      </c>
      <c r="I32" s="179" t="s">
        <v>36</v>
      </c>
      <c r="J32" s="179" t="s">
        <v>36</v>
      </c>
      <c r="K32" s="179" t="s">
        <v>36</v>
      </c>
      <c r="L32" s="179" t="s">
        <v>36</v>
      </c>
      <c r="M32" s="179" t="s">
        <v>36</v>
      </c>
      <c r="N32" s="179" t="s">
        <v>36</v>
      </c>
      <c r="O32" s="179" t="s">
        <v>36</v>
      </c>
      <c r="P32" s="179" t="s">
        <v>36</v>
      </c>
      <c r="Q32" s="179" t="s">
        <v>36</v>
      </c>
      <c r="R32" s="179" t="s">
        <v>36</v>
      </c>
      <c r="S32" s="179" t="s">
        <v>36</v>
      </c>
      <c r="T32" s="179" t="s">
        <v>36</v>
      </c>
      <c r="U32" s="179" t="s">
        <v>36</v>
      </c>
      <c r="V32" s="179" t="s">
        <v>36</v>
      </c>
      <c r="W32" s="179" t="s">
        <v>36</v>
      </c>
      <c r="X32" s="179" t="s">
        <v>36</v>
      </c>
    </row>
    <row r="33" spans="1:24" x14ac:dyDescent="0.2">
      <c r="A33" s="152">
        <v>25</v>
      </c>
      <c r="B33" s="489" t="s">
        <v>414</v>
      </c>
      <c r="C33" s="490" t="s">
        <v>415</v>
      </c>
      <c r="D33" s="18" t="s">
        <v>36</v>
      </c>
      <c r="E33" s="179" t="s">
        <v>36</v>
      </c>
      <c r="F33" s="179" t="s">
        <v>36</v>
      </c>
      <c r="G33" s="179" t="s">
        <v>36</v>
      </c>
      <c r="H33" s="179" t="s">
        <v>36</v>
      </c>
      <c r="I33" s="179" t="s">
        <v>36</v>
      </c>
      <c r="J33" s="179" t="s">
        <v>36</v>
      </c>
      <c r="K33" s="179" t="s">
        <v>36</v>
      </c>
      <c r="L33" s="179" t="s">
        <v>36</v>
      </c>
      <c r="M33" s="179" t="s">
        <v>36</v>
      </c>
      <c r="N33" s="179" t="s">
        <v>36</v>
      </c>
      <c r="O33" s="179" t="s">
        <v>36</v>
      </c>
      <c r="P33" s="179" t="s">
        <v>36</v>
      </c>
      <c r="Q33" s="179" t="s">
        <v>36</v>
      </c>
      <c r="R33" s="179" t="s">
        <v>36</v>
      </c>
      <c r="S33" s="179" t="s">
        <v>36</v>
      </c>
      <c r="T33" s="179" t="s">
        <v>36</v>
      </c>
      <c r="U33" s="179" t="s">
        <v>36</v>
      </c>
      <c r="V33" s="179" t="s">
        <v>36</v>
      </c>
      <c r="W33" s="179" t="s">
        <v>36</v>
      </c>
      <c r="X33" s="179" t="s">
        <v>36</v>
      </c>
    </row>
    <row r="34" spans="1:24" x14ac:dyDescent="0.2">
      <c r="A34" s="152">
        <v>26</v>
      </c>
      <c r="B34" s="489" t="s">
        <v>416</v>
      </c>
      <c r="C34" s="490" t="s">
        <v>417</v>
      </c>
      <c r="D34" s="18" t="s">
        <v>36</v>
      </c>
      <c r="E34" s="179" t="s">
        <v>36</v>
      </c>
      <c r="F34" s="179" t="s">
        <v>36</v>
      </c>
      <c r="G34" s="179" t="s">
        <v>36</v>
      </c>
      <c r="H34" s="179" t="s">
        <v>36</v>
      </c>
      <c r="I34" s="179" t="s">
        <v>36</v>
      </c>
      <c r="J34" s="179" t="s">
        <v>36</v>
      </c>
      <c r="K34" s="179" t="s">
        <v>36</v>
      </c>
      <c r="L34" s="179" t="s">
        <v>36</v>
      </c>
      <c r="M34" s="179" t="s">
        <v>36</v>
      </c>
      <c r="N34" s="179" t="s">
        <v>36</v>
      </c>
      <c r="O34" s="179" t="s">
        <v>36</v>
      </c>
      <c r="P34" s="179" t="s">
        <v>36</v>
      </c>
      <c r="Q34" s="179" t="s">
        <v>36</v>
      </c>
      <c r="R34" s="179" t="s">
        <v>36</v>
      </c>
      <c r="S34" s="179" t="s">
        <v>36</v>
      </c>
      <c r="T34" s="179" t="s">
        <v>36</v>
      </c>
      <c r="U34" s="179" t="s">
        <v>36</v>
      </c>
      <c r="V34" s="179" t="s">
        <v>36</v>
      </c>
      <c r="W34" s="179" t="s">
        <v>36</v>
      </c>
      <c r="X34" s="179" t="s">
        <v>36</v>
      </c>
    </row>
    <row r="35" spans="1:24" x14ac:dyDescent="0.2">
      <c r="A35" s="152">
        <v>27</v>
      </c>
      <c r="B35" s="489" t="s">
        <v>418</v>
      </c>
      <c r="C35" s="490" t="s">
        <v>419</v>
      </c>
      <c r="D35" s="18" t="s">
        <v>36</v>
      </c>
      <c r="E35" s="497" t="s">
        <v>36</v>
      </c>
      <c r="F35" s="495" t="s">
        <v>483</v>
      </c>
      <c r="G35" s="495" t="s">
        <v>454</v>
      </c>
      <c r="H35" s="496" t="s">
        <v>221</v>
      </c>
      <c r="I35" s="496" t="s">
        <v>442</v>
      </c>
      <c r="J35" s="496">
        <v>1</v>
      </c>
      <c r="K35" s="496" t="s">
        <v>484</v>
      </c>
      <c r="L35" s="496">
        <v>8.3821936727999993E-2</v>
      </c>
      <c r="M35" s="496" t="s">
        <v>485</v>
      </c>
      <c r="N35" s="179" t="s">
        <v>36</v>
      </c>
      <c r="O35" s="179" t="s">
        <v>36</v>
      </c>
      <c r="P35" s="179" t="s">
        <v>36</v>
      </c>
      <c r="Q35" s="179" t="s">
        <v>36</v>
      </c>
      <c r="R35" s="179" t="s">
        <v>36</v>
      </c>
      <c r="S35" s="179" t="s">
        <v>36</v>
      </c>
      <c r="T35" s="179" t="s">
        <v>36</v>
      </c>
      <c r="U35" s="179" t="s">
        <v>36</v>
      </c>
      <c r="V35" s="179" t="s">
        <v>36</v>
      </c>
      <c r="W35" s="179" t="s">
        <v>36</v>
      </c>
      <c r="X35" s="179" t="s">
        <v>36</v>
      </c>
    </row>
    <row r="36" spans="1:24" x14ac:dyDescent="0.2">
      <c r="A36" s="152">
        <v>28</v>
      </c>
      <c r="B36" s="489" t="s">
        <v>420</v>
      </c>
      <c r="C36" s="490" t="s">
        <v>421</v>
      </c>
      <c r="D36" s="497">
        <v>1.0225404000000001E-3</v>
      </c>
      <c r="E36" s="495" t="s">
        <v>486</v>
      </c>
      <c r="F36" s="495" t="s">
        <v>441</v>
      </c>
      <c r="G36" s="496" t="s">
        <v>221</v>
      </c>
      <c r="H36" s="496" t="s">
        <v>442</v>
      </c>
      <c r="I36" s="496">
        <v>2</v>
      </c>
      <c r="J36" s="496" t="s">
        <v>461</v>
      </c>
      <c r="K36" s="496"/>
      <c r="L36" s="496" t="s">
        <v>487</v>
      </c>
      <c r="M36" s="496" t="s">
        <v>445</v>
      </c>
      <c r="N36" s="496"/>
      <c r="O36" s="496" t="s">
        <v>488</v>
      </c>
      <c r="P36" s="496" t="s">
        <v>489</v>
      </c>
      <c r="Q36" s="496"/>
      <c r="R36" s="496" t="s">
        <v>461</v>
      </c>
      <c r="S36" s="496"/>
      <c r="T36" s="496"/>
      <c r="U36" s="496"/>
      <c r="V36" s="496"/>
      <c r="W36" s="496"/>
      <c r="X36" s="179" t="s">
        <v>36</v>
      </c>
    </row>
    <row r="37" spans="1:24" x14ac:dyDescent="0.2">
      <c r="A37" s="152">
        <v>29</v>
      </c>
      <c r="B37" s="489" t="s">
        <v>422</v>
      </c>
      <c r="C37" s="493" t="s">
        <v>423</v>
      </c>
      <c r="D37" s="18" t="s">
        <v>36</v>
      </c>
      <c r="E37" s="179" t="s">
        <v>36</v>
      </c>
      <c r="F37" s="179" t="s">
        <v>36</v>
      </c>
      <c r="G37" s="179" t="s">
        <v>36</v>
      </c>
      <c r="H37" s="179" t="s">
        <v>36</v>
      </c>
      <c r="I37" s="179" t="s">
        <v>36</v>
      </c>
      <c r="J37" s="179" t="s">
        <v>36</v>
      </c>
      <c r="K37" s="179" t="s">
        <v>36</v>
      </c>
      <c r="L37" s="179" t="s">
        <v>36</v>
      </c>
      <c r="M37" s="179" t="s">
        <v>36</v>
      </c>
      <c r="N37" s="179" t="s">
        <v>36</v>
      </c>
      <c r="O37" s="179" t="s">
        <v>36</v>
      </c>
      <c r="P37" s="179" t="s">
        <v>36</v>
      </c>
      <c r="Q37" s="179" t="s">
        <v>36</v>
      </c>
      <c r="R37" s="179" t="s">
        <v>36</v>
      </c>
      <c r="S37" s="179" t="s">
        <v>36</v>
      </c>
      <c r="T37" s="179" t="s">
        <v>36</v>
      </c>
      <c r="U37" s="179" t="s">
        <v>36</v>
      </c>
      <c r="V37" s="179" t="s">
        <v>36</v>
      </c>
      <c r="W37" s="179" t="s">
        <v>36</v>
      </c>
      <c r="X37" s="179" t="s">
        <v>36</v>
      </c>
    </row>
    <row r="38" spans="1:24" x14ac:dyDescent="0.2">
      <c r="A38" s="152">
        <v>30</v>
      </c>
      <c r="B38" s="489" t="s">
        <v>424</v>
      </c>
      <c r="C38" s="490" t="s">
        <v>425</v>
      </c>
      <c r="D38" s="18" t="s">
        <v>36</v>
      </c>
      <c r="E38" s="495" t="s">
        <v>490</v>
      </c>
      <c r="F38" s="495" t="s">
        <v>454</v>
      </c>
      <c r="G38" s="496" t="s">
        <v>221</v>
      </c>
      <c r="H38" s="496" t="s">
        <v>442</v>
      </c>
      <c r="I38" s="496">
        <v>1</v>
      </c>
      <c r="J38" s="496" t="s">
        <v>491</v>
      </c>
      <c r="K38" s="179" t="s">
        <v>36</v>
      </c>
      <c r="L38" s="179" t="s">
        <v>36</v>
      </c>
      <c r="M38" s="179" t="s">
        <v>36</v>
      </c>
      <c r="N38" s="179" t="s">
        <v>36</v>
      </c>
      <c r="O38" s="179" t="s">
        <v>36</v>
      </c>
      <c r="P38" s="179" t="s">
        <v>36</v>
      </c>
      <c r="Q38" s="179" t="s">
        <v>36</v>
      </c>
      <c r="R38" s="179" t="s">
        <v>36</v>
      </c>
      <c r="S38" s="179" t="s">
        <v>36</v>
      </c>
      <c r="T38" s="179" t="s">
        <v>36</v>
      </c>
      <c r="U38" s="179" t="s">
        <v>36</v>
      </c>
      <c r="V38" s="179" t="s">
        <v>36</v>
      </c>
      <c r="W38" s="179" t="s">
        <v>36</v>
      </c>
      <c r="X38" s="179" t="s">
        <v>36</v>
      </c>
    </row>
    <row r="39" spans="1:24" x14ac:dyDescent="0.2">
      <c r="A39" s="152">
        <v>31</v>
      </c>
      <c r="B39" s="489" t="s">
        <v>426</v>
      </c>
      <c r="C39" s="490" t="s">
        <v>427</v>
      </c>
      <c r="D39" s="18" t="s">
        <v>36</v>
      </c>
      <c r="E39" s="179" t="s">
        <v>36</v>
      </c>
      <c r="F39" s="179" t="s">
        <v>36</v>
      </c>
      <c r="G39" s="179" t="s">
        <v>36</v>
      </c>
      <c r="H39" s="179" t="s">
        <v>36</v>
      </c>
      <c r="I39" s="179" t="s">
        <v>36</v>
      </c>
      <c r="J39" s="179" t="s">
        <v>36</v>
      </c>
      <c r="K39" s="179" t="s">
        <v>36</v>
      </c>
      <c r="L39" s="179" t="s">
        <v>36</v>
      </c>
      <c r="M39" s="179" t="s">
        <v>36</v>
      </c>
      <c r="N39" s="179" t="s">
        <v>36</v>
      </c>
      <c r="O39" s="179" t="s">
        <v>36</v>
      </c>
      <c r="P39" s="179" t="s">
        <v>36</v>
      </c>
      <c r="Q39" s="179" t="s">
        <v>36</v>
      </c>
      <c r="R39" s="179" t="s">
        <v>36</v>
      </c>
      <c r="S39" s="179" t="s">
        <v>36</v>
      </c>
      <c r="T39" s="179" t="s">
        <v>36</v>
      </c>
      <c r="U39" s="179" t="s">
        <v>36</v>
      </c>
      <c r="V39" s="179" t="s">
        <v>36</v>
      </c>
      <c r="W39" s="179" t="s">
        <v>36</v>
      </c>
      <c r="X39" s="179" t="s">
        <v>36</v>
      </c>
    </row>
    <row r="40" spans="1:24" x14ac:dyDescent="0.2">
      <c r="A40" s="152">
        <v>32</v>
      </c>
      <c r="B40" s="489" t="s">
        <v>428</v>
      </c>
      <c r="C40" s="490" t="s">
        <v>429</v>
      </c>
      <c r="D40" s="18" t="s">
        <v>36</v>
      </c>
      <c r="E40" s="179" t="s">
        <v>36</v>
      </c>
      <c r="F40" s="179" t="s">
        <v>36</v>
      </c>
      <c r="G40" s="179" t="s">
        <v>36</v>
      </c>
      <c r="H40" s="179" t="s">
        <v>36</v>
      </c>
      <c r="I40" s="179" t="s">
        <v>36</v>
      </c>
      <c r="J40" s="179" t="s">
        <v>36</v>
      </c>
      <c r="K40" s="179" t="s">
        <v>36</v>
      </c>
      <c r="L40" s="179" t="s">
        <v>36</v>
      </c>
      <c r="M40" s="179" t="s">
        <v>36</v>
      </c>
      <c r="N40" s="179" t="s">
        <v>36</v>
      </c>
      <c r="O40" s="179" t="s">
        <v>36</v>
      </c>
      <c r="P40" s="179" t="s">
        <v>36</v>
      </c>
      <c r="Q40" s="179" t="s">
        <v>36</v>
      </c>
      <c r="R40" s="179" t="s">
        <v>36</v>
      </c>
      <c r="S40" s="179" t="s">
        <v>36</v>
      </c>
      <c r="T40" s="179" t="s">
        <v>36</v>
      </c>
      <c r="U40" s="179" t="s">
        <v>36</v>
      </c>
      <c r="V40" s="179" t="s">
        <v>36</v>
      </c>
      <c r="W40" s="179" t="s">
        <v>36</v>
      </c>
      <c r="X40" s="179" t="s">
        <v>36</v>
      </c>
    </row>
    <row r="41" spans="1:24" x14ac:dyDescent="0.2">
      <c r="A41" s="152">
        <v>33</v>
      </c>
      <c r="B41" s="489" t="s">
        <v>430</v>
      </c>
      <c r="C41" s="490" t="s">
        <v>431</v>
      </c>
      <c r="D41" s="497">
        <v>2.7830751999999999E-3</v>
      </c>
      <c r="E41" s="495" t="s">
        <v>460</v>
      </c>
      <c r="F41" s="495" t="s">
        <v>454</v>
      </c>
      <c r="G41" s="496" t="s">
        <v>221</v>
      </c>
      <c r="H41" s="496" t="s">
        <v>458</v>
      </c>
      <c r="I41" s="496">
        <v>2</v>
      </c>
      <c r="J41" s="496" t="s">
        <v>461</v>
      </c>
      <c r="K41" s="496"/>
      <c r="L41" s="496" t="s">
        <v>462</v>
      </c>
      <c r="M41" s="496" t="s">
        <v>445</v>
      </c>
      <c r="N41" s="496"/>
      <c r="O41" s="496" t="s">
        <v>463</v>
      </c>
      <c r="P41" s="496" t="s">
        <v>464</v>
      </c>
      <c r="Q41" s="496"/>
      <c r="R41" s="496"/>
      <c r="S41" s="496"/>
      <c r="T41" s="496"/>
      <c r="U41" s="496"/>
      <c r="V41" s="496"/>
      <c r="W41" s="179" t="s">
        <v>36</v>
      </c>
      <c r="X41" s="179" t="s">
        <v>36</v>
      </c>
    </row>
    <row r="42" spans="1:24" x14ac:dyDescent="0.2">
      <c r="A42" s="152">
        <v>34</v>
      </c>
      <c r="B42" s="489" t="s">
        <v>432</v>
      </c>
      <c r="C42" s="490" t="s">
        <v>433</v>
      </c>
      <c r="D42" s="497">
        <v>2.1083035999999999E-3</v>
      </c>
      <c r="E42" s="495" t="s">
        <v>465</v>
      </c>
      <c r="F42" s="495" t="s">
        <v>454</v>
      </c>
      <c r="G42" s="496" t="s">
        <v>221</v>
      </c>
      <c r="H42" s="496" t="s">
        <v>442</v>
      </c>
      <c r="I42" s="496">
        <v>2</v>
      </c>
      <c r="J42" s="496" t="s">
        <v>466</v>
      </c>
      <c r="K42" s="496"/>
      <c r="L42" s="179" t="s">
        <v>36</v>
      </c>
      <c r="M42" s="179" t="s">
        <v>36</v>
      </c>
      <c r="N42" s="179" t="s">
        <v>36</v>
      </c>
      <c r="O42" s="179" t="s">
        <v>36</v>
      </c>
      <c r="P42" s="179" t="s">
        <v>36</v>
      </c>
      <c r="Q42" s="179" t="s">
        <v>36</v>
      </c>
      <c r="R42" s="179" t="s">
        <v>36</v>
      </c>
      <c r="S42" s="179" t="s">
        <v>36</v>
      </c>
      <c r="T42" s="179" t="s">
        <v>36</v>
      </c>
      <c r="U42" s="179" t="s">
        <v>36</v>
      </c>
      <c r="V42" s="179" t="s">
        <v>36</v>
      </c>
      <c r="W42" s="179" t="s">
        <v>36</v>
      </c>
      <c r="X42" s="179" t="s">
        <v>36</v>
      </c>
    </row>
    <row r="43" spans="1:24" x14ac:dyDescent="0.2">
      <c r="A43" s="152">
        <v>35</v>
      </c>
      <c r="B43" s="489" t="s">
        <v>434</v>
      </c>
      <c r="C43" s="490" t="s">
        <v>435</v>
      </c>
      <c r="D43" s="18" t="s">
        <v>36</v>
      </c>
      <c r="E43" s="179" t="s">
        <v>36</v>
      </c>
      <c r="F43" s="179" t="s">
        <v>36</v>
      </c>
      <c r="G43" s="179" t="s">
        <v>36</v>
      </c>
      <c r="H43" s="179" t="s">
        <v>36</v>
      </c>
      <c r="I43" s="179" t="s">
        <v>36</v>
      </c>
      <c r="J43" s="179" t="s">
        <v>36</v>
      </c>
      <c r="K43" s="179" t="s">
        <v>36</v>
      </c>
      <c r="L43" s="179" t="s">
        <v>36</v>
      </c>
      <c r="M43" s="179" t="s">
        <v>36</v>
      </c>
      <c r="N43" s="179" t="s">
        <v>36</v>
      </c>
      <c r="O43" s="179" t="s">
        <v>36</v>
      </c>
      <c r="P43" s="179" t="s">
        <v>36</v>
      </c>
      <c r="Q43" s="179" t="s">
        <v>36</v>
      </c>
      <c r="R43" s="179" t="s">
        <v>36</v>
      </c>
      <c r="S43" s="179" t="s">
        <v>36</v>
      </c>
      <c r="T43" s="179" t="s">
        <v>36</v>
      </c>
      <c r="U43" s="179" t="s">
        <v>36</v>
      </c>
      <c r="V43" s="179" t="s">
        <v>36</v>
      </c>
      <c r="W43" s="179" t="s">
        <v>36</v>
      </c>
      <c r="X43" s="179" t="s">
        <v>36</v>
      </c>
    </row>
    <row r="44" spans="1:24" x14ac:dyDescent="0.2">
      <c r="A44" s="152">
        <v>36</v>
      </c>
      <c r="B44" s="433" t="s">
        <v>335</v>
      </c>
      <c r="C44" s="419" t="s">
        <v>336</v>
      </c>
      <c r="D44" s="18" t="s">
        <v>36</v>
      </c>
      <c r="E44" s="179" t="s">
        <v>36</v>
      </c>
      <c r="F44" s="179" t="s">
        <v>36</v>
      </c>
      <c r="G44" s="179" t="s">
        <v>36</v>
      </c>
      <c r="H44" s="179" t="s">
        <v>36</v>
      </c>
      <c r="I44" s="179" t="s">
        <v>36</v>
      </c>
      <c r="J44" s="179" t="s">
        <v>36</v>
      </c>
      <c r="K44" s="179" t="s">
        <v>36</v>
      </c>
      <c r="L44" s="179" t="s">
        <v>36</v>
      </c>
      <c r="M44" s="179" t="s">
        <v>36</v>
      </c>
      <c r="N44" s="179" t="s">
        <v>36</v>
      </c>
      <c r="O44" s="179" t="s">
        <v>36</v>
      </c>
      <c r="P44" s="179" t="s">
        <v>36</v>
      </c>
      <c r="Q44" s="179" t="s">
        <v>36</v>
      </c>
      <c r="R44" s="179" t="s">
        <v>36</v>
      </c>
      <c r="S44" s="179" t="s">
        <v>36</v>
      </c>
      <c r="T44" s="179" t="s">
        <v>36</v>
      </c>
      <c r="U44" s="179" t="s">
        <v>36</v>
      </c>
      <c r="V44" s="179" t="s">
        <v>36</v>
      </c>
      <c r="W44" s="179" t="s">
        <v>36</v>
      </c>
      <c r="X44" s="179" t="s">
        <v>36</v>
      </c>
    </row>
    <row r="45" spans="1:24" x14ac:dyDescent="0.2">
      <c r="A45" s="152">
        <v>37</v>
      </c>
      <c r="B45" s="433" t="s">
        <v>337</v>
      </c>
      <c r="C45" s="419" t="s">
        <v>338</v>
      </c>
      <c r="D45" s="18" t="s">
        <v>36</v>
      </c>
      <c r="E45" s="179" t="s">
        <v>36</v>
      </c>
      <c r="F45" s="179" t="s">
        <v>36</v>
      </c>
      <c r="G45" s="179" t="s">
        <v>36</v>
      </c>
      <c r="H45" s="179" t="s">
        <v>36</v>
      </c>
      <c r="I45" s="179" t="s">
        <v>36</v>
      </c>
      <c r="J45" s="179" t="s">
        <v>36</v>
      </c>
      <c r="K45" s="179" t="s">
        <v>36</v>
      </c>
      <c r="L45" s="179" t="s">
        <v>36</v>
      </c>
      <c r="M45" s="179" t="s">
        <v>36</v>
      </c>
      <c r="N45" s="179" t="s">
        <v>36</v>
      </c>
      <c r="O45" s="179" t="s">
        <v>36</v>
      </c>
      <c r="P45" s="179" t="s">
        <v>36</v>
      </c>
      <c r="Q45" s="179" t="s">
        <v>36</v>
      </c>
      <c r="R45" s="179" t="s">
        <v>36</v>
      </c>
      <c r="S45" s="179" t="s">
        <v>36</v>
      </c>
      <c r="T45" s="179" t="s">
        <v>36</v>
      </c>
      <c r="U45" s="179" t="s">
        <v>36</v>
      </c>
      <c r="V45" s="179" t="s">
        <v>36</v>
      </c>
      <c r="W45" s="179" t="s">
        <v>36</v>
      </c>
      <c r="X45" s="179" t="s">
        <v>36</v>
      </c>
    </row>
    <row r="46" spans="1:24" x14ac:dyDescent="0.2">
      <c r="A46" s="152">
        <v>38</v>
      </c>
      <c r="B46" s="433" t="s">
        <v>339</v>
      </c>
      <c r="C46" s="419" t="s">
        <v>340</v>
      </c>
      <c r="D46" s="18" t="s">
        <v>36</v>
      </c>
      <c r="E46" s="179" t="s">
        <v>36</v>
      </c>
      <c r="F46" s="179" t="s">
        <v>36</v>
      </c>
      <c r="G46" s="179" t="s">
        <v>36</v>
      </c>
      <c r="H46" s="179" t="s">
        <v>36</v>
      </c>
      <c r="I46" s="179" t="s">
        <v>36</v>
      </c>
      <c r="J46" s="179" t="s">
        <v>36</v>
      </c>
      <c r="K46" s="179" t="s">
        <v>36</v>
      </c>
      <c r="L46" s="179" t="s">
        <v>36</v>
      </c>
      <c r="M46" s="179" t="s">
        <v>36</v>
      </c>
      <c r="N46" s="179" t="s">
        <v>36</v>
      </c>
      <c r="O46" s="179" t="s">
        <v>36</v>
      </c>
      <c r="P46" s="179" t="s">
        <v>36</v>
      </c>
      <c r="Q46" s="179" t="s">
        <v>36</v>
      </c>
      <c r="R46" s="179" t="s">
        <v>36</v>
      </c>
      <c r="S46" s="179" t="s">
        <v>36</v>
      </c>
      <c r="T46" s="179" t="s">
        <v>36</v>
      </c>
      <c r="U46" s="179" t="s">
        <v>36</v>
      </c>
      <c r="V46" s="179" t="s">
        <v>36</v>
      </c>
      <c r="W46" s="179" t="s">
        <v>36</v>
      </c>
      <c r="X46" s="179" t="s">
        <v>36</v>
      </c>
    </row>
    <row r="47" spans="1:24" x14ac:dyDescent="0.2">
      <c r="A47" s="152">
        <v>39</v>
      </c>
      <c r="B47" s="433" t="s">
        <v>341</v>
      </c>
      <c r="C47" s="419" t="s">
        <v>342</v>
      </c>
      <c r="D47" s="18" t="s">
        <v>36</v>
      </c>
      <c r="E47" s="179" t="s">
        <v>36</v>
      </c>
      <c r="F47" s="179" t="s">
        <v>36</v>
      </c>
      <c r="G47" s="179" t="s">
        <v>36</v>
      </c>
      <c r="H47" s="179" t="s">
        <v>36</v>
      </c>
      <c r="I47" s="179" t="s">
        <v>36</v>
      </c>
      <c r="J47" s="179" t="s">
        <v>36</v>
      </c>
      <c r="K47" s="179" t="s">
        <v>36</v>
      </c>
      <c r="L47" s="179" t="s">
        <v>36</v>
      </c>
      <c r="M47" s="179" t="s">
        <v>36</v>
      </c>
      <c r="N47" s="179" t="s">
        <v>36</v>
      </c>
      <c r="O47" s="179" t="s">
        <v>36</v>
      </c>
      <c r="P47" s="179" t="s">
        <v>36</v>
      </c>
      <c r="Q47" s="179" t="s">
        <v>36</v>
      </c>
      <c r="R47" s="179" t="s">
        <v>36</v>
      </c>
      <c r="S47" s="179" t="s">
        <v>36</v>
      </c>
      <c r="T47" s="179" t="s">
        <v>36</v>
      </c>
      <c r="U47" s="179" t="s">
        <v>36</v>
      </c>
      <c r="V47" s="179" t="s">
        <v>36</v>
      </c>
      <c r="W47" s="179" t="s">
        <v>36</v>
      </c>
      <c r="X47" s="179" t="s">
        <v>36</v>
      </c>
    </row>
    <row r="48" spans="1:24" x14ac:dyDescent="0.2">
      <c r="A48" s="152">
        <v>40</v>
      </c>
      <c r="B48" s="433" t="s">
        <v>343</v>
      </c>
      <c r="C48" s="419" t="s">
        <v>344</v>
      </c>
      <c r="D48" s="18" t="s">
        <v>36</v>
      </c>
      <c r="E48" s="179" t="s">
        <v>36</v>
      </c>
      <c r="F48" s="179" t="s">
        <v>36</v>
      </c>
      <c r="G48" s="179" t="s">
        <v>36</v>
      </c>
      <c r="H48" s="179" t="s">
        <v>36</v>
      </c>
      <c r="I48" s="179" t="s">
        <v>36</v>
      </c>
      <c r="J48" s="179" t="s">
        <v>36</v>
      </c>
      <c r="K48" s="179" t="s">
        <v>36</v>
      </c>
      <c r="L48" s="179" t="s">
        <v>36</v>
      </c>
      <c r="M48" s="179" t="s">
        <v>36</v>
      </c>
      <c r="N48" s="179" t="s">
        <v>36</v>
      </c>
      <c r="O48" s="179" t="s">
        <v>36</v>
      </c>
      <c r="P48" s="179" t="s">
        <v>36</v>
      </c>
      <c r="Q48" s="179" t="s">
        <v>36</v>
      </c>
      <c r="R48" s="179" t="s">
        <v>36</v>
      </c>
      <c r="S48" s="179" t="s">
        <v>36</v>
      </c>
      <c r="T48" s="179" t="s">
        <v>36</v>
      </c>
      <c r="U48" s="179" t="s">
        <v>36</v>
      </c>
      <c r="V48" s="179" t="s">
        <v>36</v>
      </c>
      <c r="W48" s="179" t="s">
        <v>36</v>
      </c>
      <c r="X48" s="179" t="s">
        <v>36</v>
      </c>
    </row>
    <row r="49" spans="1:4" s="19" customFormat="1" x14ac:dyDescent="0.2">
      <c r="A49" s="14"/>
      <c r="B49" s="12"/>
      <c r="C49" s="13"/>
      <c r="D49" s="18"/>
    </row>
    <row r="50" spans="1:4" s="19" customFormat="1" x14ac:dyDescent="0.2">
      <c r="A50" s="14"/>
      <c r="B50" s="12"/>
      <c r="C50" s="13"/>
      <c r="D50" s="18"/>
    </row>
  </sheetData>
  <mergeCells count="16">
    <mergeCell ref="M7:N7"/>
    <mergeCell ref="O7:R7"/>
    <mergeCell ref="S7:T7"/>
    <mergeCell ref="U7:X7"/>
    <mergeCell ref="G7:G8"/>
    <mergeCell ref="H7:H8"/>
    <mergeCell ref="I7:I8"/>
    <mergeCell ref="J7:J8"/>
    <mergeCell ref="K7:K8"/>
    <mergeCell ref="L7:L8"/>
    <mergeCell ref="F7:F8"/>
    <mergeCell ref="A7:A8"/>
    <mergeCell ref="B7:B8"/>
    <mergeCell ref="C7:C8"/>
    <mergeCell ref="D7:D8"/>
    <mergeCell ref="E7:E8"/>
  </mergeCells>
  <phoneticPr fontId="1" type="noConversion"/>
  <pageMargins left="0.75" right="0.75" top="0.31" bottom="0.31" header="0.26" footer="0.12"/>
  <pageSetup paperSize="10000" orientation="landscape" verticalDpi="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activeCell="D5" sqref="D5"/>
    </sheetView>
  </sheetViews>
  <sheetFormatPr defaultRowHeight="11.25" x14ac:dyDescent="0.2"/>
  <cols>
    <col min="1" max="1" width="3.7109375" style="422" customWidth="1"/>
    <col min="2" max="2" width="7.140625" style="422" customWidth="1"/>
    <col min="3" max="3" width="21.7109375" style="425" customWidth="1"/>
    <col min="4" max="4" width="11.85546875" style="422" customWidth="1"/>
    <col min="5" max="5" width="8" style="422" customWidth="1"/>
    <col min="6" max="6" width="12" style="422" customWidth="1"/>
    <col min="7" max="7" width="8" style="422" customWidth="1"/>
    <col min="8" max="16384" width="9.140625" style="425"/>
  </cols>
  <sheetData>
    <row r="1" spans="1:7" x14ac:dyDescent="0.2">
      <c r="C1" s="423" t="s">
        <v>322</v>
      </c>
      <c r="D1" s="424" t="str">
        <f>Biodata!C4</f>
        <v xml:space="preserve"> X / IPS_5 </v>
      </c>
    </row>
    <row r="2" spans="1:7" x14ac:dyDescent="0.2">
      <c r="C2" s="423" t="s">
        <v>321</v>
      </c>
      <c r="D2" s="424" t="str">
        <f>Biodata!C5</f>
        <v>2 / Genap</v>
      </c>
    </row>
    <row r="3" spans="1:7" x14ac:dyDescent="0.2">
      <c r="D3" s="424"/>
    </row>
    <row r="4" spans="1:7" x14ac:dyDescent="0.2">
      <c r="C4" s="423" t="s">
        <v>320</v>
      </c>
      <c r="D4" s="424" t="str">
        <f>LEGER!N6</f>
        <v>Prakarya dan Kewirausahaan</v>
      </c>
    </row>
    <row r="5" spans="1:7" x14ac:dyDescent="0.2">
      <c r="C5" s="423" t="s">
        <v>319</v>
      </c>
      <c r="D5" s="424">
        <f>RAPORT!C82</f>
        <v>70</v>
      </c>
    </row>
    <row r="6" spans="1:7" x14ac:dyDescent="0.2">
      <c r="A6" s="422" t="s">
        <v>323</v>
      </c>
      <c r="B6" s="422" t="s">
        <v>10</v>
      </c>
      <c r="C6" s="425" t="s">
        <v>324</v>
      </c>
      <c r="D6" s="422" t="s">
        <v>74</v>
      </c>
      <c r="E6" s="422" t="s">
        <v>72</v>
      </c>
      <c r="F6" s="422" t="s">
        <v>146</v>
      </c>
      <c r="G6" s="422" t="s">
        <v>72</v>
      </c>
    </row>
    <row r="7" spans="1:7" x14ac:dyDescent="0.2">
      <c r="A7" s="422">
        <f>Biodata!A9</f>
        <v>1</v>
      </c>
      <c r="B7" s="427" t="str">
        <f>Biodata!B9</f>
        <v>181910008</v>
      </c>
      <c r="C7" s="428" t="str">
        <f>Biodata!C9</f>
        <v>ADITA TRI KURNIA PUTRI</v>
      </c>
      <c r="D7" s="422">
        <f t="shared" ref="D7:D46" si="0">IFERROR(VLOOKUP(B7&amp;"A",leggerx1,11,0),"")</f>
        <v>0</v>
      </c>
      <c r="E7" s="422" t="str">
        <f t="shared" ref="E7:E46" si="1">IFERROR(VLOOKUP(B7&amp;"C",leggerx1,11,0),"")</f>
        <v/>
      </c>
      <c r="F7" s="422">
        <f t="shared" ref="F7:F46" si="2">IFERROR(VLOOKUP(B7&amp;"B",leggerx1,11,0),"")</f>
        <v>0</v>
      </c>
      <c r="G7" s="422" t="str">
        <f t="shared" ref="G7:G46" si="3">IFERROR(VLOOKUP(B7&amp;"D",leggerx1,11,0),"")</f>
        <v/>
      </c>
    </row>
    <row r="8" spans="1:7" x14ac:dyDescent="0.2">
      <c r="A8" s="422">
        <f>Biodata!A10</f>
        <v>2</v>
      </c>
      <c r="B8" s="427" t="str">
        <f>Biodata!B10</f>
        <v>181910011</v>
      </c>
      <c r="C8" s="428" t="str">
        <f>Biodata!C10</f>
        <v xml:space="preserve">ADNES KOMALA DEWI </v>
      </c>
      <c r="D8" s="422">
        <f t="shared" si="0"/>
        <v>50</v>
      </c>
      <c r="E8" s="422" t="str">
        <f t="shared" si="1"/>
        <v>D</v>
      </c>
      <c r="F8" s="422">
        <f t="shared" si="2"/>
        <v>50</v>
      </c>
      <c r="G8" s="422" t="str">
        <f t="shared" si="3"/>
        <v>D</v>
      </c>
    </row>
    <row r="9" spans="1:7" x14ac:dyDescent="0.2">
      <c r="A9" s="422">
        <f>Biodata!A11</f>
        <v>3</v>
      </c>
      <c r="B9" s="427" t="str">
        <f>Biodata!B11</f>
        <v>181910014</v>
      </c>
      <c r="C9" s="428" t="str">
        <f>Biodata!C11</f>
        <v>AGUNG BUDI PRASTAWA</v>
      </c>
      <c r="D9" s="422">
        <f t="shared" si="0"/>
        <v>44</v>
      </c>
      <c r="E9" s="422" t="str">
        <f t="shared" si="1"/>
        <v>D</v>
      </c>
      <c r="F9" s="422">
        <f t="shared" si="2"/>
        <v>44</v>
      </c>
      <c r="G9" s="422" t="str">
        <f t="shared" si="3"/>
        <v>D</v>
      </c>
    </row>
    <row r="10" spans="1:7" x14ac:dyDescent="0.2">
      <c r="A10" s="422">
        <f>Biodata!A12</f>
        <v>4</v>
      </c>
      <c r="B10" s="427" t="str">
        <f>Biodata!B12</f>
        <v>181910045</v>
      </c>
      <c r="C10" s="428" t="str">
        <f>Biodata!C12</f>
        <v>ARYA DYTA WIGUNA</v>
      </c>
      <c r="D10" s="422">
        <f t="shared" si="0"/>
        <v>0</v>
      </c>
      <c r="E10" s="422" t="str">
        <f t="shared" si="1"/>
        <v/>
      </c>
      <c r="F10" s="422">
        <f t="shared" si="2"/>
        <v>0</v>
      </c>
      <c r="G10" s="422" t="str">
        <f t="shared" si="3"/>
        <v/>
      </c>
    </row>
    <row r="11" spans="1:7" x14ac:dyDescent="0.2">
      <c r="A11" s="422">
        <f>Biodata!A13</f>
        <v>5</v>
      </c>
      <c r="B11" s="427" t="str">
        <f>Biodata!B13</f>
        <v>181910054</v>
      </c>
      <c r="C11" s="428" t="str">
        <f>Biodata!C13</f>
        <v>AZRIEL TAMA SANTIAJI</v>
      </c>
      <c r="D11" s="422">
        <f t="shared" si="0"/>
        <v>55</v>
      </c>
      <c r="E11" s="422" t="str">
        <f t="shared" si="1"/>
        <v>D</v>
      </c>
      <c r="F11" s="422">
        <f t="shared" si="2"/>
        <v>55</v>
      </c>
      <c r="G11" s="422" t="str">
        <f t="shared" si="3"/>
        <v>D</v>
      </c>
    </row>
    <row r="12" spans="1:7" x14ac:dyDescent="0.2">
      <c r="A12" s="422">
        <f>Biodata!A14</f>
        <v>6</v>
      </c>
      <c r="B12" s="427" t="str">
        <f>Biodata!B14</f>
        <v>181910055</v>
      </c>
      <c r="C12" s="428" t="str">
        <f>Biodata!C14</f>
        <v>AZZUHRI HAUDI</v>
      </c>
      <c r="D12" s="422">
        <f t="shared" si="0"/>
        <v>60</v>
      </c>
      <c r="E12" s="422" t="str">
        <f t="shared" si="1"/>
        <v>D</v>
      </c>
      <c r="F12" s="422">
        <f t="shared" si="2"/>
        <v>60</v>
      </c>
      <c r="G12" s="422" t="str">
        <f t="shared" si="3"/>
        <v>D</v>
      </c>
    </row>
    <row r="13" spans="1:7" x14ac:dyDescent="0.2">
      <c r="A13" s="422">
        <f>Biodata!A15</f>
        <v>7</v>
      </c>
      <c r="B13" s="427" t="str">
        <f>Biodata!B15</f>
        <v>181910056</v>
      </c>
      <c r="C13" s="428" t="str">
        <f>Biodata!C15</f>
        <v>BAYU BATARA SURYA PUTRA</v>
      </c>
      <c r="D13" s="422">
        <f t="shared" si="0"/>
        <v>56</v>
      </c>
      <c r="E13" s="422" t="str">
        <f t="shared" si="1"/>
        <v>D</v>
      </c>
      <c r="F13" s="422">
        <f t="shared" si="2"/>
        <v>56</v>
      </c>
      <c r="G13" s="422" t="str">
        <f t="shared" si="3"/>
        <v>D</v>
      </c>
    </row>
    <row r="14" spans="1:7" x14ac:dyDescent="0.2">
      <c r="A14" s="422">
        <f>Biodata!A16</f>
        <v>8</v>
      </c>
      <c r="B14" s="427" t="str">
        <f>Biodata!B16</f>
        <v>181910069</v>
      </c>
      <c r="C14" s="428" t="str">
        <f>Biodata!C16</f>
        <v>DANDY ERVAN PRATAMA</v>
      </c>
      <c r="D14" s="422">
        <f t="shared" si="0"/>
        <v>45</v>
      </c>
      <c r="E14" s="422" t="str">
        <f t="shared" si="1"/>
        <v>D</v>
      </c>
      <c r="F14" s="422">
        <f t="shared" si="2"/>
        <v>45</v>
      </c>
      <c r="G14" s="422" t="str">
        <f t="shared" si="3"/>
        <v>D</v>
      </c>
    </row>
    <row r="15" spans="1:7" x14ac:dyDescent="0.2">
      <c r="A15" s="422">
        <f>Biodata!A17</f>
        <v>9</v>
      </c>
      <c r="B15" s="427" t="str">
        <f>Biodata!B17</f>
        <v>181910085</v>
      </c>
      <c r="C15" s="428" t="str">
        <f>Biodata!C17</f>
        <v>DENISA ASTI RAHMAWATI</v>
      </c>
      <c r="D15" s="422">
        <f t="shared" si="0"/>
        <v>55</v>
      </c>
      <c r="E15" s="422" t="str">
        <f t="shared" si="1"/>
        <v>D</v>
      </c>
      <c r="F15" s="422">
        <f t="shared" si="2"/>
        <v>55</v>
      </c>
      <c r="G15" s="422" t="str">
        <f t="shared" si="3"/>
        <v>D</v>
      </c>
    </row>
    <row r="16" spans="1:7" x14ac:dyDescent="0.2">
      <c r="A16" s="422">
        <f>Biodata!A18</f>
        <v>10</v>
      </c>
      <c r="B16" s="427" t="str">
        <f>Biodata!B18</f>
        <v>181910093</v>
      </c>
      <c r="C16" s="428" t="str">
        <f>Biodata!C18</f>
        <v>DIAN RAMDHAN SAPTIAN</v>
      </c>
      <c r="D16" s="422">
        <f t="shared" si="0"/>
        <v>52</v>
      </c>
      <c r="E16" s="422" t="str">
        <f t="shared" si="1"/>
        <v>D</v>
      </c>
      <c r="F16" s="422">
        <f t="shared" si="2"/>
        <v>52</v>
      </c>
      <c r="G16" s="422" t="str">
        <f t="shared" si="3"/>
        <v>D</v>
      </c>
    </row>
    <row r="17" spans="1:7" x14ac:dyDescent="0.2">
      <c r="A17" s="422">
        <f>Biodata!A19</f>
        <v>11</v>
      </c>
      <c r="B17" s="427" t="str">
        <f>Biodata!B19</f>
        <v>181910103</v>
      </c>
      <c r="C17" s="428" t="str">
        <f>Biodata!C19</f>
        <v>DIVYA ADHIANI NURDIN</v>
      </c>
      <c r="D17" s="422">
        <f t="shared" si="0"/>
        <v>56</v>
      </c>
      <c r="E17" s="422" t="str">
        <f t="shared" si="1"/>
        <v>D</v>
      </c>
      <c r="F17" s="422">
        <f t="shared" si="2"/>
        <v>56</v>
      </c>
      <c r="G17" s="422" t="str">
        <f t="shared" si="3"/>
        <v>D</v>
      </c>
    </row>
    <row r="18" spans="1:7" x14ac:dyDescent="0.2">
      <c r="A18" s="422">
        <f>Biodata!A20</f>
        <v>12</v>
      </c>
      <c r="B18" s="427" t="str">
        <f>Biodata!B20</f>
        <v>181910104</v>
      </c>
      <c r="C18" s="428" t="str">
        <f>Biodata!C20</f>
        <v>DWIKI DERMAWAN</v>
      </c>
      <c r="D18" s="422">
        <f t="shared" si="0"/>
        <v>40</v>
      </c>
      <c r="E18" s="422" t="str">
        <f t="shared" si="1"/>
        <v>D</v>
      </c>
      <c r="F18" s="422">
        <f t="shared" si="2"/>
        <v>45</v>
      </c>
      <c r="G18" s="422" t="str">
        <f t="shared" si="3"/>
        <v>D</v>
      </c>
    </row>
    <row r="19" spans="1:7" x14ac:dyDescent="0.2">
      <c r="A19" s="422">
        <f>Biodata!A21</f>
        <v>13</v>
      </c>
      <c r="B19" s="427" t="str">
        <f>Biodata!B21</f>
        <v>181910118</v>
      </c>
      <c r="C19" s="428" t="str">
        <f>Biodata!C21</f>
        <v>ENCEP CANDRA</v>
      </c>
      <c r="D19" s="422">
        <f t="shared" si="0"/>
        <v>65</v>
      </c>
      <c r="E19" s="422" t="str">
        <f t="shared" si="1"/>
        <v>D</v>
      </c>
      <c r="F19" s="422">
        <f t="shared" si="2"/>
        <v>65</v>
      </c>
      <c r="G19" s="422" t="str">
        <f t="shared" si="3"/>
        <v>D</v>
      </c>
    </row>
    <row r="20" spans="1:7" x14ac:dyDescent="0.2">
      <c r="A20" s="422">
        <f>Biodata!A22</f>
        <v>14</v>
      </c>
      <c r="B20" s="427" t="str">
        <f>Biodata!B22</f>
        <v>181910128</v>
      </c>
      <c r="C20" s="428" t="str">
        <f>Biodata!C22</f>
        <v>FAIZAL EGI</v>
      </c>
      <c r="D20" s="422">
        <f t="shared" si="0"/>
        <v>52</v>
      </c>
      <c r="E20" s="422" t="str">
        <f t="shared" si="1"/>
        <v>D</v>
      </c>
      <c r="F20" s="422">
        <f t="shared" si="2"/>
        <v>50</v>
      </c>
      <c r="G20" s="422" t="str">
        <f t="shared" si="3"/>
        <v>D</v>
      </c>
    </row>
    <row r="21" spans="1:7" x14ac:dyDescent="0.2">
      <c r="A21" s="422">
        <f>Biodata!A23</f>
        <v>15</v>
      </c>
      <c r="B21" s="427" t="str">
        <f>Biodata!B23</f>
        <v>181910133</v>
      </c>
      <c r="C21" s="428" t="str">
        <f>Biodata!C23</f>
        <v>FAUZI DHALFADLIL AZHANI</v>
      </c>
      <c r="D21" s="422">
        <f t="shared" si="0"/>
        <v>50</v>
      </c>
      <c r="E21" s="422" t="str">
        <f t="shared" si="1"/>
        <v>D</v>
      </c>
      <c r="F21" s="422">
        <f t="shared" si="2"/>
        <v>50</v>
      </c>
      <c r="G21" s="422" t="str">
        <f t="shared" si="3"/>
        <v>D</v>
      </c>
    </row>
    <row r="22" spans="1:7" x14ac:dyDescent="0.2">
      <c r="A22" s="422">
        <f>Biodata!A24</f>
        <v>16</v>
      </c>
      <c r="B22" s="427" t="str">
        <f>Biodata!B24</f>
        <v>181910161</v>
      </c>
      <c r="C22" s="428" t="str">
        <f>Biodata!C24</f>
        <v>HILMAN PUTRA PAMUNGKAS</v>
      </c>
      <c r="D22" s="422">
        <f t="shared" si="0"/>
        <v>66</v>
      </c>
      <c r="E22" s="422" t="str">
        <f t="shared" si="1"/>
        <v>D</v>
      </c>
      <c r="F22" s="422">
        <f t="shared" si="2"/>
        <v>68</v>
      </c>
      <c r="G22" s="422" t="str">
        <f t="shared" si="3"/>
        <v>D</v>
      </c>
    </row>
    <row r="23" spans="1:7" x14ac:dyDescent="0.2">
      <c r="A23" s="422">
        <f>Biodata!A25</f>
        <v>17</v>
      </c>
      <c r="B23" s="427" t="str">
        <f>Biodata!B25</f>
        <v>181910165</v>
      </c>
      <c r="C23" s="428" t="str">
        <f>Biodata!C25</f>
        <v>IHSYA FADILLAH MUSLIM</v>
      </c>
      <c r="D23" s="422">
        <f t="shared" si="0"/>
        <v>60</v>
      </c>
      <c r="E23" s="422" t="str">
        <f t="shared" si="1"/>
        <v>D</v>
      </c>
      <c r="F23" s="422">
        <f t="shared" si="2"/>
        <v>60</v>
      </c>
      <c r="G23" s="422" t="str">
        <f t="shared" si="3"/>
        <v>D</v>
      </c>
    </row>
    <row r="24" spans="1:7" x14ac:dyDescent="0.2">
      <c r="A24" s="422">
        <f>Biodata!A26</f>
        <v>18</v>
      </c>
      <c r="B24" s="427" t="str">
        <f>Biodata!B26</f>
        <v>181910185</v>
      </c>
      <c r="C24" s="428" t="str">
        <f>Biodata!C26</f>
        <v>JIHAD AKBAR</v>
      </c>
      <c r="D24" s="422">
        <f t="shared" si="0"/>
        <v>60</v>
      </c>
      <c r="E24" s="422" t="str">
        <f t="shared" si="1"/>
        <v>D</v>
      </c>
      <c r="F24" s="422">
        <f t="shared" si="2"/>
        <v>60</v>
      </c>
      <c r="G24" s="422" t="str">
        <f t="shared" si="3"/>
        <v>D</v>
      </c>
    </row>
    <row r="25" spans="1:7" x14ac:dyDescent="0.2">
      <c r="A25" s="422">
        <f>Biodata!A27</f>
        <v>19</v>
      </c>
      <c r="B25" s="427" t="str">
        <f>Biodata!B27</f>
        <v>181910226</v>
      </c>
      <c r="C25" s="428" t="str">
        <f>Biodata!C27</f>
        <v>MUHAMAD IZZAZUL FIKRIAN</v>
      </c>
      <c r="D25" s="422">
        <f t="shared" si="0"/>
        <v>0</v>
      </c>
      <c r="E25" s="422" t="str">
        <f t="shared" si="1"/>
        <v/>
      </c>
      <c r="F25" s="422">
        <f t="shared" si="2"/>
        <v>0</v>
      </c>
      <c r="G25" s="422" t="str">
        <f t="shared" si="3"/>
        <v/>
      </c>
    </row>
    <row r="26" spans="1:7" x14ac:dyDescent="0.2">
      <c r="A26" s="422">
        <f>Biodata!A28</f>
        <v>20</v>
      </c>
      <c r="B26" s="427" t="str">
        <f>Biodata!B28</f>
        <v>181910433</v>
      </c>
      <c r="C26" s="428" t="str">
        <f>Biodata!C28</f>
        <v>MUHAMAD RIZAL</v>
      </c>
      <c r="D26" s="422">
        <f t="shared" si="0"/>
        <v>54</v>
      </c>
      <c r="E26" s="422" t="str">
        <f t="shared" si="1"/>
        <v>D</v>
      </c>
      <c r="F26" s="422">
        <f t="shared" si="2"/>
        <v>54</v>
      </c>
      <c r="G26" s="422" t="str">
        <f t="shared" si="3"/>
        <v>D</v>
      </c>
    </row>
    <row r="27" spans="1:7" x14ac:dyDescent="0.2">
      <c r="A27" s="422">
        <f>Biodata!A29</f>
        <v>21</v>
      </c>
      <c r="B27" s="427" t="str">
        <f>Biodata!B29</f>
        <v>181910240</v>
      </c>
      <c r="C27" s="428" t="str">
        <f>Biodata!C29</f>
        <v>NESHA RAUDHATUL ZANNAH</v>
      </c>
      <c r="D27" s="422">
        <f t="shared" si="0"/>
        <v>60</v>
      </c>
      <c r="E27" s="422" t="str">
        <f t="shared" si="1"/>
        <v>D</v>
      </c>
      <c r="F27" s="422">
        <f t="shared" si="2"/>
        <v>65</v>
      </c>
      <c r="G27" s="422" t="str">
        <f t="shared" si="3"/>
        <v>D</v>
      </c>
    </row>
    <row r="28" spans="1:7" x14ac:dyDescent="0.2">
      <c r="A28" s="422">
        <f>Biodata!A30</f>
        <v>22</v>
      </c>
      <c r="B28" s="427" t="str">
        <f>Biodata!B30</f>
        <v>181910262</v>
      </c>
      <c r="C28" s="428" t="str">
        <f>Biodata!C30</f>
        <v>PUTRI ANGGRAENI</v>
      </c>
      <c r="D28" s="422">
        <f t="shared" si="0"/>
        <v>70</v>
      </c>
      <c r="E28" s="422" t="str">
        <f t="shared" si="1"/>
        <v>C</v>
      </c>
      <c r="F28" s="422">
        <f t="shared" si="2"/>
        <v>60</v>
      </c>
      <c r="G28" s="422" t="str">
        <f t="shared" si="3"/>
        <v>D</v>
      </c>
    </row>
    <row r="29" spans="1:7" x14ac:dyDescent="0.2">
      <c r="A29" s="422">
        <f>Biodata!A31</f>
        <v>23</v>
      </c>
      <c r="B29" s="427" t="str">
        <f>Biodata!B31</f>
        <v>181910266</v>
      </c>
      <c r="C29" s="428" t="str">
        <f>Biodata!C31</f>
        <v>PUTRI WULANDARI</v>
      </c>
      <c r="D29" s="422">
        <f t="shared" si="0"/>
        <v>65</v>
      </c>
      <c r="E29" s="422" t="str">
        <f t="shared" si="1"/>
        <v>D</v>
      </c>
      <c r="F29" s="422">
        <f t="shared" si="2"/>
        <v>65</v>
      </c>
      <c r="G29" s="422" t="str">
        <f t="shared" si="3"/>
        <v>D</v>
      </c>
    </row>
    <row r="30" spans="1:7" x14ac:dyDescent="0.2">
      <c r="A30" s="422">
        <f>Biodata!A32</f>
        <v>24</v>
      </c>
      <c r="B30" s="427" t="str">
        <f>Biodata!B32</f>
        <v>181910272</v>
      </c>
      <c r="C30" s="428" t="str">
        <f>Biodata!C32</f>
        <v>RAFLY GYMNASTIAR</v>
      </c>
      <c r="D30" s="422">
        <f t="shared" si="0"/>
        <v>40</v>
      </c>
      <c r="E30" s="422" t="str">
        <f t="shared" si="1"/>
        <v>D</v>
      </c>
      <c r="F30" s="422">
        <f t="shared" si="2"/>
        <v>40</v>
      </c>
      <c r="G30" s="422" t="str">
        <f t="shared" si="3"/>
        <v>D</v>
      </c>
    </row>
    <row r="31" spans="1:7" x14ac:dyDescent="0.2">
      <c r="A31" s="422">
        <f>Biodata!A33</f>
        <v>25</v>
      </c>
      <c r="B31" s="427" t="str">
        <f>Biodata!B33</f>
        <v>181910280</v>
      </c>
      <c r="C31" s="428" t="str">
        <f>Biodata!C33</f>
        <v>REFIANA</v>
      </c>
      <c r="D31" s="422">
        <f t="shared" si="0"/>
        <v>60</v>
      </c>
      <c r="E31" s="422" t="str">
        <f t="shared" si="1"/>
        <v>D</v>
      </c>
      <c r="F31" s="422">
        <f t="shared" si="2"/>
        <v>65</v>
      </c>
      <c r="G31" s="422" t="str">
        <f t="shared" si="3"/>
        <v>D</v>
      </c>
    </row>
    <row r="32" spans="1:7" x14ac:dyDescent="0.2">
      <c r="A32" s="422">
        <f>Biodata!A34</f>
        <v>26</v>
      </c>
      <c r="B32" s="427" t="str">
        <f>Biodata!B34</f>
        <v>181910285</v>
      </c>
      <c r="C32" s="428" t="str">
        <f>Biodata!C34</f>
        <v>RENALDI PRIYATAMA</v>
      </c>
      <c r="D32" s="422">
        <f t="shared" si="0"/>
        <v>50</v>
      </c>
      <c r="E32" s="422" t="str">
        <f t="shared" si="1"/>
        <v>D</v>
      </c>
      <c r="F32" s="422">
        <f t="shared" si="2"/>
        <v>54</v>
      </c>
      <c r="G32" s="422" t="str">
        <f t="shared" si="3"/>
        <v>D</v>
      </c>
    </row>
    <row r="33" spans="1:7" x14ac:dyDescent="0.2">
      <c r="A33" s="422">
        <f>Biodata!A35</f>
        <v>27</v>
      </c>
      <c r="B33" s="427" t="str">
        <f>Biodata!B35</f>
        <v>181910286</v>
      </c>
      <c r="C33" s="428" t="str">
        <f>Biodata!C35</f>
        <v>RENATA</v>
      </c>
      <c r="D33" s="422">
        <f t="shared" si="0"/>
        <v>70</v>
      </c>
      <c r="E33" s="422" t="str">
        <f t="shared" si="1"/>
        <v>C</v>
      </c>
      <c r="F33" s="422">
        <f t="shared" si="2"/>
        <v>75</v>
      </c>
      <c r="G33" s="422" t="str">
        <f t="shared" si="3"/>
        <v>C</v>
      </c>
    </row>
    <row r="34" spans="1:7" x14ac:dyDescent="0.2">
      <c r="A34" s="422">
        <f>Biodata!A36</f>
        <v>28</v>
      </c>
      <c r="B34" s="427" t="str">
        <f>Biodata!B36</f>
        <v>181910293</v>
      </c>
      <c r="C34" s="428" t="str">
        <f>Biodata!C36</f>
        <v xml:space="preserve">REZA ERNANDA </v>
      </c>
      <c r="D34" s="422">
        <f t="shared" si="0"/>
        <v>72</v>
      </c>
      <c r="E34" s="422" t="str">
        <f t="shared" si="1"/>
        <v>C</v>
      </c>
      <c r="F34" s="422">
        <f t="shared" si="2"/>
        <v>75</v>
      </c>
      <c r="G34" s="422" t="str">
        <f t="shared" si="3"/>
        <v>C</v>
      </c>
    </row>
    <row r="35" spans="1:7" x14ac:dyDescent="0.2">
      <c r="A35" s="422">
        <f>Biodata!A37</f>
        <v>29</v>
      </c>
      <c r="B35" s="427" t="str">
        <f>Biodata!B37</f>
        <v>181910300</v>
      </c>
      <c r="C35" s="428" t="str">
        <f>Biodata!C37</f>
        <v>RIFAN MUHAMAD RIZKI</v>
      </c>
      <c r="D35" s="422">
        <f t="shared" si="0"/>
        <v>0</v>
      </c>
      <c r="E35" s="422" t="str">
        <f t="shared" si="1"/>
        <v/>
      </c>
      <c r="F35" s="422">
        <f t="shared" si="2"/>
        <v>0</v>
      </c>
      <c r="G35" s="422" t="str">
        <f t="shared" si="3"/>
        <v/>
      </c>
    </row>
    <row r="36" spans="1:7" x14ac:dyDescent="0.2">
      <c r="A36" s="422">
        <f>Biodata!A38</f>
        <v>30</v>
      </c>
      <c r="B36" s="427" t="str">
        <f>Biodata!B38</f>
        <v>181910318</v>
      </c>
      <c r="C36" s="428" t="str">
        <f>Biodata!C38</f>
        <v>RISMA SURYANI</v>
      </c>
      <c r="D36" s="422">
        <f t="shared" si="0"/>
        <v>60</v>
      </c>
      <c r="E36" s="422" t="str">
        <f t="shared" si="1"/>
        <v>D</v>
      </c>
      <c r="F36" s="422">
        <f t="shared" si="2"/>
        <v>65</v>
      </c>
      <c r="G36" s="422" t="str">
        <f t="shared" si="3"/>
        <v>D</v>
      </c>
    </row>
    <row r="37" spans="1:7" x14ac:dyDescent="0.2">
      <c r="A37" s="422">
        <f>Biodata!A39</f>
        <v>31</v>
      </c>
      <c r="B37" s="427" t="str">
        <f>Biodata!B39</f>
        <v>181910320</v>
      </c>
      <c r="C37" s="428" t="str">
        <f>Biodata!C39</f>
        <v>RISNA TIRANI</v>
      </c>
      <c r="D37" s="422">
        <f t="shared" si="0"/>
        <v>80</v>
      </c>
      <c r="E37" s="422" t="str">
        <f t="shared" si="1"/>
        <v>B</v>
      </c>
      <c r="F37" s="422">
        <f t="shared" si="2"/>
        <v>76</v>
      </c>
      <c r="G37" s="422" t="str">
        <f t="shared" si="3"/>
        <v>C</v>
      </c>
    </row>
    <row r="38" spans="1:7" x14ac:dyDescent="0.2">
      <c r="A38" s="422">
        <f>Biodata!A40</f>
        <v>32</v>
      </c>
      <c r="B38" s="427" t="str">
        <f>Biodata!B40</f>
        <v>181910331</v>
      </c>
      <c r="C38" s="428" t="str">
        <f>Biodata!C40</f>
        <v>RULLY PRATAMA S.</v>
      </c>
      <c r="D38" s="422">
        <f t="shared" si="0"/>
        <v>60</v>
      </c>
      <c r="E38" s="422" t="str">
        <f t="shared" si="1"/>
        <v>D</v>
      </c>
      <c r="F38" s="422">
        <f t="shared" si="2"/>
        <v>65</v>
      </c>
      <c r="G38" s="422" t="str">
        <f t="shared" si="3"/>
        <v>D</v>
      </c>
    </row>
    <row r="39" spans="1:7" x14ac:dyDescent="0.2">
      <c r="A39" s="422">
        <f>Biodata!A41</f>
        <v>33</v>
      </c>
      <c r="B39" s="427" t="str">
        <f>Biodata!B41</f>
        <v>181910335</v>
      </c>
      <c r="C39" s="428" t="str">
        <f>Biodata!C41</f>
        <v>SALSA ASYKIYA</v>
      </c>
      <c r="D39" s="422">
        <f t="shared" si="0"/>
        <v>80</v>
      </c>
      <c r="E39" s="422" t="str">
        <f t="shared" si="1"/>
        <v>B</v>
      </c>
      <c r="F39" s="422">
        <f t="shared" si="2"/>
        <v>78</v>
      </c>
      <c r="G39" s="422" t="str">
        <f t="shared" si="3"/>
        <v>C</v>
      </c>
    </row>
    <row r="40" spans="1:7" x14ac:dyDescent="0.2">
      <c r="A40" s="422">
        <f>Biodata!A42</f>
        <v>34</v>
      </c>
      <c r="B40" s="427" t="str">
        <f>Biodata!B42</f>
        <v>181910353</v>
      </c>
      <c r="C40" s="428" t="str">
        <f>Biodata!C42</f>
        <v>SILFI HAMIDAH</v>
      </c>
      <c r="D40" s="422">
        <f t="shared" si="0"/>
        <v>73</v>
      </c>
      <c r="E40" s="422" t="str">
        <f t="shared" si="1"/>
        <v>C</v>
      </c>
      <c r="F40" s="422">
        <f t="shared" si="2"/>
        <v>75</v>
      </c>
      <c r="G40" s="422" t="str">
        <f t="shared" si="3"/>
        <v>C</v>
      </c>
    </row>
    <row r="41" spans="1:7" x14ac:dyDescent="0.2">
      <c r="A41" s="422">
        <f>Biodata!A43</f>
        <v>35</v>
      </c>
      <c r="B41" s="427" t="str">
        <f>Biodata!B43</f>
        <v>181910408</v>
      </c>
      <c r="C41" s="428" t="str">
        <f>Biodata!C43</f>
        <v>YESHA RAHAYU</v>
      </c>
      <c r="D41" s="422">
        <f t="shared" si="0"/>
        <v>0</v>
      </c>
      <c r="E41" s="422" t="str">
        <f t="shared" si="1"/>
        <v/>
      </c>
      <c r="F41" s="422">
        <f t="shared" si="2"/>
        <v>0</v>
      </c>
      <c r="G41" s="422" t="str">
        <f t="shared" si="3"/>
        <v/>
      </c>
    </row>
    <row r="42" spans="1:7" x14ac:dyDescent="0.2">
      <c r="A42" s="422">
        <f>Biodata!A44</f>
        <v>36</v>
      </c>
      <c r="B42" s="427" t="str">
        <f>Biodata!B44</f>
        <v>036</v>
      </c>
      <c r="C42" s="428" t="str">
        <f>Biodata!C44</f>
        <v>A36</v>
      </c>
      <c r="D42" s="422">
        <f t="shared" si="0"/>
        <v>0</v>
      </c>
      <c r="E42" s="422" t="str">
        <f t="shared" si="1"/>
        <v/>
      </c>
      <c r="F42" s="422">
        <f t="shared" si="2"/>
        <v>0</v>
      </c>
      <c r="G42" s="422" t="str">
        <f t="shared" si="3"/>
        <v/>
      </c>
    </row>
    <row r="43" spans="1:7" x14ac:dyDescent="0.2">
      <c r="A43" s="422">
        <f>Biodata!A45</f>
        <v>37</v>
      </c>
      <c r="B43" s="427" t="str">
        <f>Biodata!B45</f>
        <v>037</v>
      </c>
      <c r="C43" s="428" t="str">
        <f>Biodata!C45</f>
        <v>A37</v>
      </c>
      <c r="D43" s="422">
        <f t="shared" si="0"/>
        <v>0</v>
      </c>
      <c r="E43" s="422" t="str">
        <f t="shared" si="1"/>
        <v/>
      </c>
      <c r="F43" s="422">
        <f t="shared" si="2"/>
        <v>0</v>
      </c>
      <c r="G43" s="422" t="str">
        <f t="shared" si="3"/>
        <v/>
      </c>
    </row>
    <row r="44" spans="1:7" x14ac:dyDescent="0.2">
      <c r="A44" s="422">
        <f>Biodata!A46</f>
        <v>38</v>
      </c>
      <c r="B44" s="427" t="str">
        <f>Biodata!B46</f>
        <v>038</v>
      </c>
      <c r="C44" s="428" t="str">
        <f>Biodata!C46</f>
        <v>A38</v>
      </c>
      <c r="D44" s="422">
        <f t="shared" si="0"/>
        <v>0</v>
      </c>
      <c r="E44" s="422" t="str">
        <f t="shared" si="1"/>
        <v/>
      </c>
      <c r="F44" s="422">
        <f t="shared" si="2"/>
        <v>0</v>
      </c>
      <c r="G44" s="422" t="str">
        <f t="shared" si="3"/>
        <v/>
      </c>
    </row>
    <row r="45" spans="1:7" x14ac:dyDescent="0.2">
      <c r="A45" s="422">
        <f>Biodata!A47</f>
        <v>39</v>
      </c>
      <c r="B45" s="427" t="str">
        <f>Biodata!B47</f>
        <v>039</v>
      </c>
      <c r="C45" s="428" t="str">
        <f>Biodata!C47</f>
        <v>A39</v>
      </c>
      <c r="D45" s="422">
        <f t="shared" si="0"/>
        <v>0</v>
      </c>
      <c r="E45" s="422" t="str">
        <f t="shared" si="1"/>
        <v/>
      </c>
      <c r="F45" s="422">
        <f t="shared" si="2"/>
        <v>0</v>
      </c>
      <c r="G45" s="422" t="str">
        <f t="shared" si="3"/>
        <v/>
      </c>
    </row>
    <row r="46" spans="1:7" x14ac:dyDescent="0.2">
      <c r="A46" s="422">
        <f>Biodata!A48</f>
        <v>40</v>
      </c>
      <c r="B46" s="427" t="str">
        <f>Biodata!B48</f>
        <v>040</v>
      </c>
      <c r="C46" s="428" t="str">
        <f>Biodata!C48</f>
        <v>A40</v>
      </c>
      <c r="D46" s="422">
        <f t="shared" si="0"/>
        <v>0</v>
      </c>
      <c r="E46" s="422" t="str">
        <f t="shared" si="1"/>
        <v/>
      </c>
      <c r="F46" s="422">
        <f t="shared" si="2"/>
        <v>0</v>
      </c>
      <c r="G46" s="422" t="str">
        <f t="shared" si="3"/>
        <v/>
      </c>
    </row>
    <row r="47" spans="1:7" x14ac:dyDescent="0.2">
      <c r="C47" s="432"/>
    </row>
    <row r="48" spans="1:7" x14ac:dyDescent="0.2">
      <c r="C48" s="432"/>
    </row>
    <row r="49" spans="3:3" s="425" customFormat="1" x14ac:dyDescent="0.2">
      <c r="C49" s="432"/>
    </row>
    <row r="50" spans="3:3" s="425" customFormat="1" x14ac:dyDescent="0.2">
      <c r="C50" s="432"/>
    </row>
  </sheetData>
  <sheetProtection sheet="1" objects="1" scenarios="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activeCell="D5" sqref="D5"/>
    </sheetView>
  </sheetViews>
  <sheetFormatPr defaultRowHeight="11.25" x14ac:dyDescent="0.2"/>
  <cols>
    <col min="1" max="1" width="3.7109375" style="422" customWidth="1"/>
    <col min="2" max="2" width="7.140625" style="422" customWidth="1"/>
    <col min="3" max="3" width="21.7109375" style="425" customWidth="1"/>
    <col min="4" max="4" width="11.85546875" style="422" customWidth="1"/>
    <col min="5" max="5" width="8" style="422" customWidth="1"/>
    <col min="6" max="6" width="12" style="422" customWidth="1"/>
    <col min="7" max="7" width="8" style="422" customWidth="1"/>
    <col min="8" max="16384" width="9.140625" style="425"/>
  </cols>
  <sheetData>
    <row r="1" spans="1:7" x14ac:dyDescent="0.2">
      <c r="C1" s="423" t="s">
        <v>322</v>
      </c>
      <c r="D1" s="424" t="str">
        <f>Biodata!C4</f>
        <v xml:space="preserve"> X / IPS_5 </v>
      </c>
    </row>
    <row r="2" spans="1:7" x14ac:dyDescent="0.2">
      <c r="C2" s="423" t="s">
        <v>321</v>
      </c>
      <c r="D2" s="424" t="str">
        <f>Biodata!C5</f>
        <v>2 / Genap</v>
      </c>
    </row>
    <row r="3" spans="1:7" x14ac:dyDescent="0.2">
      <c r="D3" s="424"/>
    </row>
    <row r="4" spans="1:7" x14ac:dyDescent="0.2">
      <c r="C4" s="423" t="s">
        <v>320</v>
      </c>
      <c r="D4" s="424" t="str">
        <f>LEGER!O6</f>
        <v>Bahasa Sunda</v>
      </c>
    </row>
    <row r="5" spans="1:7" x14ac:dyDescent="0.2">
      <c r="C5" s="423" t="s">
        <v>319</v>
      </c>
      <c r="D5" s="424">
        <f>RAPORT!C82</f>
        <v>70</v>
      </c>
    </row>
    <row r="6" spans="1:7" x14ac:dyDescent="0.2">
      <c r="A6" s="422" t="s">
        <v>323</v>
      </c>
      <c r="B6" s="422" t="s">
        <v>10</v>
      </c>
      <c r="C6" s="425" t="s">
        <v>324</v>
      </c>
      <c r="D6" s="422" t="s">
        <v>74</v>
      </c>
      <c r="E6" s="422" t="s">
        <v>72</v>
      </c>
      <c r="F6" s="422" t="s">
        <v>146</v>
      </c>
      <c r="G6" s="422" t="s">
        <v>72</v>
      </c>
    </row>
    <row r="7" spans="1:7" x14ac:dyDescent="0.2">
      <c r="A7" s="422">
        <f>Biodata!A9</f>
        <v>1</v>
      </c>
      <c r="B7" s="427" t="str">
        <f>Biodata!B9</f>
        <v>181910008</v>
      </c>
      <c r="C7" s="428" t="str">
        <f>Biodata!C9</f>
        <v>ADITA TRI KURNIA PUTRI</v>
      </c>
      <c r="D7" s="422">
        <f t="shared" ref="D7:D46" si="0">IFERROR(VLOOKUP(B7&amp;"A",leggerx1,12,0),"")</f>
        <v>0</v>
      </c>
      <c r="E7" s="422" t="str">
        <f t="shared" ref="E7:E46" si="1">IFERROR(VLOOKUP(B7&amp;"C",leggerx1,12,0),"")</f>
        <v/>
      </c>
      <c r="F7" s="422">
        <f t="shared" ref="F7:F46" si="2">IFERROR(VLOOKUP(B7&amp;"B",leggerx1,12,0),"")</f>
        <v>0</v>
      </c>
      <c r="G7" s="422" t="str">
        <f t="shared" ref="G7:G46" si="3">IFERROR(VLOOKUP(B7&amp;"D",leggerx1,12,0),"")</f>
        <v/>
      </c>
    </row>
    <row r="8" spans="1:7" x14ac:dyDescent="0.2">
      <c r="A8" s="422">
        <f>Biodata!A10</f>
        <v>2</v>
      </c>
      <c r="B8" s="427" t="str">
        <f>Biodata!B10</f>
        <v>181910011</v>
      </c>
      <c r="C8" s="428" t="str">
        <f>Biodata!C10</f>
        <v xml:space="preserve">ADNES KOMALA DEWI </v>
      </c>
      <c r="D8" s="422">
        <f t="shared" si="0"/>
        <v>23</v>
      </c>
      <c r="E8" s="422" t="str">
        <f t="shared" si="1"/>
        <v>D</v>
      </c>
      <c r="F8" s="422">
        <f t="shared" si="2"/>
        <v>80</v>
      </c>
      <c r="G8" s="422" t="str">
        <f t="shared" si="3"/>
        <v>B</v>
      </c>
    </row>
    <row r="9" spans="1:7" x14ac:dyDescent="0.2">
      <c r="A9" s="422">
        <f>Biodata!A11</f>
        <v>3</v>
      </c>
      <c r="B9" s="427" t="str">
        <f>Biodata!B11</f>
        <v>181910014</v>
      </c>
      <c r="C9" s="428" t="str">
        <f>Biodata!C11</f>
        <v>AGUNG BUDI PRASTAWA</v>
      </c>
      <c r="D9" s="422">
        <f t="shared" si="0"/>
        <v>31</v>
      </c>
      <c r="E9" s="422" t="str">
        <f t="shared" si="1"/>
        <v>D</v>
      </c>
      <c r="F9" s="422">
        <f t="shared" si="2"/>
        <v>85</v>
      </c>
      <c r="G9" s="422" t="str">
        <f t="shared" si="3"/>
        <v>B</v>
      </c>
    </row>
    <row r="10" spans="1:7" x14ac:dyDescent="0.2">
      <c r="A10" s="422">
        <f>Biodata!A12</f>
        <v>4</v>
      </c>
      <c r="B10" s="427" t="str">
        <f>Biodata!B12</f>
        <v>181910045</v>
      </c>
      <c r="C10" s="428" t="str">
        <f>Biodata!C12</f>
        <v>ARYA DYTA WIGUNA</v>
      </c>
      <c r="D10" s="422">
        <f t="shared" si="0"/>
        <v>83</v>
      </c>
      <c r="E10" s="422" t="str">
        <f t="shared" si="1"/>
        <v>B</v>
      </c>
      <c r="F10" s="422">
        <f t="shared" si="2"/>
        <v>87</v>
      </c>
      <c r="G10" s="422" t="str">
        <f t="shared" si="3"/>
        <v>B</v>
      </c>
    </row>
    <row r="11" spans="1:7" x14ac:dyDescent="0.2">
      <c r="A11" s="422">
        <f>Biodata!A13</f>
        <v>5</v>
      </c>
      <c r="B11" s="427" t="str">
        <f>Biodata!B13</f>
        <v>181910054</v>
      </c>
      <c r="C11" s="428" t="str">
        <f>Biodata!C13</f>
        <v>AZRIEL TAMA SANTIAJI</v>
      </c>
      <c r="D11" s="422">
        <f t="shared" si="0"/>
        <v>22</v>
      </c>
      <c r="E11" s="422" t="str">
        <f t="shared" si="1"/>
        <v>D</v>
      </c>
      <c r="F11" s="422">
        <f t="shared" si="2"/>
        <v>75</v>
      </c>
      <c r="G11" s="422" t="str">
        <f t="shared" si="3"/>
        <v>C</v>
      </c>
    </row>
    <row r="12" spans="1:7" x14ac:dyDescent="0.2">
      <c r="A12" s="422">
        <f>Biodata!A14</f>
        <v>6</v>
      </c>
      <c r="B12" s="427" t="str">
        <f>Biodata!B14</f>
        <v>181910055</v>
      </c>
      <c r="C12" s="428" t="str">
        <f>Biodata!C14</f>
        <v>AZZUHRI HAUDI</v>
      </c>
      <c r="D12" s="422">
        <f t="shared" si="0"/>
        <v>75</v>
      </c>
      <c r="E12" s="422" t="str">
        <f t="shared" si="1"/>
        <v>C</v>
      </c>
      <c r="F12" s="422">
        <f t="shared" si="2"/>
        <v>75</v>
      </c>
      <c r="G12" s="422" t="str">
        <f t="shared" si="3"/>
        <v>C</v>
      </c>
    </row>
    <row r="13" spans="1:7" x14ac:dyDescent="0.2">
      <c r="A13" s="422">
        <f>Biodata!A15</f>
        <v>7</v>
      </c>
      <c r="B13" s="427" t="str">
        <f>Biodata!B15</f>
        <v>181910056</v>
      </c>
      <c r="C13" s="428" t="str">
        <f>Biodata!C15</f>
        <v>BAYU BATARA SURYA PUTRA</v>
      </c>
      <c r="D13" s="422">
        <f t="shared" si="0"/>
        <v>23</v>
      </c>
      <c r="E13" s="422" t="str">
        <f t="shared" si="1"/>
        <v>D</v>
      </c>
      <c r="F13" s="422">
        <f t="shared" si="2"/>
        <v>80</v>
      </c>
      <c r="G13" s="422" t="str">
        <f t="shared" si="3"/>
        <v>B</v>
      </c>
    </row>
    <row r="14" spans="1:7" x14ac:dyDescent="0.2">
      <c r="A14" s="422">
        <f>Biodata!A16</f>
        <v>8</v>
      </c>
      <c r="B14" s="427" t="str">
        <f>Biodata!B16</f>
        <v>181910069</v>
      </c>
      <c r="C14" s="428" t="str">
        <f>Biodata!C16</f>
        <v>DANDY ERVAN PRATAMA</v>
      </c>
      <c r="D14" s="422">
        <f t="shared" si="0"/>
        <v>22</v>
      </c>
      <c r="E14" s="422" t="str">
        <f t="shared" si="1"/>
        <v>D</v>
      </c>
      <c r="F14" s="422">
        <f t="shared" si="2"/>
        <v>27</v>
      </c>
      <c r="G14" s="422" t="str">
        <f t="shared" si="3"/>
        <v>D</v>
      </c>
    </row>
    <row r="15" spans="1:7" x14ac:dyDescent="0.2">
      <c r="A15" s="422">
        <f>Biodata!A17</f>
        <v>9</v>
      </c>
      <c r="B15" s="427" t="str">
        <f>Biodata!B17</f>
        <v>181910085</v>
      </c>
      <c r="C15" s="428" t="str">
        <f>Biodata!C17</f>
        <v>DENISA ASTI RAHMAWATI</v>
      </c>
      <c r="D15" s="422">
        <f t="shared" si="0"/>
        <v>28</v>
      </c>
      <c r="E15" s="422" t="str">
        <f t="shared" si="1"/>
        <v>D</v>
      </c>
      <c r="F15" s="422">
        <f t="shared" si="2"/>
        <v>80</v>
      </c>
      <c r="G15" s="422" t="str">
        <f t="shared" si="3"/>
        <v>B</v>
      </c>
    </row>
    <row r="16" spans="1:7" x14ac:dyDescent="0.2">
      <c r="A16" s="422">
        <f>Biodata!A18</f>
        <v>10</v>
      </c>
      <c r="B16" s="427" t="str">
        <f>Biodata!B18</f>
        <v>181910093</v>
      </c>
      <c r="C16" s="428" t="str">
        <f>Biodata!C18</f>
        <v>DIAN RAMDHAN SAPTIAN</v>
      </c>
      <c r="D16" s="422">
        <f t="shared" si="0"/>
        <v>22</v>
      </c>
      <c r="E16" s="422" t="str">
        <f t="shared" si="1"/>
        <v>D</v>
      </c>
      <c r="F16" s="422">
        <f t="shared" si="2"/>
        <v>75</v>
      </c>
      <c r="G16" s="422" t="str">
        <f t="shared" si="3"/>
        <v>C</v>
      </c>
    </row>
    <row r="17" spans="1:7" x14ac:dyDescent="0.2">
      <c r="A17" s="422">
        <f>Biodata!A19</f>
        <v>11</v>
      </c>
      <c r="B17" s="427" t="str">
        <f>Biodata!B19</f>
        <v>181910103</v>
      </c>
      <c r="C17" s="428" t="str">
        <f>Biodata!C19</f>
        <v>DIVYA ADHIANI NURDIN</v>
      </c>
      <c r="D17" s="422">
        <f t="shared" si="0"/>
        <v>73</v>
      </c>
      <c r="E17" s="422" t="str">
        <f t="shared" si="1"/>
        <v>C</v>
      </c>
      <c r="F17" s="422">
        <f t="shared" si="2"/>
        <v>85</v>
      </c>
      <c r="G17" s="422" t="str">
        <f t="shared" si="3"/>
        <v>B</v>
      </c>
    </row>
    <row r="18" spans="1:7" x14ac:dyDescent="0.2">
      <c r="A18" s="422">
        <f>Biodata!A20</f>
        <v>12</v>
      </c>
      <c r="B18" s="427" t="str">
        <f>Biodata!B20</f>
        <v>181910104</v>
      </c>
      <c r="C18" s="428" t="str">
        <f>Biodata!C20</f>
        <v>DWIKI DERMAWAN</v>
      </c>
      <c r="D18" s="422">
        <f t="shared" si="0"/>
        <v>24</v>
      </c>
      <c r="E18" s="422" t="str">
        <f t="shared" si="1"/>
        <v>D</v>
      </c>
      <c r="F18" s="422">
        <f t="shared" si="2"/>
        <v>75</v>
      </c>
      <c r="G18" s="422" t="str">
        <f t="shared" si="3"/>
        <v>C</v>
      </c>
    </row>
    <row r="19" spans="1:7" x14ac:dyDescent="0.2">
      <c r="A19" s="422">
        <f>Biodata!A21</f>
        <v>13</v>
      </c>
      <c r="B19" s="427" t="str">
        <f>Biodata!B21</f>
        <v>181910118</v>
      </c>
      <c r="C19" s="428" t="str">
        <f>Biodata!C21</f>
        <v>ENCEP CANDRA</v>
      </c>
      <c r="D19" s="422">
        <f t="shared" si="0"/>
        <v>38</v>
      </c>
      <c r="E19" s="422" t="str">
        <f t="shared" si="1"/>
        <v>D</v>
      </c>
      <c r="F19" s="422">
        <f t="shared" si="2"/>
        <v>78</v>
      </c>
      <c r="G19" s="422" t="str">
        <f t="shared" si="3"/>
        <v>C</v>
      </c>
    </row>
    <row r="20" spans="1:7" x14ac:dyDescent="0.2">
      <c r="A20" s="422">
        <f>Biodata!A22</f>
        <v>14</v>
      </c>
      <c r="B20" s="427" t="str">
        <f>Biodata!B22</f>
        <v>181910128</v>
      </c>
      <c r="C20" s="428" t="str">
        <f>Biodata!C22</f>
        <v>FAIZAL EGI</v>
      </c>
      <c r="D20" s="422">
        <f t="shared" si="0"/>
        <v>12</v>
      </c>
      <c r="E20" s="422" t="str">
        <f t="shared" si="1"/>
        <v>D</v>
      </c>
      <c r="F20" s="422">
        <f t="shared" si="2"/>
        <v>0</v>
      </c>
      <c r="G20" s="422" t="str">
        <f t="shared" si="3"/>
        <v/>
      </c>
    </row>
    <row r="21" spans="1:7" x14ac:dyDescent="0.2">
      <c r="A21" s="422">
        <f>Biodata!A23</f>
        <v>15</v>
      </c>
      <c r="B21" s="427" t="str">
        <f>Biodata!B23</f>
        <v>181910133</v>
      </c>
      <c r="C21" s="428" t="str">
        <f>Biodata!C23</f>
        <v>FAUZI DHALFADLIL AZHANI</v>
      </c>
      <c r="D21" s="422">
        <f t="shared" si="0"/>
        <v>38</v>
      </c>
      <c r="E21" s="422" t="str">
        <f t="shared" si="1"/>
        <v>D</v>
      </c>
      <c r="F21" s="422">
        <f t="shared" si="2"/>
        <v>80</v>
      </c>
      <c r="G21" s="422" t="str">
        <f t="shared" si="3"/>
        <v>B</v>
      </c>
    </row>
    <row r="22" spans="1:7" x14ac:dyDescent="0.2">
      <c r="A22" s="422">
        <f>Biodata!A24</f>
        <v>16</v>
      </c>
      <c r="B22" s="427" t="str">
        <f>Biodata!B24</f>
        <v>181910161</v>
      </c>
      <c r="C22" s="428" t="str">
        <f>Biodata!C24</f>
        <v>HILMAN PUTRA PAMUNGKAS</v>
      </c>
      <c r="D22" s="422">
        <f t="shared" si="0"/>
        <v>39</v>
      </c>
      <c r="E22" s="422" t="str">
        <f t="shared" si="1"/>
        <v>D</v>
      </c>
      <c r="F22" s="422">
        <f t="shared" si="2"/>
        <v>80</v>
      </c>
      <c r="G22" s="422" t="str">
        <f t="shared" si="3"/>
        <v>B</v>
      </c>
    </row>
    <row r="23" spans="1:7" x14ac:dyDescent="0.2">
      <c r="A23" s="422">
        <f>Biodata!A25</f>
        <v>17</v>
      </c>
      <c r="B23" s="427" t="str">
        <f>Biodata!B25</f>
        <v>181910165</v>
      </c>
      <c r="C23" s="428" t="str">
        <f>Biodata!C25</f>
        <v>IHSYA FADILLAH MUSLIM</v>
      </c>
      <c r="D23" s="422">
        <f t="shared" si="0"/>
        <v>43</v>
      </c>
      <c r="E23" s="422" t="str">
        <f t="shared" si="1"/>
        <v>D</v>
      </c>
      <c r="F23" s="422">
        <f t="shared" si="2"/>
        <v>75</v>
      </c>
      <c r="G23" s="422" t="str">
        <f t="shared" si="3"/>
        <v>C</v>
      </c>
    </row>
    <row r="24" spans="1:7" x14ac:dyDescent="0.2">
      <c r="A24" s="422">
        <f>Biodata!A26</f>
        <v>18</v>
      </c>
      <c r="B24" s="427" t="str">
        <f>Biodata!B26</f>
        <v>181910185</v>
      </c>
      <c r="C24" s="428" t="str">
        <f>Biodata!C26</f>
        <v>JIHAD AKBAR</v>
      </c>
      <c r="D24" s="422">
        <f t="shared" si="0"/>
        <v>35</v>
      </c>
      <c r="E24" s="422" t="str">
        <f t="shared" si="1"/>
        <v>D</v>
      </c>
      <c r="F24" s="422">
        <f t="shared" si="2"/>
        <v>70</v>
      </c>
      <c r="G24" s="422" t="str">
        <f t="shared" si="3"/>
        <v>C</v>
      </c>
    </row>
    <row r="25" spans="1:7" x14ac:dyDescent="0.2">
      <c r="A25" s="422">
        <f>Biodata!A27</f>
        <v>19</v>
      </c>
      <c r="B25" s="427" t="str">
        <f>Biodata!B27</f>
        <v>181910226</v>
      </c>
      <c r="C25" s="428" t="str">
        <f>Biodata!C27</f>
        <v>MUHAMAD IZZAZUL FIKRIAN</v>
      </c>
      <c r="D25" s="422">
        <f t="shared" si="0"/>
        <v>0</v>
      </c>
      <c r="E25" s="422" t="str">
        <f t="shared" si="1"/>
        <v/>
      </c>
      <c r="F25" s="422">
        <f t="shared" si="2"/>
        <v>0</v>
      </c>
      <c r="G25" s="422" t="str">
        <f t="shared" si="3"/>
        <v/>
      </c>
    </row>
    <row r="26" spans="1:7" x14ac:dyDescent="0.2">
      <c r="A26" s="422">
        <f>Biodata!A28</f>
        <v>20</v>
      </c>
      <c r="B26" s="427" t="str">
        <f>Biodata!B28</f>
        <v>181910433</v>
      </c>
      <c r="C26" s="428" t="str">
        <f>Biodata!C28</f>
        <v>MUHAMAD RIZAL</v>
      </c>
      <c r="D26" s="422">
        <f t="shared" si="0"/>
        <v>32</v>
      </c>
      <c r="E26" s="422" t="str">
        <f t="shared" si="1"/>
        <v>D</v>
      </c>
      <c r="F26" s="422">
        <f t="shared" si="2"/>
        <v>0</v>
      </c>
      <c r="G26" s="422" t="str">
        <f t="shared" si="3"/>
        <v/>
      </c>
    </row>
    <row r="27" spans="1:7" x14ac:dyDescent="0.2">
      <c r="A27" s="422">
        <f>Biodata!A29</f>
        <v>21</v>
      </c>
      <c r="B27" s="427" t="str">
        <f>Biodata!B29</f>
        <v>181910240</v>
      </c>
      <c r="C27" s="428" t="str">
        <f>Biodata!C29</f>
        <v>NESHA RAUDHATUL ZANNAH</v>
      </c>
      <c r="D27" s="422">
        <f t="shared" si="0"/>
        <v>74</v>
      </c>
      <c r="E27" s="422" t="str">
        <f t="shared" si="1"/>
        <v>C</v>
      </c>
      <c r="F27" s="422">
        <f t="shared" si="2"/>
        <v>80</v>
      </c>
      <c r="G27" s="422" t="str">
        <f t="shared" si="3"/>
        <v>B</v>
      </c>
    </row>
    <row r="28" spans="1:7" x14ac:dyDescent="0.2">
      <c r="A28" s="422">
        <f>Biodata!A30</f>
        <v>22</v>
      </c>
      <c r="B28" s="427" t="str">
        <f>Biodata!B30</f>
        <v>181910262</v>
      </c>
      <c r="C28" s="428" t="str">
        <f>Biodata!C30</f>
        <v>PUTRI ANGGRAENI</v>
      </c>
      <c r="D28" s="422">
        <f t="shared" si="0"/>
        <v>71</v>
      </c>
      <c r="E28" s="422" t="str">
        <f t="shared" si="1"/>
        <v>C</v>
      </c>
      <c r="F28" s="422">
        <f t="shared" si="2"/>
        <v>75</v>
      </c>
      <c r="G28" s="422" t="str">
        <f t="shared" si="3"/>
        <v>C</v>
      </c>
    </row>
    <row r="29" spans="1:7" x14ac:dyDescent="0.2">
      <c r="A29" s="422">
        <f>Biodata!A31</f>
        <v>23</v>
      </c>
      <c r="B29" s="427" t="str">
        <f>Biodata!B31</f>
        <v>181910266</v>
      </c>
      <c r="C29" s="428" t="str">
        <f>Biodata!C31</f>
        <v>PUTRI WULANDARI</v>
      </c>
      <c r="D29" s="422">
        <f t="shared" si="0"/>
        <v>71</v>
      </c>
      <c r="E29" s="422" t="str">
        <f t="shared" si="1"/>
        <v>C</v>
      </c>
      <c r="F29" s="422">
        <f t="shared" si="2"/>
        <v>80</v>
      </c>
      <c r="G29" s="422" t="str">
        <f t="shared" si="3"/>
        <v>B</v>
      </c>
    </row>
    <row r="30" spans="1:7" x14ac:dyDescent="0.2">
      <c r="A30" s="422">
        <f>Biodata!A32</f>
        <v>24</v>
      </c>
      <c r="B30" s="427" t="str">
        <f>Biodata!B32</f>
        <v>181910272</v>
      </c>
      <c r="C30" s="428" t="str">
        <f>Biodata!C32</f>
        <v>RAFLY GYMNASTIAR</v>
      </c>
      <c r="D30" s="422">
        <f t="shared" si="0"/>
        <v>13</v>
      </c>
      <c r="E30" s="422" t="str">
        <f t="shared" si="1"/>
        <v>D</v>
      </c>
      <c r="F30" s="422">
        <f t="shared" si="2"/>
        <v>0</v>
      </c>
      <c r="G30" s="422" t="str">
        <f t="shared" si="3"/>
        <v/>
      </c>
    </row>
    <row r="31" spans="1:7" x14ac:dyDescent="0.2">
      <c r="A31" s="422">
        <f>Biodata!A33</f>
        <v>25</v>
      </c>
      <c r="B31" s="427" t="str">
        <f>Biodata!B33</f>
        <v>181910280</v>
      </c>
      <c r="C31" s="428" t="str">
        <f>Biodata!C33</f>
        <v>REFIANA</v>
      </c>
      <c r="D31" s="422">
        <f t="shared" si="0"/>
        <v>13</v>
      </c>
      <c r="E31" s="422" t="str">
        <f t="shared" si="1"/>
        <v>D</v>
      </c>
      <c r="F31" s="422">
        <f t="shared" si="2"/>
        <v>0</v>
      </c>
      <c r="G31" s="422" t="str">
        <f t="shared" si="3"/>
        <v/>
      </c>
    </row>
    <row r="32" spans="1:7" x14ac:dyDescent="0.2">
      <c r="A32" s="422">
        <f>Biodata!A34</f>
        <v>26</v>
      </c>
      <c r="B32" s="427" t="str">
        <f>Biodata!B34</f>
        <v>181910285</v>
      </c>
      <c r="C32" s="428" t="str">
        <f>Biodata!C34</f>
        <v>RENALDI PRIYATAMA</v>
      </c>
      <c r="D32" s="422">
        <f t="shared" si="0"/>
        <v>20</v>
      </c>
      <c r="E32" s="422" t="str">
        <f t="shared" si="1"/>
        <v>D</v>
      </c>
      <c r="F32" s="422">
        <f t="shared" si="2"/>
        <v>70</v>
      </c>
      <c r="G32" s="422" t="str">
        <f t="shared" si="3"/>
        <v>C</v>
      </c>
    </row>
    <row r="33" spans="1:7" x14ac:dyDescent="0.2">
      <c r="A33" s="422">
        <f>Biodata!A35</f>
        <v>27</v>
      </c>
      <c r="B33" s="427" t="str">
        <f>Biodata!B35</f>
        <v>181910286</v>
      </c>
      <c r="C33" s="428" t="str">
        <f>Biodata!C35</f>
        <v>RENATA</v>
      </c>
      <c r="D33" s="422">
        <f t="shared" si="0"/>
        <v>73</v>
      </c>
      <c r="E33" s="422" t="str">
        <f t="shared" si="1"/>
        <v>C</v>
      </c>
      <c r="F33" s="422">
        <f t="shared" si="2"/>
        <v>78</v>
      </c>
      <c r="G33" s="422" t="str">
        <f t="shared" si="3"/>
        <v>C</v>
      </c>
    </row>
    <row r="34" spans="1:7" x14ac:dyDescent="0.2">
      <c r="A34" s="422">
        <f>Biodata!A36</f>
        <v>28</v>
      </c>
      <c r="B34" s="427" t="str">
        <f>Biodata!B36</f>
        <v>181910293</v>
      </c>
      <c r="C34" s="428" t="str">
        <f>Biodata!C36</f>
        <v xml:space="preserve">REZA ERNANDA </v>
      </c>
      <c r="D34" s="422">
        <f t="shared" si="0"/>
        <v>78</v>
      </c>
      <c r="E34" s="422" t="str">
        <f t="shared" si="1"/>
        <v>C</v>
      </c>
      <c r="F34" s="422">
        <f t="shared" si="2"/>
        <v>75</v>
      </c>
      <c r="G34" s="422" t="str">
        <f t="shared" si="3"/>
        <v>C</v>
      </c>
    </row>
    <row r="35" spans="1:7" x14ac:dyDescent="0.2">
      <c r="A35" s="422">
        <f>Biodata!A37</f>
        <v>29</v>
      </c>
      <c r="B35" s="427" t="str">
        <f>Biodata!B37</f>
        <v>181910300</v>
      </c>
      <c r="C35" s="428" t="str">
        <f>Biodata!C37</f>
        <v>RIFAN MUHAMAD RIZKI</v>
      </c>
      <c r="D35" s="422">
        <f t="shared" si="0"/>
        <v>0</v>
      </c>
      <c r="E35" s="422" t="str">
        <f t="shared" si="1"/>
        <v/>
      </c>
      <c r="F35" s="422">
        <f t="shared" si="2"/>
        <v>0</v>
      </c>
      <c r="G35" s="422" t="str">
        <f t="shared" si="3"/>
        <v/>
      </c>
    </row>
    <row r="36" spans="1:7" x14ac:dyDescent="0.2">
      <c r="A36" s="422">
        <f>Biodata!A38</f>
        <v>30</v>
      </c>
      <c r="B36" s="427" t="str">
        <f>Biodata!B38</f>
        <v>181910318</v>
      </c>
      <c r="C36" s="428" t="str">
        <f>Biodata!C38</f>
        <v>RISMA SURYANI</v>
      </c>
      <c r="D36" s="422">
        <f t="shared" si="0"/>
        <v>80</v>
      </c>
      <c r="E36" s="422" t="str">
        <f t="shared" si="1"/>
        <v>B</v>
      </c>
      <c r="F36" s="422">
        <f t="shared" si="2"/>
        <v>90</v>
      </c>
      <c r="G36" s="422" t="str">
        <f t="shared" si="3"/>
        <v>A</v>
      </c>
    </row>
    <row r="37" spans="1:7" x14ac:dyDescent="0.2">
      <c r="A37" s="422">
        <f>Biodata!A39</f>
        <v>31</v>
      </c>
      <c r="B37" s="427" t="str">
        <f>Biodata!B39</f>
        <v>181910320</v>
      </c>
      <c r="C37" s="428" t="str">
        <f>Biodata!C39</f>
        <v>RISNA TIRANI</v>
      </c>
      <c r="D37" s="422">
        <f t="shared" si="0"/>
        <v>77</v>
      </c>
      <c r="E37" s="422" t="str">
        <f t="shared" si="1"/>
        <v>C</v>
      </c>
      <c r="F37" s="422">
        <f t="shared" si="2"/>
        <v>85</v>
      </c>
      <c r="G37" s="422" t="str">
        <f t="shared" si="3"/>
        <v>B</v>
      </c>
    </row>
    <row r="38" spans="1:7" x14ac:dyDescent="0.2">
      <c r="A38" s="422">
        <f>Biodata!A40</f>
        <v>32</v>
      </c>
      <c r="B38" s="427" t="str">
        <f>Biodata!B40</f>
        <v>181910331</v>
      </c>
      <c r="C38" s="428" t="str">
        <f>Biodata!C40</f>
        <v>RULLY PRATAMA S.</v>
      </c>
      <c r="D38" s="422">
        <f t="shared" si="0"/>
        <v>29</v>
      </c>
      <c r="E38" s="422" t="str">
        <f t="shared" si="1"/>
        <v>D</v>
      </c>
      <c r="F38" s="422">
        <f t="shared" si="2"/>
        <v>80</v>
      </c>
      <c r="G38" s="422" t="str">
        <f t="shared" si="3"/>
        <v>B</v>
      </c>
    </row>
    <row r="39" spans="1:7" x14ac:dyDescent="0.2">
      <c r="A39" s="422">
        <f>Biodata!A41</f>
        <v>33</v>
      </c>
      <c r="B39" s="427" t="str">
        <f>Biodata!B41</f>
        <v>181910335</v>
      </c>
      <c r="C39" s="428" t="str">
        <f>Biodata!C41</f>
        <v>SALSA ASYKIYA</v>
      </c>
      <c r="D39" s="422">
        <f t="shared" si="0"/>
        <v>80</v>
      </c>
      <c r="E39" s="422" t="str">
        <f t="shared" si="1"/>
        <v>B</v>
      </c>
      <c r="F39" s="422">
        <f t="shared" si="2"/>
        <v>90</v>
      </c>
      <c r="G39" s="422" t="str">
        <f t="shared" si="3"/>
        <v>A</v>
      </c>
    </row>
    <row r="40" spans="1:7" x14ac:dyDescent="0.2">
      <c r="A40" s="422">
        <f>Biodata!A42</f>
        <v>34</v>
      </c>
      <c r="B40" s="427" t="str">
        <f>Biodata!B42</f>
        <v>181910353</v>
      </c>
      <c r="C40" s="428" t="str">
        <f>Biodata!C42</f>
        <v>SILFI HAMIDAH</v>
      </c>
      <c r="D40" s="422">
        <f t="shared" si="0"/>
        <v>78</v>
      </c>
      <c r="E40" s="422" t="str">
        <f t="shared" si="1"/>
        <v>C</v>
      </c>
      <c r="F40" s="422">
        <f t="shared" si="2"/>
        <v>90</v>
      </c>
      <c r="G40" s="422" t="str">
        <f t="shared" si="3"/>
        <v>A</v>
      </c>
    </row>
    <row r="41" spans="1:7" x14ac:dyDescent="0.2">
      <c r="A41" s="422">
        <f>Biodata!A43</f>
        <v>35</v>
      </c>
      <c r="B41" s="427" t="str">
        <f>Biodata!B43</f>
        <v>181910408</v>
      </c>
      <c r="C41" s="428" t="str">
        <f>Biodata!C43</f>
        <v>YESHA RAHAYU</v>
      </c>
      <c r="D41" s="422">
        <f t="shared" si="0"/>
        <v>0</v>
      </c>
      <c r="E41" s="422" t="str">
        <f t="shared" si="1"/>
        <v/>
      </c>
      <c r="F41" s="422">
        <f t="shared" si="2"/>
        <v>0</v>
      </c>
      <c r="G41" s="422" t="str">
        <f t="shared" si="3"/>
        <v/>
      </c>
    </row>
    <row r="42" spans="1:7" x14ac:dyDescent="0.2">
      <c r="A42" s="422">
        <f>Biodata!A44</f>
        <v>36</v>
      </c>
      <c r="B42" s="427" t="str">
        <f>Biodata!B44</f>
        <v>036</v>
      </c>
      <c r="C42" s="428" t="str">
        <f>Biodata!C44</f>
        <v>A36</v>
      </c>
      <c r="D42" s="422">
        <f t="shared" si="0"/>
        <v>0</v>
      </c>
      <c r="E42" s="422" t="str">
        <f t="shared" si="1"/>
        <v/>
      </c>
      <c r="F42" s="422">
        <f t="shared" si="2"/>
        <v>0</v>
      </c>
      <c r="G42" s="422" t="str">
        <f t="shared" si="3"/>
        <v/>
      </c>
    </row>
    <row r="43" spans="1:7" x14ac:dyDescent="0.2">
      <c r="A43" s="422">
        <f>Biodata!A45</f>
        <v>37</v>
      </c>
      <c r="B43" s="427" t="str">
        <f>Biodata!B45</f>
        <v>037</v>
      </c>
      <c r="C43" s="428" t="str">
        <f>Biodata!C45</f>
        <v>A37</v>
      </c>
      <c r="D43" s="422">
        <f t="shared" si="0"/>
        <v>0</v>
      </c>
      <c r="E43" s="422" t="str">
        <f t="shared" si="1"/>
        <v/>
      </c>
      <c r="F43" s="422">
        <f t="shared" si="2"/>
        <v>0</v>
      </c>
      <c r="G43" s="422" t="str">
        <f t="shared" si="3"/>
        <v/>
      </c>
    </row>
    <row r="44" spans="1:7" x14ac:dyDescent="0.2">
      <c r="A44" s="422">
        <f>Biodata!A46</f>
        <v>38</v>
      </c>
      <c r="B44" s="427" t="str">
        <f>Biodata!B46</f>
        <v>038</v>
      </c>
      <c r="C44" s="428" t="str">
        <f>Biodata!C46</f>
        <v>A38</v>
      </c>
      <c r="D44" s="422">
        <f t="shared" si="0"/>
        <v>0</v>
      </c>
      <c r="E44" s="422" t="str">
        <f t="shared" si="1"/>
        <v/>
      </c>
      <c r="F44" s="422">
        <f t="shared" si="2"/>
        <v>0</v>
      </c>
      <c r="G44" s="422" t="str">
        <f t="shared" si="3"/>
        <v/>
      </c>
    </row>
    <row r="45" spans="1:7" x14ac:dyDescent="0.2">
      <c r="A45" s="422">
        <f>Biodata!A47</f>
        <v>39</v>
      </c>
      <c r="B45" s="427" t="str">
        <f>Biodata!B47</f>
        <v>039</v>
      </c>
      <c r="C45" s="428" t="str">
        <f>Biodata!C47</f>
        <v>A39</v>
      </c>
      <c r="D45" s="422">
        <f t="shared" si="0"/>
        <v>0</v>
      </c>
      <c r="E45" s="422" t="str">
        <f t="shared" si="1"/>
        <v/>
      </c>
      <c r="F45" s="422">
        <f t="shared" si="2"/>
        <v>0</v>
      </c>
      <c r="G45" s="422" t="str">
        <f t="shared" si="3"/>
        <v/>
      </c>
    </row>
    <row r="46" spans="1:7" x14ac:dyDescent="0.2">
      <c r="A46" s="422">
        <f>Biodata!A48</f>
        <v>40</v>
      </c>
      <c r="B46" s="427" t="str">
        <f>Biodata!B48</f>
        <v>040</v>
      </c>
      <c r="C46" s="428" t="str">
        <f>Biodata!C48</f>
        <v>A40</v>
      </c>
      <c r="D46" s="422">
        <f t="shared" si="0"/>
        <v>0</v>
      </c>
      <c r="E46" s="422" t="str">
        <f t="shared" si="1"/>
        <v/>
      </c>
      <c r="F46" s="422">
        <f t="shared" si="2"/>
        <v>0</v>
      </c>
      <c r="G46" s="422" t="str">
        <f t="shared" si="3"/>
        <v/>
      </c>
    </row>
    <row r="47" spans="1:7" x14ac:dyDescent="0.2">
      <c r="C47" s="432"/>
    </row>
    <row r="48" spans="1:7" x14ac:dyDescent="0.2">
      <c r="C48" s="432"/>
    </row>
    <row r="49" spans="3:3" s="425" customFormat="1" x14ac:dyDescent="0.2">
      <c r="C49" s="432"/>
    </row>
    <row r="50" spans="3:3" s="425" customFormat="1" x14ac:dyDescent="0.2">
      <c r="C50" s="432"/>
    </row>
  </sheetData>
  <sheetProtection sheet="1" objects="1" scenarios="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activeCell="D30" sqref="D30"/>
    </sheetView>
  </sheetViews>
  <sheetFormatPr defaultRowHeight="11.25" x14ac:dyDescent="0.2"/>
  <cols>
    <col min="1" max="1" width="3.7109375" style="422" customWidth="1"/>
    <col min="2" max="2" width="7.140625" style="422" customWidth="1"/>
    <col min="3" max="3" width="21.7109375" style="425" customWidth="1"/>
    <col min="4" max="4" width="11.85546875" style="422" customWidth="1"/>
    <col min="5" max="5" width="8" style="422" customWidth="1"/>
    <col min="6" max="6" width="12" style="422" customWidth="1"/>
    <col min="7" max="7" width="8" style="422" customWidth="1"/>
    <col min="8" max="16384" width="9.140625" style="425"/>
  </cols>
  <sheetData>
    <row r="1" spans="1:7" x14ac:dyDescent="0.2">
      <c r="C1" s="423" t="s">
        <v>322</v>
      </c>
      <c r="D1" s="424" t="str">
        <f>Biodata!C4</f>
        <v xml:space="preserve"> X / IPS_5 </v>
      </c>
    </row>
    <row r="2" spans="1:7" x14ac:dyDescent="0.2">
      <c r="C2" s="423" t="s">
        <v>321</v>
      </c>
      <c r="D2" s="424" t="str">
        <f>Biodata!C5</f>
        <v>2 / Genap</v>
      </c>
    </row>
    <row r="3" spans="1:7" x14ac:dyDescent="0.2">
      <c r="D3" s="424"/>
    </row>
    <row r="4" spans="1:7" x14ac:dyDescent="0.2">
      <c r="C4" s="423" t="s">
        <v>320</v>
      </c>
      <c r="D4" s="424" t="str">
        <f>LEGER!P6</f>
        <v>G e o g r a f i</v>
      </c>
    </row>
    <row r="5" spans="1:7" x14ac:dyDescent="0.2">
      <c r="C5" s="423" t="s">
        <v>319</v>
      </c>
      <c r="D5" s="424">
        <f>RAPORT!C82</f>
        <v>70</v>
      </c>
    </row>
    <row r="6" spans="1:7" x14ac:dyDescent="0.2">
      <c r="A6" s="422" t="s">
        <v>323</v>
      </c>
      <c r="B6" s="422" t="s">
        <v>10</v>
      </c>
      <c r="C6" s="425" t="s">
        <v>324</v>
      </c>
      <c r="D6" s="422" t="s">
        <v>74</v>
      </c>
      <c r="E6" s="422" t="s">
        <v>72</v>
      </c>
      <c r="F6" s="422" t="s">
        <v>146</v>
      </c>
      <c r="G6" s="422" t="s">
        <v>72</v>
      </c>
    </row>
    <row r="7" spans="1:7" x14ac:dyDescent="0.2">
      <c r="A7" s="422">
        <f>Biodata!A9</f>
        <v>1</v>
      </c>
      <c r="B7" s="427" t="str">
        <f>Biodata!B9</f>
        <v>181910008</v>
      </c>
      <c r="C7" s="428" t="str">
        <f>Biodata!C9</f>
        <v>ADITA TRI KURNIA PUTRI</v>
      </c>
      <c r="D7" s="422">
        <f t="shared" ref="D7:D46" si="0">IFERROR(VLOOKUP(B7&amp;"A",leggerx1,13,0),"")</f>
        <v>0</v>
      </c>
      <c r="E7" s="422" t="str">
        <f t="shared" ref="E7:E46" si="1">IFERROR(VLOOKUP(B7&amp;"C",leggerx1,13,0),"")</f>
        <v/>
      </c>
      <c r="F7" s="422">
        <f t="shared" ref="F7:F46" si="2">IFERROR(VLOOKUP(B7&amp;"B",leggerx1,13,0),"")</f>
        <v>0</v>
      </c>
      <c r="G7" s="422" t="str">
        <f t="shared" ref="G7:G46" si="3">IFERROR(VLOOKUP(B7&amp;"D",leggerx1,13,0),"")</f>
        <v/>
      </c>
    </row>
    <row r="8" spans="1:7" x14ac:dyDescent="0.2">
      <c r="A8" s="422">
        <f>Biodata!A10</f>
        <v>2</v>
      </c>
      <c r="B8" s="427" t="str">
        <f>Biodata!B10</f>
        <v>181910011</v>
      </c>
      <c r="C8" s="428" t="str">
        <f>Biodata!C10</f>
        <v xml:space="preserve">ADNES KOMALA DEWI </v>
      </c>
      <c r="D8" s="422">
        <f t="shared" si="0"/>
        <v>35</v>
      </c>
      <c r="E8" s="422" t="str">
        <f t="shared" si="1"/>
        <v>D</v>
      </c>
      <c r="F8" s="422">
        <f t="shared" si="2"/>
        <v>0</v>
      </c>
      <c r="G8" s="422" t="str">
        <f t="shared" si="3"/>
        <v/>
      </c>
    </row>
    <row r="9" spans="1:7" x14ac:dyDescent="0.2">
      <c r="A9" s="422">
        <f>Biodata!A11</f>
        <v>3</v>
      </c>
      <c r="B9" s="427" t="str">
        <f>Biodata!B11</f>
        <v>181910014</v>
      </c>
      <c r="C9" s="428" t="str">
        <f>Biodata!C11</f>
        <v>AGUNG BUDI PRASTAWA</v>
      </c>
      <c r="D9" s="422">
        <f t="shared" si="0"/>
        <v>10</v>
      </c>
      <c r="E9" s="422" t="str">
        <f t="shared" si="1"/>
        <v>D</v>
      </c>
      <c r="F9" s="422">
        <f t="shared" si="2"/>
        <v>0</v>
      </c>
      <c r="G9" s="422" t="str">
        <f t="shared" si="3"/>
        <v/>
      </c>
    </row>
    <row r="10" spans="1:7" x14ac:dyDescent="0.2">
      <c r="A10" s="422">
        <f>Biodata!A12</f>
        <v>4</v>
      </c>
      <c r="B10" s="427" t="str">
        <f>Biodata!B12</f>
        <v>181910045</v>
      </c>
      <c r="C10" s="428" t="str">
        <f>Biodata!C12</f>
        <v>ARYA DYTA WIGUNA</v>
      </c>
      <c r="D10" s="422">
        <f t="shared" si="0"/>
        <v>40</v>
      </c>
      <c r="E10" s="422" t="str">
        <f t="shared" si="1"/>
        <v>D</v>
      </c>
      <c r="F10" s="422">
        <f t="shared" si="2"/>
        <v>0</v>
      </c>
      <c r="G10" s="422" t="str">
        <f t="shared" si="3"/>
        <v/>
      </c>
    </row>
    <row r="11" spans="1:7" x14ac:dyDescent="0.2">
      <c r="A11" s="422">
        <f>Biodata!A13</f>
        <v>5</v>
      </c>
      <c r="B11" s="427" t="str">
        <f>Biodata!B13</f>
        <v>181910054</v>
      </c>
      <c r="C11" s="428" t="str">
        <f>Biodata!C13</f>
        <v>AZRIEL TAMA SANTIAJI</v>
      </c>
      <c r="D11" s="422">
        <f t="shared" si="0"/>
        <v>10</v>
      </c>
      <c r="E11" s="422" t="str">
        <f t="shared" si="1"/>
        <v>D</v>
      </c>
      <c r="F11" s="422">
        <f t="shared" si="2"/>
        <v>0</v>
      </c>
      <c r="G11" s="422" t="str">
        <f t="shared" si="3"/>
        <v/>
      </c>
    </row>
    <row r="12" spans="1:7" x14ac:dyDescent="0.2">
      <c r="A12" s="422">
        <f>Biodata!A14</f>
        <v>6</v>
      </c>
      <c r="B12" s="427" t="str">
        <f>Biodata!B14</f>
        <v>181910055</v>
      </c>
      <c r="C12" s="428" t="str">
        <f>Biodata!C14</f>
        <v>AZZUHRI HAUDI</v>
      </c>
      <c r="D12" s="422">
        <f t="shared" si="0"/>
        <v>15</v>
      </c>
      <c r="E12" s="422" t="str">
        <f t="shared" si="1"/>
        <v>D</v>
      </c>
      <c r="F12" s="422">
        <f t="shared" si="2"/>
        <v>0</v>
      </c>
      <c r="G12" s="422" t="str">
        <f t="shared" si="3"/>
        <v/>
      </c>
    </row>
    <row r="13" spans="1:7" x14ac:dyDescent="0.2">
      <c r="A13" s="422">
        <f>Biodata!A15</f>
        <v>7</v>
      </c>
      <c r="B13" s="427" t="str">
        <f>Biodata!B15</f>
        <v>181910056</v>
      </c>
      <c r="C13" s="428" t="str">
        <f>Biodata!C15</f>
        <v>BAYU BATARA SURYA PUTRA</v>
      </c>
      <c r="D13" s="422">
        <f t="shared" si="0"/>
        <v>40</v>
      </c>
      <c r="E13" s="422" t="str">
        <f t="shared" si="1"/>
        <v>D</v>
      </c>
      <c r="F13" s="422">
        <f t="shared" si="2"/>
        <v>0</v>
      </c>
      <c r="G13" s="422" t="str">
        <f t="shared" si="3"/>
        <v/>
      </c>
    </row>
    <row r="14" spans="1:7" x14ac:dyDescent="0.2">
      <c r="A14" s="422">
        <f>Biodata!A16</f>
        <v>8</v>
      </c>
      <c r="B14" s="427" t="str">
        <f>Biodata!B16</f>
        <v>181910069</v>
      </c>
      <c r="C14" s="428" t="str">
        <f>Biodata!C16</f>
        <v>DANDY ERVAN PRATAMA</v>
      </c>
      <c r="D14" s="422">
        <f t="shared" si="0"/>
        <v>10</v>
      </c>
      <c r="E14" s="422" t="str">
        <f t="shared" si="1"/>
        <v>D</v>
      </c>
      <c r="F14" s="422">
        <f t="shared" si="2"/>
        <v>0</v>
      </c>
      <c r="G14" s="422" t="str">
        <f t="shared" si="3"/>
        <v/>
      </c>
    </row>
    <row r="15" spans="1:7" x14ac:dyDescent="0.2">
      <c r="A15" s="422">
        <f>Biodata!A17</f>
        <v>9</v>
      </c>
      <c r="B15" s="427" t="str">
        <f>Biodata!B17</f>
        <v>181910085</v>
      </c>
      <c r="C15" s="428" t="str">
        <f>Biodata!C17</f>
        <v>DENISA ASTI RAHMAWATI</v>
      </c>
      <c r="D15" s="422">
        <f t="shared" si="0"/>
        <v>10</v>
      </c>
      <c r="E15" s="422" t="str">
        <f t="shared" si="1"/>
        <v>D</v>
      </c>
      <c r="F15" s="422">
        <f t="shared" si="2"/>
        <v>0</v>
      </c>
      <c r="G15" s="422" t="str">
        <f t="shared" si="3"/>
        <v/>
      </c>
    </row>
    <row r="16" spans="1:7" x14ac:dyDescent="0.2">
      <c r="A16" s="422">
        <f>Biodata!A18</f>
        <v>10</v>
      </c>
      <c r="B16" s="427" t="str">
        <f>Biodata!B18</f>
        <v>181910093</v>
      </c>
      <c r="C16" s="428" t="str">
        <f>Biodata!C18</f>
        <v>DIAN RAMDHAN SAPTIAN</v>
      </c>
      <c r="D16" s="422">
        <f t="shared" si="0"/>
        <v>10</v>
      </c>
      <c r="E16" s="422" t="str">
        <f t="shared" si="1"/>
        <v>D</v>
      </c>
      <c r="F16" s="422">
        <f t="shared" si="2"/>
        <v>0</v>
      </c>
      <c r="G16" s="422" t="str">
        <f t="shared" si="3"/>
        <v/>
      </c>
    </row>
    <row r="17" spans="1:7" x14ac:dyDescent="0.2">
      <c r="A17" s="422">
        <f>Biodata!A19</f>
        <v>11</v>
      </c>
      <c r="B17" s="427" t="str">
        <f>Biodata!B19</f>
        <v>181910103</v>
      </c>
      <c r="C17" s="428" t="str">
        <f>Biodata!C19</f>
        <v>DIVYA ADHIANI NURDIN</v>
      </c>
      <c r="D17" s="422">
        <f t="shared" si="0"/>
        <v>72</v>
      </c>
      <c r="E17" s="422" t="str">
        <f t="shared" si="1"/>
        <v>C</v>
      </c>
      <c r="F17" s="422">
        <f t="shared" si="2"/>
        <v>70</v>
      </c>
      <c r="G17" s="422" t="str">
        <f t="shared" si="3"/>
        <v>C</v>
      </c>
    </row>
    <row r="18" spans="1:7" x14ac:dyDescent="0.2">
      <c r="A18" s="422">
        <f>Biodata!A20</f>
        <v>12</v>
      </c>
      <c r="B18" s="427" t="str">
        <f>Biodata!B20</f>
        <v>181910104</v>
      </c>
      <c r="C18" s="428" t="str">
        <f>Biodata!C20</f>
        <v>DWIKI DERMAWAN</v>
      </c>
      <c r="D18" s="422">
        <f t="shared" si="0"/>
        <v>10</v>
      </c>
      <c r="E18" s="422" t="str">
        <f t="shared" si="1"/>
        <v>D</v>
      </c>
      <c r="F18" s="422">
        <f t="shared" si="2"/>
        <v>0</v>
      </c>
      <c r="G18" s="422" t="str">
        <f t="shared" si="3"/>
        <v/>
      </c>
    </row>
    <row r="19" spans="1:7" x14ac:dyDescent="0.2">
      <c r="A19" s="422">
        <f>Biodata!A21</f>
        <v>13</v>
      </c>
      <c r="B19" s="427" t="str">
        <f>Biodata!B21</f>
        <v>181910118</v>
      </c>
      <c r="C19" s="428" t="str">
        <f>Biodata!C21</f>
        <v>ENCEP CANDRA</v>
      </c>
      <c r="D19" s="422">
        <f t="shared" si="0"/>
        <v>30</v>
      </c>
      <c r="E19" s="422" t="str">
        <f t="shared" si="1"/>
        <v>D</v>
      </c>
      <c r="F19" s="422">
        <f t="shared" si="2"/>
        <v>0</v>
      </c>
      <c r="G19" s="422" t="str">
        <f t="shared" si="3"/>
        <v/>
      </c>
    </row>
    <row r="20" spans="1:7" x14ac:dyDescent="0.2">
      <c r="A20" s="422">
        <f>Biodata!A22</f>
        <v>14</v>
      </c>
      <c r="B20" s="427" t="str">
        <f>Biodata!B22</f>
        <v>181910128</v>
      </c>
      <c r="C20" s="428" t="str">
        <f>Biodata!C22</f>
        <v>FAIZAL EGI</v>
      </c>
      <c r="D20" s="422">
        <f t="shared" si="0"/>
        <v>10</v>
      </c>
      <c r="E20" s="422" t="str">
        <f t="shared" si="1"/>
        <v>D</v>
      </c>
      <c r="F20" s="422">
        <f t="shared" si="2"/>
        <v>0</v>
      </c>
      <c r="G20" s="422" t="str">
        <f t="shared" si="3"/>
        <v/>
      </c>
    </row>
    <row r="21" spans="1:7" x14ac:dyDescent="0.2">
      <c r="A21" s="422">
        <f>Biodata!A23</f>
        <v>15</v>
      </c>
      <c r="B21" s="427" t="str">
        <f>Biodata!B23</f>
        <v>181910133</v>
      </c>
      <c r="C21" s="428" t="str">
        <f>Biodata!C23</f>
        <v>FAUZI DHALFADLIL AZHANI</v>
      </c>
      <c r="D21" s="422">
        <f t="shared" si="0"/>
        <v>10</v>
      </c>
      <c r="E21" s="422" t="str">
        <f t="shared" si="1"/>
        <v>D</v>
      </c>
      <c r="F21" s="422">
        <f t="shared" si="2"/>
        <v>70</v>
      </c>
      <c r="G21" s="422" t="str">
        <f t="shared" si="3"/>
        <v>C</v>
      </c>
    </row>
    <row r="22" spans="1:7" x14ac:dyDescent="0.2">
      <c r="A22" s="422">
        <f>Biodata!A24</f>
        <v>16</v>
      </c>
      <c r="B22" s="427" t="str">
        <f>Biodata!B24</f>
        <v>181910161</v>
      </c>
      <c r="C22" s="428" t="str">
        <f>Biodata!C24</f>
        <v>HILMAN PUTRA PAMUNGKAS</v>
      </c>
      <c r="D22" s="422">
        <f t="shared" si="0"/>
        <v>10</v>
      </c>
      <c r="E22" s="422" t="str">
        <f t="shared" si="1"/>
        <v>D</v>
      </c>
      <c r="F22" s="422">
        <f t="shared" si="2"/>
        <v>0</v>
      </c>
      <c r="G22" s="422" t="str">
        <f t="shared" si="3"/>
        <v/>
      </c>
    </row>
    <row r="23" spans="1:7" x14ac:dyDescent="0.2">
      <c r="A23" s="422">
        <f>Biodata!A25</f>
        <v>17</v>
      </c>
      <c r="B23" s="427" t="str">
        <f>Biodata!B25</f>
        <v>181910165</v>
      </c>
      <c r="C23" s="428" t="str">
        <f>Biodata!C25</f>
        <v>IHSYA FADILLAH MUSLIM</v>
      </c>
      <c r="D23" s="422">
        <f t="shared" si="0"/>
        <v>10</v>
      </c>
      <c r="E23" s="422" t="str">
        <f t="shared" si="1"/>
        <v>D</v>
      </c>
      <c r="F23" s="422">
        <f t="shared" si="2"/>
        <v>70</v>
      </c>
      <c r="G23" s="422" t="str">
        <f t="shared" si="3"/>
        <v>C</v>
      </c>
    </row>
    <row r="24" spans="1:7" x14ac:dyDescent="0.2">
      <c r="A24" s="422">
        <f>Biodata!A26</f>
        <v>18</v>
      </c>
      <c r="B24" s="427" t="str">
        <f>Biodata!B26</f>
        <v>181910185</v>
      </c>
      <c r="C24" s="428" t="str">
        <f>Biodata!C26</f>
        <v>JIHAD AKBAR</v>
      </c>
      <c r="D24" s="422">
        <f t="shared" si="0"/>
        <v>10</v>
      </c>
      <c r="E24" s="422" t="str">
        <f t="shared" si="1"/>
        <v>D</v>
      </c>
      <c r="F24" s="422">
        <f t="shared" si="2"/>
        <v>0</v>
      </c>
      <c r="G24" s="422" t="str">
        <f t="shared" si="3"/>
        <v/>
      </c>
    </row>
    <row r="25" spans="1:7" x14ac:dyDescent="0.2">
      <c r="A25" s="422">
        <f>Biodata!A27</f>
        <v>19</v>
      </c>
      <c r="B25" s="427" t="str">
        <f>Biodata!B27</f>
        <v>181910226</v>
      </c>
      <c r="C25" s="428" t="str">
        <f>Biodata!C27</f>
        <v>MUHAMAD IZZAZUL FIKRIAN</v>
      </c>
      <c r="D25" s="422">
        <f t="shared" si="0"/>
        <v>0</v>
      </c>
      <c r="E25" s="422" t="str">
        <f t="shared" si="1"/>
        <v/>
      </c>
      <c r="F25" s="422">
        <f t="shared" si="2"/>
        <v>0</v>
      </c>
      <c r="G25" s="422" t="str">
        <f t="shared" si="3"/>
        <v/>
      </c>
    </row>
    <row r="26" spans="1:7" x14ac:dyDescent="0.2">
      <c r="A26" s="422">
        <f>Biodata!A28</f>
        <v>20</v>
      </c>
      <c r="B26" s="427" t="str">
        <f>Biodata!B28</f>
        <v>181910433</v>
      </c>
      <c r="C26" s="428" t="str">
        <f>Biodata!C28</f>
        <v>MUHAMAD RIZAL</v>
      </c>
      <c r="D26" s="422">
        <f t="shared" si="0"/>
        <v>10</v>
      </c>
      <c r="E26" s="422" t="str">
        <f t="shared" si="1"/>
        <v>D</v>
      </c>
      <c r="F26" s="422">
        <f t="shared" si="2"/>
        <v>0</v>
      </c>
      <c r="G26" s="422" t="str">
        <f t="shared" si="3"/>
        <v/>
      </c>
    </row>
    <row r="27" spans="1:7" x14ac:dyDescent="0.2">
      <c r="A27" s="422">
        <f>Biodata!A29</f>
        <v>21</v>
      </c>
      <c r="B27" s="427" t="str">
        <f>Biodata!B29</f>
        <v>181910240</v>
      </c>
      <c r="C27" s="428" t="str">
        <f>Biodata!C29</f>
        <v>NESHA RAUDHATUL ZANNAH</v>
      </c>
      <c r="D27" s="422">
        <f t="shared" si="0"/>
        <v>72</v>
      </c>
      <c r="E27" s="422" t="str">
        <f t="shared" si="1"/>
        <v>C</v>
      </c>
      <c r="F27" s="422">
        <f t="shared" si="2"/>
        <v>70</v>
      </c>
      <c r="G27" s="422" t="str">
        <f t="shared" si="3"/>
        <v>C</v>
      </c>
    </row>
    <row r="28" spans="1:7" x14ac:dyDescent="0.2">
      <c r="A28" s="422">
        <f>Biodata!A30</f>
        <v>22</v>
      </c>
      <c r="B28" s="427" t="str">
        <f>Biodata!B30</f>
        <v>181910262</v>
      </c>
      <c r="C28" s="428" t="str">
        <f>Biodata!C30</f>
        <v>PUTRI ANGGRAENI</v>
      </c>
      <c r="D28" s="422">
        <f t="shared" si="0"/>
        <v>72</v>
      </c>
      <c r="E28" s="422" t="str">
        <f t="shared" si="1"/>
        <v>C</v>
      </c>
      <c r="F28" s="422">
        <f t="shared" si="2"/>
        <v>70</v>
      </c>
      <c r="G28" s="422" t="str">
        <f t="shared" si="3"/>
        <v>C</v>
      </c>
    </row>
    <row r="29" spans="1:7" x14ac:dyDescent="0.2">
      <c r="A29" s="422">
        <f>Biodata!A31</f>
        <v>23</v>
      </c>
      <c r="B29" s="427" t="str">
        <f>Biodata!B31</f>
        <v>181910266</v>
      </c>
      <c r="C29" s="428" t="str">
        <f>Biodata!C31</f>
        <v>PUTRI WULANDARI</v>
      </c>
      <c r="D29" s="422">
        <f t="shared" si="0"/>
        <v>74</v>
      </c>
      <c r="E29" s="422" t="str">
        <f t="shared" si="1"/>
        <v>C</v>
      </c>
      <c r="F29" s="422">
        <f t="shared" si="2"/>
        <v>70</v>
      </c>
      <c r="G29" s="422" t="str">
        <f t="shared" si="3"/>
        <v>C</v>
      </c>
    </row>
    <row r="30" spans="1:7" x14ac:dyDescent="0.2">
      <c r="A30" s="422">
        <f>Biodata!A32</f>
        <v>24</v>
      </c>
      <c r="B30" s="427" t="str">
        <f>Biodata!B32</f>
        <v>181910272</v>
      </c>
      <c r="C30" s="428" t="str">
        <f>Biodata!C32</f>
        <v>RAFLY GYMNASTIAR</v>
      </c>
      <c r="D30" s="422">
        <f t="shared" si="0"/>
        <v>5</v>
      </c>
      <c r="E30" s="422" t="str">
        <f t="shared" si="1"/>
        <v/>
      </c>
      <c r="F30" s="422">
        <f t="shared" si="2"/>
        <v>0</v>
      </c>
      <c r="G30" s="422" t="str">
        <f t="shared" si="3"/>
        <v/>
      </c>
    </row>
    <row r="31" spans="1:7" x14ac:dyDescent="0.2">
      <c r="A31" s="422">
        <f>Biodata!A33</f>
        <v>25</v>
      </c>
      <c r="B31" s="427" t="str">
        <f>Biodata!B33</f>
        <v>181910280</v>
      </c>
      <c r="C31" s="428" t="str">
        <f>Biodata!C33</f>
        <v>REFIANA</v>
      </c>
      <c r="D31" s="422">
        <f t="shared" si="0"/>
        <v>50</v>
      </c>
      <c r="E31" s="422" t="str">
        <f t="shared" si="1"/>
        <v>D</v>
      </c>
      <c r="F31" s="422">
        <f t="shared" si="2"/>
        <v>0</v>
      </c>
      <c r="G31" s="422" t="str">
        <f t="shared" si="3"/>
        <v/>
      </c>
    </row>
    <row r="32" spans="1:7" x14ac:dyDescent="0.2">
      <c r="A32" s="422">
        <f>Biodata!A34</f>
        <v>26</v>
      </c>
      <c r="B32" s="427" t="str">
        <f>Biodata!B34</f>
        <v>181910285</v>
      </c>
      <c r="C32" s="428" t="str">
        <f>Biodata!C34</f>
        <v>RENALDI PRIYATAMA</v>
      </c>
      <c r="D32" s="422">
        <f t="shared" si="0"/>
        <v>10</v>
      </c>
      <c r="E32" s="422" t="str">
        <f t="shared" si="1"/>
        <v>D</v>
      </c>
      <c r="F32" s="422">
        <f t="shared" si="2"/>
        <v>0</v>
      </c>
      <c r="G32" s="422" t="str">
        <f t="shared" si="3"/>
        <v/>
      </c>
    </row>
    <row r="33" spans="1:7" x14ac:dyDescent="0.2">
      <c r="A33" s="422">
        <f>Biodata!A35</f>
        <v>27</v>
      </c>
      <c r="B33" s="427" t="str">
        <f>Biodata!B35</f>
        <v>181910286</v>
      </c>
      <c r="C33" s="428" t="str">
        <f>Biodata!C35</f>
        <v>RENATA</v>
      </c>
      <c r="D33" s="422">
        <f t="shared" si="0"/>
        <v>71</v>
      </c>
      <c r="E33" s="422" t="str">
        <f t="shared" si="1"/>
        <v>C</v>
      </c>
      <c r="F33" s="422">
        <f t="shared" si="2"/>
        <v>70</v>
      </c>
      <c r="G33" s="422" t="str">
        <f t="shared" si="3"/>
        <v>C</v>
      </c>
    </row>
    <row r="34" spans="1:7" x14ac:dyDescent="0.2">
      <c r="A34" s="422">
        <f>Biodata!A36</f>
        <v>28</v>
      </c>
      <c r="B34" s="427" t="str">
        <f>Biodata!B36</f>
        <v>181910293</v>
      </c>
      <c r="C34" s="428" t="str">
        <f>Biodata!C36</f>
        <v xml:space="preserve">REZA ERNANDA </v>
      </c>
      <c r="D34" s="422">
        <f t="shared" si="0"/>
        <v>72</v>
      </c>
      <c r="E34" s="422" t="str">
        <f t="shared" si="1"/>
        <v>C</v>
      </c>
      <c r="F34" s="422">
        <f t="shared" si="2"/>
        <v>70</v>
      </c>
      <c r="G34" s="422" t="str">
        <f t="shared" si="3"/>
        <v>C</v>
      </c>
    </row>
    <row r="35" spans="1:7" x14ac:dyDescent="0.2">
      <c r="A35" s="422">
        <f>Biodata!A37</f>
        <v>29</v>
      </c>
      <c r="B35" s="427" t="str">
        <f>Biodata!B37</f>
        <v>181910300</v>
      </c>
      <c r="C35" s="428" t="str">
        <f>Biodata!C37</f>
        <v>RIFAN MUHAMAD RIZKI</v>
      </c>
      <c r="D35" s="422">
        <f t="shared" si="0"/>
        <v>0</v>
      </c>
      <c r="E35" s="422" t="str">
        <f t="shared" si="1"/>
        <v/>
      </c>
      <c r="F35" s="422">
        <f t="shared" si="2"/>
        <v>0</v>
      </c>
      <c r="G35" s="422" t="str">
        <f t="shared" si="3"/>
        <v/>
      </c>
    </row>
    <row r="36" spans="1:7" x14ac:dyDescent="0.2">
      <c r="A36" s="422">
        <f>Biodata!A38</f>
        <v>30</v>
      </c>
      <c r="B36" s="427" t="str">
        <f>Biodata!B38</f>
        <v>181910318</v>
      </c>
      <c r="C36" s="428" t="str">
        <f>Biodata!C38</f>
        <v>RISMA SURYANI</v>
      </c>
      <c r="D36" s="422">
        <f t="shared" si="0"/>
        <v>82</v>
      </c>
      <c r="E36" s="422" t="str">
        <f t="shared" si="1"/>
        <v>B</v>
      </c>
      <c r="F36" s="422">
        <f t="shared" si="2"/>
        <v>70</v>
      </c>
      <c r="G36" s="422" t="str">
        <f t="shared" si="3"/>
        <v>C</v>
      </c>
    </row>
    <row r="37" spans="1:7" x14ac:dyDescent="0.2">
      <c r="A37" s="422">
        <f>Biodata!A39</f>
        <v>31</v>
      </c>
      <c r="B37" s="427" t="str">
        <f>Biodata!B39</f>
        <v>181910320</v>
      </c>
      <c r="C37" s="428" t="str">
        <f>Biodata!C39</f>
        <v>RISNA TIRANI</v>
      </c>
      <c r="D37" s="422">
        <f t="shared" si="0"/>
        <v>74</v>
      </c>
      <c r="E37" s="422" t="str">
        <f t="shared" si="1"/>
        <v>C</v>
      </c>
      <c r="F37" s="422">
        <f t="shared" si="2"/>
        <v>70</v>
      </c>
      <c r="G37" s="422" t="str">
        <f t="shared" si="3"/>
        <v>C</v>
      </c>
    </row>
    <row r="38" spans="1:7" x14ac:dyDescent="0.2">
      <c r="A38" s="422">
        <f>Biodata!A40</f>
        <v>32</v>
      </c>
      <c r="B38" s="427" t="str">
        <f>Biodata!B40</f>
        <v>181910331</v>
      </c>
      <c r="C38" s="428" t="str">
        <f>Biodata!C40</f>
        <v>RULLY PRATAMA S.</v>
      </c>
      <c r="D38" s="422">
        <f t="shared" si="0"/>
        <v>10</v>
      </c>
      <c r="E38" s="422" t="str">
        <f t="shared" si="1"/>
        <v>D</v>
      </c>
      <c r="F38" s="422">
        <f t="shared" si="2"/>
        <v>0</v>
      </c>
      <c r="G38" s="422" t="str">
        <f t="shared" si="3"/>
        <v/>
      </c>
    </row>
    <row r="39" spans="1:7" x14ac:dyDescent="0.2">
      <c r="A39" s="422">
        <f>Biodata!A41</f>
        <v>33</v>
      </c>
      <c r="B39" s="427" t="str">
        <f>Biodata!B41</f>
        <v>181910335</v>
      </c>
      <c r="C39" s="428" t="str">
        <f>Biodata!C41</f>
        <v>SALSA ASYKIYA</v>
      </c>
      <c r="D39" s="422">
        <f t="shared" si="0"/>
        <v>85</v>
      </c>
      <c r="E39" s="422" t="str">
        <f t="shared" si="1"/>
        <v>B</v>
      </c>
      <c r="F39" s="422">
        <f t="shared" si="2"/>
        <v>70</v>
      </c>
      <c r="G39" s="422" t="str">
        <f t="shared" si="3"/>
        <v>C</v>
      </c>
    </row>
    <row r="40" spans="1:7" x14ac:dyDescent="0.2">
      <c r="A40" s="422">
        <f>Biodata!A42</f>
        <v>34</v>
      </c>
      <c r="B40" s="427" t="str">
        <f>Biodata!B42</f>
        <v>181910353</v>
      </c>
      <c r="C40" s="428" t="str">
        <f>Biodata!C42</f>
        <v>SILFI HAMIDAH</v>
      </c>
      <c r="D40" s="422">
        <f t="shared" si="0"/>
        <v>73</v>
      </c>
      <c r="E40" s="422" t="str">
        <f t="shared" si="1"/>
        <v>C</v>
      </c>
      <c r="F40" s="422">
        <f t="shared" si="2"/>
        <v>70</v>
      </c>
      <c r="G40" s="422" t="str">
        <f t="shared" si="3"/>
        <v>C</v>
      </c>
    </row>
    <row r="41" spans="1:7" x14ac:dyDescent="0.2">
      <c r="A41" s="422">
        <f>Biodata!A43</f>
        <v>35</v>
      </c>
      <c r="B41" s="427" t="str">
        <f>Biodata!B43</f>
        <v>181910408</v>
      </c>
      <c r="C41" s="428" t="str">
        <f>Biodata!C43</f>
        <v>YESHA RAHAYU</v>
      </c>
      <c r="D41" s="422">
        <f t="shared" si="0"/>
        <v>0</v>
      </c>
      <c r="E41" s="422" t="str">
        <f t="shared" si="1"/>
        <v/>
      </c>
      <c r="F41" s="422">
        <f t="shared" si="2"/>
        <v>0</v>
      </c>
      <c r="G41" s="422" t="str">
        <f t="shared" si="3"/>
        <v/>
      </c>
    </row>
    <row r="42" spans="1:7" x14ac:dyDescent="0.2">
      <c r="A42" s="422">
        <f>Biodata!A44</f>
        <v>36</v>
      </c>
      <c r="B42" s="427" t="str">
        <f>Biodata!B44</f>
        <v>036</v>
      </c>
      <c r="C42" s="428" t="str">
        <f>Biodata!C44</f>
        <v>A36</v>
      </c>
      <c r="D42" s="422">
        <f t="shared" si="0"/>
        <v>0</v>
      </c>
      <c r="E42" s="422" t="str">
        <f t="shared" si="1"/>
        <v/>
      </c>
      <c r="F42" s="422">
        <f t="shared" si="2"/>
        <v>0</v>
      </c>
      <c r="G42" s="422" t="str">
        <f t="shared" si="3"/>
        <v/>
      </c>
    </row>
    <row r="43" spans="1:7" x14ac:dyDescent="0.2">
      <c r="A43" s="422">
        <f>Biodata!A45</f>
        <v>37</v>
      </c>
      <c r="B43" s="427" t="str">
        <f>Biodata!B45</f>
        <v>037</v>
      </c>
      <c r="C43" s="428" t="str">
        <f>Biodata!C45</f>
        <v>A37</v>
      </c>
      <c r="D43" s="422">
        <f t="shared" si="0"/>
        <v>0</v>
      </c>
      <c r="E43" s="422" t="str">
        <f t="shared" si="1"/>
        <v/>
      </c>
      <c r="F43" s="422">
        <f t="shared" si="2"/>
        <v>0</v>
      </c>
      <c r="G43" s="422" t="str">
        <f t="shared" si="3"/>
        <v/>
      </c>
    </row>
    <row r="44" spans="1:7" x14ac:dyDescent="0.2">
      <c r="A44" s="422">
        <f>Biodata!A46</f>
        <v>38</v>
      </c>
      <c r="B44" s="427" t="str">
        <f>Biodata!B46</f>
        <v>038</v>
      </c>
      <c r="C44" s="428" t="str">
        <f>Biodata!C46</f>
        <v>A38</v>
      </c>
      <c r="D44" s="422">
        <f t="shared" si="0"/>
        <v>0</v>
      </c>
      <c r="E44" s="422" t="str">
        <f t="shared" si="1"/>
        <v/>
      </c>
      <c r="F44" s="422">
        <f t="shared" si="2"/>
        <v>0</v>
      </c>
      <c r="G44" s="422" t="str">
        <f t="shared" si="3"/>
        <v/>
      </c>
    </row>
    <row r="45" spans="1:7" x14ac:dyDescent="0.2">
      <c r="A45" s="422">
        <f>Biodata!A47</f>
        <v>39</v>
      </c>
      <c r="B45" s="427" t="str">
        <f>Biodata!B47</f>
        <v>039</v>
      </c>
      <c r="C45" s="428" t="str">
        <f>Biodata!C47</f>
        <v>A39</v>
      </c>
      <c r="D45" s="422">
        <f t="shared" si="0"/>
        <v>0</v>
      </c>
      <c r="E45" s="422" t="str">
        <f t="shared" si="1"/>
        <v/>
      </c>
      <c r="F45" s="422">
        <f t="shared" si="2"/>
        <v>0</v>
      </c>
      <c r="G45" s="422" t="str">
        <f t="shared" si="3"/>
        <v/>
      </c>
    </row>
    <row r="46" spans="1:7" x14ac:dyDescent="0.2">
      <c r="A46" s="422">
        <f>Biodata!A48</f>
        <v>40</v>
      </c>
      <c r="B46" s="427" t="str">
        <f>Biodata!B48</f>
        <v>040</v>
      </c>
      <c r="C46" s="428" t="str">
        <f>Biodata!C48</f>
        <v>A40</v>
      </c>
      <c r="D46" s="422">
        <f t="shared" si="0"/>
        <v>0</v>
      </c>
      <c r="E46" s="422" t="str">
        <f t="shared" si="1"/>
        <v/>
      </c>
      <c r="F46" s="422">
        <f t="shared" si="2"/>
        <v>0</v>
      </c>
      <c r="G46" s="422" t="str">
        <f t="shared" si="3"/>
        <v/>
      </c>
    </row>
    <row r="47" spans="1:7" x14ac:dyDescent="0.2">
      <c r="C47" s="432"/>
    </row>
    <row r="48" spans="1:7" x14ac:dyDescent="0.2">
      <c r="C48" s="432"/>
    </row>
    <row r="49" spans="3:3" s="425" customFormat="1" x14ac:dyDescent="0.2">
      <c r="C49" s="432"/>
    </row>
    <row r="50" spans="3:3" s="425" customFormat="1" x14ac:dyDescent="0.2">
      <c r="C50" s="432"/>
    </row>
  </sheetData>
  <sheetProtection sheet="1" objects="1" scenarios="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activeCell="D5" sqref="D5"/>
    </sheetView>
  </sheetViews>
  <sheetFormatPr defaultRowHeight="11.25" x14ac:dyDescent="0.2"/>
  <cols>
    <col min="1" max="1" width="3.7109375" style="422" customWidth="1"/>
    <col min="2" max="2" width="7.140625" style="422" customWidth="1"/>
    <col min="3" max="3" width="21.7109375" style="425" customWidth="1"/>
    <col min="4" max="4" width="11.85546875" style="422" customWidth="1"/>
    <col min="5" max="5" width="8" style="422" customWidth="1"/>
    <col min="6" max="6" width="12" style="422" customWidth="1"/>
    <col min="7" max="7" width="8" style="422" customWidth="1"/>
    <col min="8" max="16384" width="9.140625" style="425"/>
  </cols>
  <sheetData>
    <row r="1" spans="1:7" x14ac:dyDescent="0.2">
      <c r="C1" s="423" t="s">
        <v>322</v>
      </c>
      <c r="D1" s="424" t="str">
        <f>Biodata!C4</f>
        <v xml:space="preserve"> X / IPS_5 </v>
      </c>
    </row>
    <row r="2" spans="1:7" x14ac:dyDescent="0.2">
      <c r="C2" s="423" t="s">
        <v>321</v>
      </c>
      <c r="D2" s="424" t="str">
        <f>Biodata!C5</f>
        <v>2 / Genap</v>
      </c>
    </row>
    <row r="3" spans="1:7" x14ac:dyDescent="0.2">
      <c r="D3" s="424"/>
    </row>
    <row r="4" spans="1:7" x14ac:dyDescent="0.2">
      <c r="C4" s="423" t="s">
        <v>320</v>
      </c>
      <c r="D4" s="424" t="str">
        <f>LEGER!Q6</f>
        <v>S e j a r a h</v>
      </c>
    </row>
    <row r="5" spans="1:7" x14ac:dyDescent="0.2">
      <c r="C5" s="423" t="s">
        <v>319</v>
      </c>
      <c r="D5" s="424">
        <f>RAPORT!C82</f>
        <v>70</v>
      </c>
    </row>
    <row r="6" spans="1:7" x14ac:dyDescent="0.2">
      <c r="A6" s="422" t="s">
        <v>323</v>
      </c>
      <c r="B6" s="422" t="s">
        <v>10</v>
      </c>
      <c r="C6" s="425" t="s">
        <v>324</v>
      </c>
      <c r="D6" s="422" t="s">
        <v>74</v>
      </c>
      <c r="E6" s="422" t="s">
        <v>72</v>
      </c>
      <c r="F6" s="422" t="s">
        <v>146</v>
      </c>
      <c r="G6" s="422" t="s">
        <v>72</v>
      </c>
    </row>
    <row r="7" spans="1:7" x14ac:dyDescent="0.2">
      <c r="A7" s="422">
        <f>Biodata!A9</f>
        <v>1</v>
      </c>
      <c r="B7" s="427" t="str">
        <f>Biodata!B9</f>
        <v>181910008</v>
      </c>
      <c r="C7" s="428" t="str">
        <f>Biodata!C9</f>
        <v>ADITA TRI KURNIA PUTRI</v>
      </c>
      <c r="D7" s="422">
        <f t="shared" ref="D7:D46" si="0">IFERROR(VLOOKUP(B7&amp;"A",leggerx1,14,0),"")</f>
        <v>0</v>
      </c>
      <c r="E7" s="422" t="str">
        <f t="shared" ref="E7:E46" si="1">IFERROR(VLOOKUP(B7&amp;"C",leggerx1,14,0),"")</f>
        <v/>
      </c>
      <c r="F7" s="422">
        <f t="shared" ref="F7:F46" si="2">IFERROR(VLOOKUP(B7&amp;"B",leggerx1,14,0),"")</f>
        <v>0</v>
      </c>
      <c r="G7" s="422" t="str">
        <f t="shared" ref="G7:G46" si="3">IFERROR(VLOOKUP(B7&amp;"D",leggerx1,14,0),"")</f>
        <v/>
      </c>
    </row>
    <row r="8" spans="1:7" x14ac:dyDescent="0.2">
      <c r="A8" s="422">
        <f>Biodata!A10</f>
        <v>2</v>
      </c>
      <c r="B8" s="427" t="str">
        <f>Biodata!B10</f>
        <v>181910011</v>
      </c>
      <c r="C8" s="428" t="str">
        <f>Biodata!C10</f>
        <v xml:space="preserve">ADNES KOMALA DEWI </v>
      </c>
      <c r="D8" s="422">
        <f t="shared" si="0"/>
        <v>79</v>
      </c>
      <c r="E8" s="422" t="str">
        <f t="shared" si="1"/>
        <v>C</v>
      </c>
      <c r="F8" s="422">
        <f t="shared" si="2"/>
        <v>79</v>
      </c>
      <c r="G8" s="422" t="str">
        <f t="shared" si="3"/>
        <v>C</v>
      </c>
    </row>
    <row r="9" spans="1:7" x14ac:dyDescent="0.2">
      <c r="A9" s="422">
        <f>Biodata!A11</f>
        <v>3</v>
      </c>
      <c r="B9" s="427" t="str">
        <f>Biodata!B11</f>
        <v>181910014</v>
      </c>
      <c r="C9" s="428" t="str">
        <f>Biodata!C11</f>
        <v>AGUNG BUDI PRASTAWA</v>
      </c>
      <c r="D9" s="422">
        <f t="shared" si="0"/>
        <v>58</v>
      </c>
      <c r="E9" s="422" t="str">
        <f t="shared" si="1"/>
        <v>D</v>
      </c>
      <c r="F9" s="422">
        <f t="shared" si="2"/>
        <v>60</v>
      </c>
      <c r="G9" s="422" t="str">
        <f t="shared" si="3"/>
        <v>D</v>
      </c>
    </row>
    <row r="10" spans="1:7" x14ac:dyDescent="0.2">
      <c r="A10" s="422">
        <f>Biodata!A12</f>
        <v>4</v>
      </c>
      <c r="B10" s="427" t="str">
        <f>Biodata!B12</f>
        <v>181910045</v>
      </c>
      <c r="C10" s="428" t="str">
        <f>Biodata!C12</f>
        <v>ARYA DYTA WIGUNA</v>
      </c>
      <c r="D10" s="422">
        <f t="shared" si="0"/>
        <v>84</v>
      </c>
      <c r="E10" s="422" t="str">
        <f t="shared" si="1"/>
        <v>B</v>
      </c>
      <c r="F10" s="422">
        <f t="shared" si="2"/>
        <v>85</v>
      </c>
      <c r="G10" s="422" t="str">
        <f t="shared" si="3"/>
        <v>B</v>
      </c>
    </row>
    <row r="11" spans="1:7" x14ac:dyDescent="0.2">
      <c r="A11" s="422">
        <f>Biodata!A13</f>
        <v>5</v>
      </c>
      <c r="B11" s="427" t="str">
        <f>Biodata!B13</f>
        <v>181910054</v>
      </c>
      <c r="C11" s="428" t="str">
        <f>Biodata!C13</f>
        <v>AZRIEL TAMA SANTIAJI</v>
      </c>
      <c r="D11" s="422">
        <f t="shared" si="0"/>
        <v>55</v>
      </c>
      <c r="E11" s="422" t="str">
        <f t="shared" si="1"/>
        <v>D</v>
      </c>
      <c r="F11" s="422">
        <f t="shared" si="2"/>
        <v>60</v>
      </c>
      <c r="G11" s="422" t="str">
        <f t="shared" si="3"/>
        <v>D</v>
      </c>
    </row>
    <row r="12" spans="1:7" x14ac:dyDescent="0.2">
      <c r="A12" s="422">
        <f>Biodata!A14</f>
        <v>6</v>
      </c>
      <c r="B12" s="427" t="str">
        <f>Biodata!B14</f>
        <v>181910055</v>
      </c>
      <c r="C12" s="428" t="str">
        <f>Biodata!C14</f>
        <v>AZZUHRI HAUDI</v>
      </c>
      <c r="D12" s="422">
        <f t="shared" si="0"/>
        <v>77</v>
      </c>
      <c r="E12" s="422" t="str">
        <f t="shared" si="1"/>
        <v>C</v>
      </c>
      <c r="F12" s="422">
        <f t="shared" si="2"/>
        <v>74</v>
      </c>
      <c r="G12" s="422" t="str">
        <f t="shared" si="3"/>
        <v>C</v>
      </c>
    </row>
    <row r="13" spans="1:7" x14ac:dyDescent="0.2">
      <c r="A13" s="422">
        <f>Biodata!A15</f>
        <v>7</v>
      </c>
      <c r="B13" s="427" t="str">
        <f>Biodata!B15</f>
        <v>181910056</v>
      </c>
      <c r="C13" s="428" t="str">
        <f>Biodata!C15</f>
        <v>BAYU BATARA SURYA PUTRA</v>
      </c>
      <c r="D13" s="422">
        <f t="shared" si="0"/>
        <v>77</v>
      </c>
      <c r="E13" s="422" t="str">
        <f t="shared" si="1"/>
        <v>C</v>
      </c>
      <c r="F13" s="422">
        <f t="shared" si="2"/>
        <v>74</v>
      </c>
      <c r="G13" s="422" t="str">
        <f t="shared" si="3"/>
        <v>C</v>
      </c>
    </row>
    <row r="14" spans="1:7" x14ac:dyDescent="0.2">
      <c r="A14" s="422">
        <f>Biodata!A16</f>
        <v>8</v>
      </c>
      <c r="B14" s="427" t="str">
        <f>Biodata!B16</f>
        <v>181910069</v>
      </c>
      <c r="C14" s="428" t="str">
        <f>Biodata!C16</f>
        <v>DANDY ERVAN PRATAMA</v>
      </c>
      <c r="D14" s="422">
        <f t="shared" si="0"/>
        <v>60</v>
      </c>
      <c r="E14" s="422" t="str">
        <f t="shared" si="1"/>
        <v>D</v>
      </c>
      <c r="F14" s="422">
        <f t="shared" si="2"/>
        <v>60</v>
      </c>
      <c r="G14" s="422" t="str">
        <f t="shared" si="3"/>
        <v>D</v>
      </c>
    </row>
    <row r="15" spans="1:7" x14ac:dyDescent="0.2">
      <c r="A15" s="422">
        <f>Biodata!A17</f>
        <v>9</v>
      </c>
      <c r="B15" s="427" t="str">
        <f>Biodata!B17</f>
        <v>181910085</v>
      </c>
      <c r="C15" s="428" t="str">
        <f>Biodata!C17</f>
        <v>DENISA ASTI RAHMAWATI</v>
      </c>
      <c r="D15" s="422">
        <f t="shared" si="0"/>
        <v>78</v>
      </c>
      <c r="E15" s="422" t="str">
        <f t="shared" si="1"/>
        <v>C</v>
      </c>
      <c r="F15" s="422">
        <f t="shared" si="2"/>
        <v>79</v>
      </c>
      <c r="G15" s="422" t="str">
        <f t="shared" si="3"/>
        <v>C</v>
      </c>
    </row>
    <row r="16" spans="1:7" x14ac:dyDescent="0.2">
      <c r="A16" s="422">
        <f>Biodata!A18</f>
        <v>10</v>
      </c>
      <c r="B16" s="427" t="str">
        <f>Biodata!B18</f>
        <v>181910093</v>
      </c>
      <c r="C16" s="428" t="str">
        <f>Biodata!C18</f>
        <v>DIAN RAMDHAN SAPTIAN</v>
      </c>
      <c r="D16" s="422">
        <f t="shared" si="0"/>
        <v>77</v>
      </c>
      <c r="E16" s="422" t="str">
        <f t="shared" si="1"/>
        <v>C</v>
      </c>
      <c r="F16" s="422">
        <f t="shared" si="2"/>
        <v>79</v>
      </c>
      <c r="G16" s="422" t="str">
        <f t="shared" si="3"/>
        <v>C</v>
      </c>
    </row>
    <row r="17" spans="1:7" x14ac:dyDescent="0.2">
      <c r="A17" s="422">
        <f>Biodata!A19</f>
        <v>11</v>
      </c>
      <c r="B17" s="427" t="str">
        <f>Biodata!B19</f>
        <v>181910103</v>
      </c>
      <c r="C17" s="428" t="str">
        <f>Biodata!C19</f>
        <v>DIVYA ADHIANI NURDIN</v>
      </c>
      <c r="D17" s="422">
        <f t="shared" si="0"/>
        <v>85</v>
      </c>
      <c r="E17" s="422" t="str">
        <f t="shared" si="1"/>
        <v>B</v>
      </c>
      <c r="F17" s="422">
        <f t="shared" si="2"/>
        <v>86</v>
      </c>
      <c r="G17" s="422" t="str">
        <f t="shared" si="3"/>
        <v>B</v>
      </c>
    </row>
    <row r="18" spans="1:7" x14ac:dyDescent="0.2">
      <c r="A18" s="422">
        <f>Biodata!A20</f>
        <v>12</v>
      </c>
      <c r="B18" s="427" t="str">
        <f>Biodata!B20</f>
        <v>181910104</v>
      </c>
      <c r="C18" s="428" t="str">
        <f>Biodata!C20</f>
        <v>DWIKI DERMAWAN</v>
      </c>
      <c r="D18" s="422">
        <f t="shared" si="0"/>
        <v>75</v>
      </c>
      <c r="E18" s="422" t="str">
        <f t="shared" si="1"/>
        <v>C</v>
      </c>
      <c r="F18" s="422">
        <f t="shared" si="2"/>
        <v>79</v>
      </c>
      <c r="G18" s="422" t="str">
        <f t="shared" si="3"/>
        <v>C</v>
      </c>
    </row>
    <row r="19" spans="1:7" x14ac:dyDescent="0.2">
      <c r="A19" s="422">
        <f>Biodata!A21</f>
        <v>13</v>
      </c>
      <c r="B19" s="427" t="str">
        <f>Biodata!B21</f>
        <v>181910118</v>
      </c>
      <c r="C19" s="428" t="str">
        <f>Biodata!C21</f>
        <v>ENCEP CANDRA</v>
      </c>
      <c r="D19" s="422">
        <f t="shared" si="0"/>
        <v>79</v>
      </c>
      <c r="E19" s="422" t="str">
        <f t="shared" si="1"/>
        <v>C</v>
      </c>
      <c r="F19" s="422">
        <f t="shared" si="2"/>
        <v>80</v>
      </c>
      <c r="G19" s="422" t="str">
        <f t="shared" si="3"/>
        <v>B</v>
      </c>
    </row>
    <row r="20" spans="1:7" x14ac:dyDescent="0.2">
      <c r="A20" s="422">
        <f>Biodata!A22</f>
        <v>14</v>
      </c>
      <c r="B20" s="427" t="str">
        <f>Biodata!B22</f>
        <v>181910128</v>
      </c>
      <c r="C20" s="428" t="str">
        <f>Biodata!C22</f>
        <v>FAIZAL EGI</v>
      </c>
      <c r="D20" s="422">
        <f t="shared" si="0"/>
        <v>74</v>
      </c>
      <c r="E20" s="422" t="str">
        <f t="shared" si="1"/>
        <v>C</v>
      </c>
      <c r="F20" s="422">
        <f t="shared" si="2"/>
        <v>78</v>
      </c>
      <c r="G20" s="422" t="str">
        <f t="shared" si="3"/>
        <v>C</v>
      </c>
    </row>
    <row r="21" spans="1:7" x14ac:dyDescent="0.2">
      <c r="A21" s="422">
        <f>Biodata!A23</f>
        <v>15</v>
      </c>
      <c r="B21" s="427" t="str">
        <f>Biodata!B23</f>
        <v>181910133</v>
      </c>
      <c r="C21" s="428" t="str">
        <f>Biodata!C23</f>
        <v>FAUZI DHALFADLIL AZHANI</v>
      </c>
      <c r="D21" s="422">
        <f t="shared" si="0"/>
        <v>74</v>
      </c>
      <c r="E21" s="422" t="str">
        <f t="shared" si="1"/>
        <v>C</v>
      </c>
      <c r="F21" s="422">
        <f t="shared" si="2"/>
        <v>79</v>
      </c>
      <c r="G21" s="422" t="str">
        <f t="shared" si="3"/>
        <v>C</v>
      </c>
    </row>
    <row r="22" spans="1:7" x14ac:dyDescent="0.2">
      <c r="A22" s="422">
        <f>Biodata!A24</f>
        <v>16</v>
      </c>
      <c r="B22" s="427" t="str">
        <f>Biodata!B24</f>
        <v>181910161</v>
      </c>
      <c r="C22" s="428" t="str">
        <f>Biodata!C24</f>
        <v>HILMAN PUTRA PAMUNGKAS</v>
      </c>
      <c r="D22" s="422">
        <f t="shared" si="0"/>
        <v>76</v>
      </c>
      <c r="E22" s="422" t="str">
        <f t="shared" si="1"/>
        <v>C</v>
      </c>
      <c r="F22" s="422">
        <f t="shared" si="2"/>
        <v>79</v>
      </c>
      <c r="G22" s="422" t="str">
        <f t="shared" si="3"/>
        <v>C</v>
      </c>
    </row>
    <row r="23" spans="1:7" x14ac:dyDescent="0.2">
      <c r="A23" s="422">
        <f>Biodata!A25</f>
        <v>17</v>
      </c>
      <c r="B23" s="427" t="str">
        <f>Biodata!B25</f>
        <v>181910165</v>
      </c>
      <c r="C23" s="428" t="str">
        <f>Biodata!C25</f>
        <v>IHSYA FADILLAH MUSLIM</v>
      </c>
      <c r="D23" s="422">
        <f t="shared" si="0"/>
        <v>76</v>
      </c>
      <c r="E23" s="422" t="str">
        <f t="shared" si="1"/>
        <v>C</v>
      </c>
      <c r="F23" s="422">
        <f t="shared" si="2"/>
        <v>79</v>
      </c>
      <c r="G23" s="422" t="str">
        <f t="shared" si="3"/>
        <v>C</v>
      </c>
    </row>
    <row r="24" spans="1:7" x14ac:dyDescent="0.2">
      <c r="A24" s="422">
        <f>Biodata!A26</f>
        <v>18</v>
      </c>
      <c r="B24" s="427" t="str">
        <f>Biodata!B26</f>
        <v>181910185</v>
      </c>
      <c r="C24" s="428" t="str">
        <f>Biodata!C26</f>
        <v>JIHAD AKBAR</v>
      </c>
      <c r="D24" s="422">
        <f t="shared" si="0"/>
        <v>70</v>
      </c>
      <c r="E24" s="422" t="str">
        <f t="shared" si="1"/>
        <v>C</v>
      </c>
      <c r="F24" s="422">
        <f t="shared" si="2"/>
        <v>70</v>
      </c>
      <c r="G24" s="422" t="str">
        <f t="shared" si="3"/>
        <v>C</v>
      </c>
    </row>
    <row r="25" spans="1:7" x14ac:dyDescent="0.2">
      <c r="A25" s="422">
        <f>Biodata!A27</f>
        <v>19</v>
      </c>
      <c r="B25" s="427" t="str">
        <f>Biodata!B27</f>
        <v>181910226</v>
      </c>
      <c r="C25" s="428" t="str">
        <f>Biodata!C27</f>
        <v>MUHAMAD IZZAZUL FIKRIAN</v>
      </c>
      <c r="D25" s="422">
        <f t="shared" si="0"/>
        <v>0</v>
      </c>
      <c r="E25" s="422" t="str">
        <f t="shared" si="1"/>
        <v/>
      </c>
      <c r="F25" s="422">
        <f t="shared" si="2"/>
        <v>0</v>
      </c>
      <c r="G25" s="422" t="str">
        <f t="shared" si="3"/>
        <v/>
      </c>
    </row>
    <row r="26" spans="1:7" x14ac:dyDescent="0.2">
      <c r="A26" s="422">
        <f>Biodata!A28</f>
        <v>20</v>
      </c>
      <c r="B26" s="427" t="str">
        <f>Biodata!B28</f>
        <v>181910433</v>
      </c>
      <c r="C26" s="428" t="str">
        <f>Biodata!C28</f>
        <v>MUHAMAD RIZAL</v>
      </c>
      <c r="D26" s="422">
        <f t="shared" si="0"/>
        <v>50</v>
      </c>
      <c r="E26" s="422" t="str">
        <f t="shared" si="1"/>
        <v>D</v>
      </c>
      <c r="F26" s="422">
        <f t="shared" si="2"/>
        <v>55</v>
      </c>
      <c r="G26" s="422" t="str">
        <f t="shared" si="3"/>
        <v>D</v>
      </c>
    </row>
    <row r="27" spans="1:7" x14ac:dyDescent="0.2">
      <c r="A27" s="422">
        <f>Biodata!A29</f>
        <v>21</v>
      </c>
      <c r="B27" s="427" t="str">
        <f>Biodata!B29</f>
        <v>181910240</v>
      </c>
      <c r="C27" s="428" t="str">
        <f>Biodata!C29</f>
        <v>NESHA RAUDHATUL ZANNAH</v>
      </c>
      <c r="D27" s="422">
        <f t="shared" si="0"/>
        <v>82</v>
      </c>
      <c r="E27" s="422" t="str">
        <f t="shared" si="1"/>
        <v>B</v>
      </c>
      <c r="F27" s="422">
        <f t="shared" si="2"/>
        <v>85</v>
      </c>
      <c r="G27" s="422" t="str">
        <f t="shared" si="3"/>
        <v>B</v>
      </c>
    </row>
    <row r="28" spans="1:7" x14ac:dyDescent="0.2">
      <c r="A28" s="422">
        <f>Biodata!A30</f>
        <v>22</v>
      </c>
      <c r="B28" s="427" t="str">
        <f>Biodata!B30</f>
        <v>181910262</v>
      </c>
      <c r="C28" s="428" t="str">
        <f>Biodata!C30</f>
        <v>PUTRI ANGGRAENI</v>
      </c>
      <c r="D28" s="422">
        <f t="shared" si="0"/>
        <v>84</v>
      </c>
      <c r="E28" s="422" t="str">
        <f t="shared" si="1"/>
        <v>B</v>
      </c>
      <c r="F28" s="422">
        <f t="shared" si="2"/>
        <v>85</v>
      </c>
      <c r="G28" s="422" t="str">
        <f t="shared" si="3"/>
        <v>B</v>
      </c>
    </row>
    <row r="29" spans="1:7" x14ac:dyDescent="0.2">
      <c r="A29" s="422">
        <f>Biodata!A31</f>
        <v>23</v>
      </c>
      <c r="B29" s="427" t="str">
        <f>Biodata!B31</f>
        <v>181910266</v>
      </c>
      <c r="C29" s="428" t="str">
        <f>Biodata!C31</f>
        <v>PUTRI WULANDARI</v>
      </c>
      <c r="D29" s="422">
        <f t="shared" si="0"/>
        <v>79</v>
      </c>
      <c r="E29" s="422" t="str">
        <f t="shared" si="1"/>
        <v>C</v>
      </c>
      <c r="F29" s="422">
        <f t="shared" si="2"/>
        <v>80</v>
      </c>
      <c r="G29" s="422" t="str">
        <f t="shared" si="3"/>
        <v>B</v>
      </c>
    </row>
    <row r="30" spans="1:7" x14ac:dyDescent="0.2">
      <c r="A30" s="422">
        <f>Biodata!A32</f>
        <v>24</v>
      </c>
      <c r="B30" s="427" t="str">
        <f>Biodata!B32</f>
        <v>181910272</v>
      </c>
      <c r="C30" s="428" t="str">
        <f>Biodata!C32</f>
        <v>RAFLY GYMNASTIAR</v>
      </c>
      <c r="D30" s="422">
        <f t="shared" si="0"/>
        <v>60</v>
      </c>
      <c r="E30" s="422" t="str">
        <f t="shared" si="1"/>
        <v>D</v>
      </c>
      <c r="F30" s="422">
        <f t="shared" si="2"/>
        <v>60</v>
      </c>
      <c r="G30" s="422" t="str">
        <f t="shared" si="3"/>
        <v>D</v>
      </c>
    </row>
    <row r="31" spans="1:7" x14ac:dyDescent="0.2">
      <c r="A31" s="422">
        <f>Biodata!A33</f>
        <v>25</v>
      </c>
      <c r="B31" s="427" t="str">
        <f>Biodata!B33</f>
        <v>181910280</v>
      </c>
      <c r="C31" s="428" t="str">
        <f>Biodata!C33</f>
        <v>REFIANA</v>
      </c>
      <c r="D31" s="422">
        <f t="shared" si="0"/>
        <v>85</v>
      </c>
      <c r="E31" s="422" t="str">
        <f t="shared" si="1"/>
        <v>B</v>
      </c>
      <c r="F31" s="422">
        <f t="shared" si="2"/>
        <v>80</v>
      </c>
      <c r="G31" s="422" t="str">
        <f t="shared" si="3"/>
        <v>B</v>
      </c>
    </row>
    <row r="32" spans="1:7" x14ac:dyDescent="0.2">
      <c r="A32" s="422">
        <f>Biodata!A34</f>
        <v>26</v>
      </c>
      <c r="B32" s="427" t="str">
        <f>Biodata!B34</f>
        <v>181910285</v>
      </c>
      <c r="C32" s="428" t="str">
        <f>Biodata!C34</f>
        <v>RENALDI PRIYATAMA</v>
      </c>
      <c r="D32" s="422">
        <f t="shared" si="0"/>
        <v>65</v>
      </c>
      <c r="E32" s="422" t="str">
        <f t="shared" si="1"/>
        <v>D</v>
      </c>
      <c r="F32" s="422">
        <f t="shared" si="2"/>
        <v>70</v>
      </c>
      <c r="G32" s="422" t="str">
        <f t="shared" si="3"/>
        <v>C</v>
      </c>
    </row>
    <row r="33" spans="1:7" x14ac:dyDescent="0.2">
      <c r="A33" s="422">
        <f>Biodata!A35</f>
        <v>27</v>
      </c>
      <c r="B33" s="427" t="str">
        <f>Biodata!B35</f>
        <v>181910286</v>
      </c>
      <c r="C33" s="428" t="str">
        <f>Biodata!C35</f>
        <v>RENATA</v>
      </c>
      <c r="D33" s="422">
        <f t="shared" si="0"/>
        <v>86</v>
      </c>
      <c r="E33" s="422" t="str">
        <f t="shared" si="1"/>
        <v>B</v>
      </c>
      <c r="F33" s="422">
        <f t="shared" si="2"/>
        <v>88</v>
      </c>
      <c r="G33" s="422" t="str">
        <f t="shared" si="3"/>
        <v>B</v>
      </c>
    </row>
    <row r="34" spans="1:7" x14ac:dyDescent="0.2">
      <c r="A34" s="422">
        <f>Biodata!A36</f>
        <v>28</v>
      </c>
      <c r="B34" s="427" t="str">
        <f>Biodata!B36</f>
        <v>181910293</v>
      </c>
      <c r="C34" s="428" t="str">
        <f>Biodata!C36</f>
        <v xml:space="preserve">REZA ERNANDA </v>
      </c>
      <c r="D34" s="422">
        <f t="shared" si="0"/>
        <v>86</v>
      </c>
      <c r="E34" s="422" t="str">
        <f t="shared" si="1"/>
        <v>B</v>
      </c>
      <c r="F34" s="422">
        <f t="shared" si="2"/>
        <v>88</v>
      </c>
      <c r="G34" s="422" t="str">
        <f t="shared" si="3"/>
        <v>B</v>
      </c>
    </row>
    <row r="35" spans="1:7" x14ac:dyDescent="0.2">
      <c r="A35" s="422">
        <f>Biodata!A37</f>
        <v>29</v>
      </c>
      <c r="B35" s="427" t="str">
        <f>Biodata!B37</f>
        <v>181910300</v>
      </c>
      <c r="C35" s="428" t="str">
        <f>Biodata!C37</f>
        <v>RIFAN MUHAMAD RIZKI</v>
      </c>
      <c r="D35" s="422">
        <f t="shared" si="0"/>
        <v>0</v>
      </c>
      <c r="E35" s="422" t="str">
        <f t="shared" si="1"/>
        <v/>
      </c>
      <c r="F35" s="422">
        <f t="shared" si="2"/>
        <v>0</v>
      </c>
      <c r="G35" s="422" t="str">
        <f t="shared" si="3"/>
        <v/>
      </c>
    </row>
    <row r="36" spans="1:7" x14ac:dyDescent="0.2">
      <c r="A36" s="422">
        <f>Biodata!A38</f>
        <v>30</v>
      </c>
      <c r="B36" s="427" t="str">
        <f>Biodata!B38</f>
        <v>181910318</v>
      </c>
      <c r="C36" s="428" t="str">
        <f>Biodata!C38</f>
        <v>RISMA SURYANI</v>
      </c>
      <c r="D36" s="422">
        <f t="shared" si="0"/>
        <v>82</v>
      </c>
      <c r="E36" s="422" t="str">
        <f t="shared" si="1"/>
        <v>B</v>
      </c>
      <c r="F36" s="422">
        <f t="shared" si="2"/>
        <v>84</v>
      </c>
      <c r="G36" s="422" t="str">
        <f t="shared" si="3"/>
        <v>B</v>
      </c>
    </row>
    <row r="37" spans="1:7" x14ac:dyDescent="0.2">
      <c r="A37" s="422">
        <f>Biodata!A39</f>
        <v>31</v>
      </c>
      <c r="B37" s="427" t="str">
        <f>Biodata!B39</f>
        <v>181910320</v>
      </c>
      <c r="C37" s="428" t="str">
        <f>Biodata!C39</f>
        <v>RISNA TIRANI</v>
      </c>
      <c r="D37" s="422">
        <f t="shared" si="0"/>
        <v>88</v>
      </c>
      <c r="E37" s="422" t="str">
        <f t="shared" si="1"/>
        <v>B</v>
      </c>
      <c r="F37" s="422">
        <f t="shared" si="2"/>
        <v>89</v>
      </c>
      <c r="G37" s="422" t="str">
        <f t="shared" si="3"/>
        <v>B</v>
      </c>
    </row>
    <row r="38" spans="1:7" x14ac:dyDescent="0.2">
      <c r="A38" s="422">
        <f>Biodata!A40</f>
        <v>32</v>
      </c>
      <c r="B38" s="427" t="str">
        <f>Biodata!B40</f>
        <v>181910331</v>
      </c>
      <c r="C38" s="428" t="str">
        <f>Biodata!C40</f>
        <v>RULLY PRATAMA S.</v>
      </c>
      <c r="D38" s="422">
        <f t="shared" si="0"/>
        <v>77</v>
      </c>
      <c r="E38" s="422" t="str">
        <f t="shared" si="1"/>
        <v>C</v>
      </c>
      <c r="F38" s="422">
        <f t="shared" si="2"/>
        <v>79</v>
      </c>
      <c r="G38" s="422" t="str">
        <f t="shared" si="3"/>
        <v>C</v>
      </c>
    </row>
    <row r="39" spans="1:7" x14ac:dyDescent="0.2">
      <c r="A39" s="422">
        <f>Biodata!A41</f>
        <v>33</v>
      </c>
      <c r="B39" s="427" t="str">
        <f>Biodata!B41</f>
        <v>181910335</v>
      </c>
      <c r="C39" s="428" t="str">
        <f>Biodata!C41</f>
        <v>SALSA ASYKIYA</v>
      </c>
      <c r="D39" s="422">
        <f t="shared" si="0"/>
        <v>87</v>
      </c>
      <c r="E39" s="422" t="str">
        <f t="shared" si="1"/>
        <v>B</v>
      </c>
      <c r="F39" s="422">
        <f t="shared" si="2"/>
        <v>88</v>
      </c>
      <c r="G39" s="422" t="str">
        <f t="shared" si="3"/>
        <v>B</v>
      </c>
    </row>
    <row r="40" spans="1:7" x14ac:dyDescent="0.2">
      <c r="A40" s="422">
        <f>Biodata!A42</f>
        <v>34</v>
      </c>
      <c r="B40" s="427" t="str">
        <f>Biodata!B42</f>
        <v>181910353</v>
      </c>
      <c r="C40" s="428" t="str">
        <f>Biodata!C42</f>
        <v>SILFI HAMIDAH</v>
      </c>
      <c r="D40" s="422">
        <f t="shared" si="0"/>
        <v>86</v>
      </c>
      <c r="E40" s="422" t="str">
        <f t="shared" si="1"/>
        <v>B</v>
      </c>
      <c r="F40" s="422">
        <f t="shared" si="2"/>
        <v>88</v>
      </c>
      <c r="G40" s="422" t="str">
        <f t="shared" si="3"/>
        <v>B</v>
      </c>
    </row>
    <row r="41" spans="1:7" x14ac:dyDescent="0.2">
      <c r="A41" s="422">
        <f>Biodata!A43</f>
        <v>35</v>
      </c>
      <c r="B41" s="427" t="str">
        <f>Biodata!B43</f>
        <v>181910408</v>
      </c>
      <c r="C41" s="428" t="str">
        <f>Biodata!C43</f>
        <v>YESHA RAHAYU</v>
      </c>
      <c r="D41" s="422">
        <f t="shared" si="0"/>
        <v>0</v>
      </c>
      <c r="E41" s="422" t="str">
        <f t="shared" si="1"/>
        <v/>
      </c>
      <c r="F41" s="422">
        <f t="shared" si="2"/>
        <v>0</v>
      </c>
      <c r="G41" s="422" t="str">
        <f t="shared" si="3"/>
        <v/>
      </c>
    </row>
    <row r="42" spans="1:7" x14ac:dyDescent="0.2">
      <c r="A42" s="422">
        <f>Biodata!A44</f>
        <v>36</v>
      </c>
      <c r="B42" s="427" t="str">
        <f>Biodata!B44</f>
        <v>036</v>
      </c>
      <c r="C42" s="428" t="str">
        <f>Biodata!C44</f>
        <v>A36</v>
      </c>
      <c r="D42" s="422">
        <f t="shared" si="0"/>
        <v>0</v>
      </c>
      <c r="E42" s="422" t="str">
        <f t="shared" si="1"/>
        <v/>
      </c>
      <c r="F42" s="422">
        <f t="shared" si="2"/>
        <v>0</v>
      </c>
      <c r="G42" s="422" t="str">
        <f t="shared" si="3"/>
        <v/>
      </c>
    </row>
    <row r="43" spans="1:7" x14ac:dyDescent="0.2">
      <c r="A43" s="422">
        <f>Biodata!A45</f>
        <v>37</v>
      </c>
      <c r="B43" s="427" t="str">
        <f>Biodata!B45</f>
        <v>037</v>
      </c>
      <c r="C43" s="428" t="str">
        <f>Biodata!C45</f>
        <v>A37</v>
      </c>
      <c r="D43" s="422">
        <f t="shared" si="0"/>
        <v>0</v>
      </c>
      <c r="E43" s="422" t="str">
        <f t="shared" si="1"/>
        <v/>
      </c>
      <c r="F43" s="422">
        <f t="shared" si="2"/>
        <v>0</v>
      </c>
      <c r="G43" s="422" t="str">
        <f t="shared" si="3"/>
        <v/>
      </c>
    </row>
    <row r="44" spans="1:7" x14ac:dyDescent="0.2">
      <c r="A44" s="422">
        <f>Biodata!A46</f>
        <v>38</v>
      </c>
      <c r="B44" s="427" t="str">
        <f>Biodata!B46</f>
        <v>038</v>
      </c>
      <c r="C44" s="428" t="str">
        <f>Biodata!C46</f>
        <v>A38</v>
      </c>
      <c r="D44" s="422">
        <f t="shared" si="0"/>
        <v>0</v>
      </c>
      <c r="E44" s="422" t="str">
        <f t="shared" si="1"/>
        <v/>
      </c>
      <c r="F44" s="422">
        <f t="shared" si="2"/>
        <v>0</v>
      </c>
      <c r="G44" s="422" t="str">
        <f t="shared" si="3"/>
        <v/>
      </c>
    </row>
    <row r="45" spans="1:7" x14ac:dyDescent="0.2">
      <c r="A45" s="422">
        <f>Biodata!A47</f>
        <v>39</v>
      </c>
      <c r="B45" s="427" t="str">
        <f>Biodata!B47</f>
        <v>039</v>
      </c>
      <c r="C45" s="428" t="str">
        <f>Biodata!C47</f>
        <v>A39</v>
      </c>
      <c r="D45" s="422">
        <f t="shared" si="0"/>
        <v>0</v>
      </c>
      <c r="E45" s="422" t="str">
        <f t="shared" si="1"/>
        <v/>
      </c>
      <c r="F45" s="422">
        <f t="shared" si="2"/>
        <v>0</v>
      </c>
      <c r="G45" s="422" t="str">
        <f t="shared" si="3"/>
        <v/>
      </c>
    </row>
    <row r="46" spans="1:7" x14ac:dyDescent="0.2">
      <c r="A46" s="422">
        <f>Biodata!A48</f>
        <v>40</v>
      </c>
      <c r="B46" s="427" t="str">
        <f>Biodata!B48</f>
        <v>040</v>
      </c>
      <c r="C46" s="428" t="str">
        <f>Biodata!C48</f>
        <v>A40</v>
      </c>
      <c r="D46" s="422">
        <f t="shared" si="0"/>
        <v>0</v>
      </c>
      <c r="E46" s="422" t="str">
        <f t="shared" si="1"/>
        <v/>
      </c>
      <c r="F46" s="422">
        <f t="shared" si="2"/>
        <v>0</v>
      </c>
      <c r="G46" s="422" t="str">
        <f t="shared" si="3"/>
        <v/>
      </c>
    </row>
    <row r="47" spans="1:7" x14ac:dyDescent="0.2">
      <c r="C47" s="432"/>
    </row>
    <row r="48" spans="1:7" x14ac:dyDescent="0.2">
      <c r="C48" s="432"/>
    </row>
    <row r="49" spans="3:3" s="425" customFormat="1" x14ac:dyDescent="0.2">
      <c r="C49" s="432"/>
    </row>
    <row r="50" spans="3:3" s="425" customFormat="1" x14ac:dyDescent="0.2">
      <c r="C50" s="432"/>
    </row>
  </sheetData>
  <sheetProtection sheet="1" objects="1" scenarios="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activeCell="D5" sqref="D5"/>
    </sheetView>
  </sheetViews>
  <sheetFormatPr defaultRowHeight="11.25" x14ac:dyDescent="0.2"/>
  <cols>
    <col min="1" max="1" width="3.7109375" style="422" customWidth="1"/>
    <col min="2" max="2" width="7.140625" style="422" customWidth="1"/>
    <col min="3" max="3" width="21.7109375" style="425" customWidth="1"/>
    <col min="4" max="4" width="11.85546875" style="422" customWidth="1"/>
    <col min="5" max="5" width="8" style="422" customWidth="1"/>
    <col min="6" max="6" width="12" style="422" customWidth="1"/>
    <col min="7" max="7" width="8" style="422" customWidth="1"/>
    <col min="8" max="16384" width="9.140625" style="425"/>
  </cols>
  <sheetData>
    <row r="1" spans="1:7" x14ac:dyDescent="0.2">
      <c r="C1" s="423" t="s">
        <v>322</v>
      </c>
      <c r="D1" s="424" t="str">
        <f>Biodata!C4</f>
        <v xml:space="preserve"> X / IPS_5 </v>
      </c>
    </row>
    <row r="2" spans="1:7" x14ac:dyDescent="0.2">
      <c r="C2" s="423" t="s">
        <v>321</v>
      </c>
      <c r="D2" s="424" t="str">
        <f>Biodata!C5</f>
        <v>2 / Genap</v>
      </c>
    </row>
    <row r="3" spans="1:7" x14ac:dyDescent="0.2">
      <c r="D3" s="424"/>
    </row>
    <row r="4" spans="1:7" x14ac:dyDescent="0.2">
      <c r="C4" s="423" t="s">
        <v>320</v>
      </c>
      <c r="D4" s="424" t="str">
        <f>LEGER!R6</f>
        <v>S o s i o l o g i</v>
      </c>
    </row>
    <row r="5" spans="1:7" x14ac:dyDescent="0.2">
      <c r="C5" s="423" t="s">
        <v>319</v>
      </c>
      <c r="D5" s="424">
        <f>RAPORT!C82</f>
        <v>70</v>
      </c>
    </row>
    <row r="6" spans="1:7" x14ac:dyDescent="0.2">
      <c r="A6" s="422" t="s">
        <v>323</v>
      </c>
      <c r="B6" s="422" t="s">
        <v>10</v>
      </c>
      <c r="C6" s="425" t="s">
        <v>324</v>
      </c>
      <c r="D6" s="422" t="s">
        <v>74</v>
      </c>
      <c r="E6" s="422" t="s">
        <v>72</v>
      </c>
      <c r="F6" s="422" t="s">
        <v>146</v>
      </c>
      <c r="G6" s="422" t="s">
        <v>72</v>
      </c>
    </row>
    <row r="7" spans="1:7" x14ac:dyDescent="0.2">
      <c r="A7" s="422">
        <f>Biodata!A9</f>
        <v>1</v>
      </c>
      <c r="B7" s="427" t="str">
        <f>Biodata!B9</f>
        <v>181910008</v>
      </c>
      <c r="C7" s="428" t="str">
        <f>Biodata!C9</f>
        <v>ADITA TRI KURNIA PUTRI</v>
      </c>
      <c r="D7" s="422">
        <f t="shared" ref="D7:D46" si="0">IFERROR(VLOOKUP(B7&amp;"A",leggerx1,15,0),"")</f>
        <v>0</v>
      </c>
      <c r="E7" s="422" t="str">
        <f t="shared" ref="E7:E46" si="1">IFERROR(VLOOKUP(B7&amp;"C",leggerx1,15,0),"")</f>
        <v/>
      </c>
      <c r="F7" s="422">
        <f t="shared" ref="F7:F46" si="2">IFERROR(VLOOKUP(B7&amp;"B",leggerx1,15,0),"")</f>
        <v>0</v>
      </c>
      <c r="G7" s="422" t="str">
        <f t="shared" ref="G7:G46" si="3">IFERROR(VLOOKUP(B7&amp;"D",leggerx1,15,0),"")</f>
        <v/>
      </c>
    </row>
    <row r="8" spans="1:7" x14ac:dyDescent="0.2">
      <c r="A8" s="422">
        <f>Biodata!A10</f>
        <v>2</v>
      </c>
      <c r="B8" s="427" t="str">
        <f>Biodata!B10</f>
        <v>181910011</v>
      </c>
      <c r="C8" s="428" t="str">
        <f>Biodata!C10</f>
        <v xml:space="preserve">ADNES KOMALA DEWI </v>
      </c>
      <c r="D8" s="422">
        <f t="shared" si="0"/>
        <v>75</v>
      </c>
      <c r="E8" s="422" t="str">
        <f t="shared" si="1"/>
        <v>C</v>
      </c>
      <c r="F8" s="422">
        <f t="shared" si="2"/>
        <v>75</v>
      </c>
      <c r="G8" s="422" t="str">
        <f t="shared" si="3"/>
        <v>C</v>
      </c>
    </row>
    <row r="9" spans="1:7" x14ac:dyDescent="0.2">
      <c r="A9" s="422">
        <f>Biodata!A11</f>
        <v>3</v>
      </c>
      <c r="B9" s="427" t="str">
        <f>Biodata!B11</f>
        <v>181910014</v>
      </c>
      <c r="C9" s="428" t="str">
        <f>Biodata!C11</f>
        <v>AGUNG BUDI PRASTAWA</v>
      </c>
      <c r="D9" s="422">
        <f t="shared" si="0"/>
        <v>70</v>
      </c>
      <c r="E9" s="422" t="str">
        <f t="shared" si="1"/>
        <v>C</v>
      </c>
      <c r="F9" s="422">
        <f t="shared" si="2"/>
        <v>70</v>
      </c>
      <c r="G9" s="422" t="str">
        <f t="shared" si="3"/>
        <v>C</v>
      </c>
    </row>
    <row r="10" spans="1:7" x14ac:dyDescent="0.2">
      <c r="A10" s="422">
        <f>Biodata!A12</f>
        <v>4</v>
      </c>
      <c r="B10" s="427" t="str">
        <f>Biodata!B12</f>
        <v>181910045</v>
      </c>
      <c r="C10" s="428" t="str">
        <f>Biodata!C12</f>
        <v>ARYA DYTA WIGUNA</v>
      </c>
      <c r="D10" s="422">
        <f t="shared" si="0"/>
        <v>80</v>
      </c>
      <c r="E10" s="422" t="str">
        <f t="shared" si="1"/>
        <v>B</v>
      </c>
      <c r="F10" s="422">
        <f t="shared" si="2"/>
        <v>80</v>
      </c>
      <c r="G10" s="422" t="str">
        <f t="shared" si="3"/>
        <v>B</v>
      </c>
    </row>
    <row r="11" spans="1:7" x14ac:dyDescent="0.2">
      <c r="A11" s="422">
        <f>Biodata!A13</f>
        <v>5</v>
      </c>
      <c r="B11" s="427" t="str">
        <f>Biodata!B13</f>
        <v>181910054</v>
      </c>
      <c r="C11" s="428" t="str">
        <f>Biodata!C13</f>
        <v>AZRIEL TAMA SANTIAJI</v>
      </c>
      <c r="D11" s="422">
        <f t="shared" si="0"/>
        <v>60</v>
      </c>
      <c r="E11" s="422" t="str">
        <f t="shared" si="1"/>
        <v>D</v>
      </c>
      <c r="F11" s="422">
        <f t="shared" si="2"/>
        <v>60</v>
      </c>
      <c r="G11" s="422" t="str">
        <f t="shared" si="3"/>
        <v>D</v>
      </c>
    </row>
    <row r="12" spans="1:7" x14ac:dyDescent="0.2">
      <c r="A12" s="422">
        <f>Biodata!A14</f>
        <v>6</v>
      </c>
      <c r="B12" s="427" t="str">
        <f>Biodata!B14</f>
        <v>181910055</v>
      </c>
      <c r="C12" s="428" t="str">
        <f>Biodata!C14</f>
        <v>AZZUHRI HAUDI</v>
      </c>
      <c r="D12" s="422">
        <f t="shared" si="0"/>
        <v>74</v>
      </c>
      <c r="E12" s="422" t="str">
        <f t="shared" si="1"/>
        <v>C</v>
      </c>
      <c r="F12" s="422">
        <f t="shared" si="2"/>
        <v>74</v>
      </c>
      <c r="G12" s="422" t="str">
        <f t="shared" si="3"/>
        <v>C</v>
      </c>
    </row>
    <row r="13" spans="1:7" x14ac:dyDescent="0.2">
      <c r="A13" s="422">
        <f>Biodata!A15</f>
        <v>7</v>
      </c>
      <c r="B13" s="427" t="str">
        <f>Biodata!B15</f>
        <v>181910056</v>
      </c>
      <c r="C13" s="428" t="str">
        <f>Biodata!C15</f>
        <v>BAYU BATARA SURYA PUTRA</v>
      </c>
      <c r="D13" s="422">
        <f t="shared" si="0"/>
        <v>70</v>
      </c>
      <c r="E13" s="422" t="str">
        <f t="shared" si="1"/>
        <v>C</v>
      </c>
      <c r="F13" s="422">
        <f t="shared" si="2"/>
        <v>70</v>
      </c>
      <c r="G13" s="422" t="str">
        <f t="shared" si="3"/>
        <v>C</v>
      </c>
    </row>
    <row r="14" spans="1:7" x14ac:dyDescent="0.2">
      <c r="A14" s="422">
        <f>Biodata!A16</f>
        <v>8</v>
      </c>
      <c r="B14" s="427" t="str">
        <f>Biodata!B16</f>
        <v>181910069</v>
      </c>
      <c r="C14" s="428" t="str">
        <f>Biodata!C16</f>
        <v>DANDY ERVAN PRATAMA</v>
      </c>
      <c r="D14" s="422">
        <f t="shared" si="0"/>
        <v>40</v>
      </c>
      <c r="E14" s="422" t="str">
        <f t="shared" si="1"/>
        <v>D</v>
      </c>
      <c r="F14" s="422">
        <f t="shared" si="2"/>
        <v>40</v>
      </c>
      <c r="G14" s="422" t="str">
        <f t="shared" si="3"/>
        <v>D</v>
      </c>
    </row>
    <row r="15" spans="1:7" x14ac:dyDescent="0.2">
      <c r="A15" s="422">
        <f>Biodata!A17</f>
        <v>9</v>
      </c>
      <c r="B15" s="427" t="str">
        <f>Biodata!B17</f>
        <v>181910085</v>
      </c>
      <c r="C15" s="428" t="str">
        <f>Biodata!C17</f>
        <v>DENISA ASTI RAHMAWATI</v>
      </c>
      <c r="D15" s="422">
        <f t="shared" si="0"/>
        <v>70</v>
      </c>
      <c r="E15" s="422" t="str">
        <f t="shared" si="1"/>
        <v>C</v>
      </c>
      <c r="F15" s="422">
        <f t="shared" si="2"/>
        <v>70</v>
      </c>
      <c r="G15" s="422" t="str">
        <f t="shared" si="3"/>
        <v>C</v>
      </c>
    </row>
    <row r="16" spans="1:7" x14ac:dyDescent="0.2">
      <c r="A16" s="422">
        <f>Biodata!A18</f>
        <v>10</v>
      </c>
      <c r="B16" s="427" t="str">
        <f>Biodata!B18</f>
        <v>181910093</v>
      </c>
      <c r="C16" s="428" t="str">
        <f>Biodata!C18</f>
        <v>DIAN RAMDHAN SAPTIAN</v>
      </c>
      <c r="D16" s="422">
        <f t="shared" si="0"/>
        <v>70</v>
      </c>
      <c r="E16" s="422" t="str">
        <f t="shared" si="1"/>
        <v>C</v>
      </c>
      <c r="F16" s="422">
        <f t="shared" si="2"/>
        <v>70</v>
      </c>
      <c r="G16" s="422" t="str">
        <f t="shared" si="3"/>
        <v>C</v>
      </c>
    </row>
    <row r="17" spans="1:7" x14ac:dyDescent="0.2">
      <c r="A17" s="422">
        <f>Biodata!A19</f>
        <v>11</v>
      </c>
      <c r="B17" s="427" t="str">
        <f>Biodata!B19</f>
        <v>181910103</v>
      </c>
      <c r="C17" s="428" t="str">
        <f>Biodata!C19</f>
        <v>DIVYA ADHIANI NURDIN</v>
      </c>
      <c r="D17" s="422">
        <f t="shared" si="0"/>
        <v>72</v>
      </c>
      <c r="E17" s="422" t="str">
        <f t="shared" si="1"/>
        <v>C</v>
      </c>
      <c r="F17" s="422">
        <f t="shared" si="2"/>
        <v>72</v>
      </c>
      <c r="G17" s="422" t="str">
        <f t="shared" si="3"/>
        <v>C</v>
      </c>
    </row>
    <row r="18" spans="1:7" x14ac:dyDescent="0.2">
      <c r="A18" s="422">
        <f>Biodata!A20</f>
        <v>12</v>
      </c>
      <c r="B18" s="427" t="str">
        <f>Biodata!B20</f>
        <v>181910104</v>
      </c>
      <c r="C18" s="428" t="str">
        <f>Biodata!C20</f>
        <v>DWIKI DERMAWAN</v>
      </c>
      <c r="D18" s="422">
        <f t="shared" si="0"/>
        <v>70</v>
      </c>
      <c r="E18" s="422" t="str">
        <f t="shared" si="1"/>
        <v>C</v>
      </c>
      <c r="F18" s="422">
        <f t="shared" si="2"/>
        <v>70</v>
      </c>
      <c r="G18" s="422" t="str">
        <f t="shared" si="3"/>
        <v>C</v>
      </c>
    </row>
    <row r="19" spans="1:7" x14ac:dyDescent="0.2">
      <c r="A19" s="422">
        <f>Biodata!A21</f>
        <v>13</v>
      </c>
      <c r="B19" s="427" t="str">
        <f>Biodata!B21</f>
        <v>181910118</v>
      </c>
      <c r="C19" s="428" t="str">
        <f>Biodata!C21</f>
        <v>ENCEP CANDRA</v>
      </c>
      <c r="D19" s="422">
        <f t="shared" si="0"/>
        <v>75</v>
      </c>
      <c r="E19" s="422" t="str">
        <f t="shared" si="1"/>
        <v>C</v>
      </c>
      <c r="F19" s="422">
        <f t="shared" si="2"/>
        <v>75</v>
      </c>
      <c r="G19" s="422" t="str">
        <f t="shared" si="3"/>
        <v>C</v>
      </c>
    </row>
    <row r="20" spans="1:7" x14ac:dyDescent="0.2">
      <c r="A20" s="422">
        <f>Biodata!A22</f>
        <v>14</v>
      </c>
      <c r="B20" s="427" t="str">
        <f>Biodata!B22</f>
        <v>181910128</v>
      </c>
      <c r="C20" s="428" t="str">
        <f>Biodata!C22</f>
        <v>FAIZAL EGI</v>
      </c>
      <c r="D20" s="422">
        <f t="shared" si="0"/>
        <v>70</v>
      </c>
      <c r="E20" s="422" t="str">
        <f t="shared" si="1"/>
        <v>C</v>
      </c>
      <c r="F20" s="422">
        <f t="shared" si="2"/>
        <v>70</v>
      </c>
      <c r="G20" s="422" t="str">
        <f t="shared" si="3"/>
        <v>C</v>
      </c>
    </row>
    <row r="21" spans="1:7" x14ac:dyDescent="0.2">
      <c r="A21" s="422">
        <f>Biodata!A23</f>
        <v>15</v>
      </c>
      <c r="B21" s="427" t="str">
        <f>Biodata!B23</f>
        <v>181910133</v>
      </c>
      <c r="C21" s="428" t="str">
        <f>Biodata!C23</f>
        <v>FAUZI DHALFADLIL AZHANI</v>
      </c>
      <c r="D21" s="422">
        <f t="shared" si="0"/>
        <v>70</v>
      </c>
      <c r="E21" s="422" t="str">
        <f t="shared" si="1"/>
        <v>C</v>
      </c>
      <c r="F21" s="422">
        <f t="shared" si="2"/>
        <v>70</v>
      </c>
      <c r="G21" s="422" t="str">
        <f t="shared" si="3"/>
        <v>C</v>
      </c>
    </row>
    <row r="22" spans="1:7" x14ac:dyDescent="0.2">
      <c r="A22" s="422">
        <f>Biodata!A24</f>
        <v>16</v>
      </c>
      <c r="B22" s="427" t="str">
        <f>Biodata!B24</f>
        <v>181910161</v>
      </c>
      <c r="C22" s="428" t="str">
        <f>Biodata!C24</f>
        <v>HILMAN PUTRA PAMUNGKAS</v>
      </c>
      <c r="D22" s="422">
        <f t="shared" si="0"/>
        <v>75</v>
      </c>
      <c r="E22" s="422" t="str">
        <f t="shared" si="1"/>
        <v>C</v>
      </c>
      <c r="F22" s="422">
        <f t="shared" si="2"/>
        <v>75</v>
      </c>
      <c r="G22" s="422" t="str">
        <f t="shared" si="3"/>
        <v>C</v>
      </c>
    </row>
    <row r="23" spans="1:7" x14ac:dyDescent="0.2">
      <c r="A23" s="422">
        <f>Biodata!A25</f>
        <v>17</v>
      </c>
      <c r="B23" s="427" t="str">
        <f>Biodata!B25</f>
        <v>181910165</v>
      </c>
      <c r="C23" s="428" t="str">
        <f>Biodata!C25</f>
        <v>IHSYA FADILLAH MUSLIM</v>
      </c>
      <c r="D23" s="422">
        <f t="shared" si="0"/>
        <v>65</v>
      </c>
      <c r="E23" s="422" t="str">
        <f t="shared" si="1"/>
        <v>D</v>
      </c>
      <c r="F23" s="422">
        <f t="shared" si="2"/>
        <v>65</v>
      </c>
      <c r="G23" s="422" t="str">
        <f t="shared" si="3"/>
        <v>D</v>
      </c>
    </row>
    <row r="24" spans="1:7" x14ac:dyDescent="0.2">
      <c r="A24" s="422">
        <f>Biodata!A26</f>
        <v>18</v>
      </c>
      <c r="B24" s="427" t="str">
        <f>Biodata!B26</f>
        <v>181910185</v>
      </c>
      <c r="C24" s="428" t="str">
        <f>Biodata!C26</f>
        <v>JIHAD AKBAR</v>
      </c>
      <c r="D24" s="422">
        <f t="shared" si="0"/>
        <v>74</v>
      </c>
      <c r="E24" s="422" t="str">
        <f t="shared" si="1"/>
        <v>C</v>
      </c>
      <c r="F24" s="422">
        <f t="shared" si="2"/>
        <v>74</v>
      </c>
      <c r="G24" s="422" t="str">
        <f t="shared" si="3"/>
        <v>C</v>
      </c>
    </row>
    <row r="25" spans="1:7" x14ac:dyDescent="0.2">
      <c r="A25" s="422">
        <f>Biodata!A27</f>
        <v>19</v>
      </c>
      <c r="B25" s="427" t="str">
        <f>Biodata!B27</f>
        <v>181910226</v>
      </c>
      <c r="C25" s="428" t="str">
        <f>Biodata!C27</f>
        <v>MUHAMAD IZZAZUL FIKRIAN</v>
      </c>
      <c r="D25" s="422">
        <f t="shared" si="0"/>
        <v>0</v>
      </c>
      <c r="E25" s="422" t="str">
        <f t="shared" si="1"/>
        <v/>
      </c>
      <c r="F25" s="422">
        <f t="shared" si="2"/>
        <v>0</v>
      </c>
      <c r="G25" s="422" t="str">
        <f t="shared" si="3"/>
        <v/>
      </c>
    </row>
    <row r="26" spans="1:7" x14ac:dyDescent="0.2">
      <c r="A26" s="422">
        <f>Biodata!A28</f>
        <v>20</v>
      </c>
      <c r="B26" s="427" t="str">
        <f>Biodata!B28</f>
        <v>181910433</v>
      </c>
      <c r="C26" s="428" t="str">
        <f>Biodata!C28</f>
        <v>MUHAMAD RIZAL</v>
      </c>
      <c r="D26" s="422">
        <f t="shared" si="0"/>
        <v>60</v>
      </c>
      <c r="E26" s="422" t="str">
        <f t="shared" si="1"/>
        <v>D</v>
      </c>
      <c r="F26" s="422">
        <f t="shared" si="2"/>
        <v>60</v>
      </c>
      <c r="G26" s="422" t="str">
        <f t="shared" si="3"/>
        <v>D</v>
      </c>
    </row>
    <row r="27" spans="1:7" x14ac:dyDescent="0.2">
      <c r="A27" s="422">
        <f>Biodata!A29</f>
        <v>21</v>
      </c>
      <c r="B27" s="427" t="str">
        <f>Biodata!B29</f>
        <v>181910240</v>
      </c>
      <c r="C27" s="428" t="str">
        <f>Biodata!C29</f>
        <v>NESHA RAUDHATUL ZANNAH</v>
      </c>
      <c r="D27" s="422">
        <f t="shared" si="0"/>
        <v>75</v>
      </c>
      <c r="E27" s="422" t="str">
        <f t="shared" si="1"/>
        <v>C</v>
      </c>
      <c r="F27" s="422">
        <f t="shared" si="2"/>
        <v>75</v>
      </c>
      <c r="G27" s="422" t="str">
        <f t="shared" si="3"/>
        <v>C</v>
      </c>
    </row>
    <row r="28" spans="1:7" x14ac:dyDescent="0.2">
      <c r="A28" s="422">
        <f>Biodata!A30</f>
        <v>22</v>
      </c>
      <c r="B28" s="427" t="str">
        <f>Biodata!B30</f>
        <v>181910262</v>
      </c>
      <c r="C28" s="428" t="str">
        <f>Biodata!C30</f>
        <v>PUTRI ANGGRAENI</v>
      </c>
      <c r="D28" s="422">
        <f t="shared" si="0"/>
        <v>74</v>
      </c>
      <c r="E28" s="422" t="str">
        <f t="shared" si="1"/>
        <v>C</v>
      </c>
      <c r="F28" s="422">
        <f t="shared" si="2"/>
        <v>75</v>
      </c>
      <c r="G28" s="422" t="str">
        <f t="shared" si="3"/>
        <v>C</v>
      </c>
    </row>
    <row r="29" spans="1:7" x14ac:dyDescent="0.2">
      <c r="A29" s="422">
        <f>Biodata!A31</f>
        <v>23</v>
      </c>
      <c r="B29" s="427" t="str">
        <f>Biodata!B31</f>
        <v>181910266</v>
      </c>
      <c r="C29" s="428" t="str">
        <f>Biodata!C31</f>
        <v>PUTRI WULANDARI</v>
      </c>
      <c r="D29" s="422">
        <f t="shared" si="0"/>
        <v>74</v>
      </c>
      <c r="E29" s="422" t="str">
        <f t="shared" si="1"/>
        <v>C</v>
      </c>
      <c r="F29" s="422">
        <f t="shared" si="2"/>
        <v>74</v>
      </c>
      <c r="G29" s="422" t="str">
        <f t="shared" si="3"/>
        <v>C</v>
      </c>
    </row>
    <row r="30" spans="1:7" x14ac:dyDescent="0.2">
      <c r="A30" s="422">
        <f>Biodata!A32</f>
        <v>24</v>
      </c>
      <c r="B30" s="427" t="str">
        <f>Biodata!B32</f>
        <v>181910272</v>
      </c>
      <c r="C30" s="428" t="str">
        <f>Biodata!C32</f>
        <v>RAFLY GYMNASTIAR</v>
      </c>
      <c r="D30" s="422">
        <f t="shared" si="0"/>
        <v>60</v>
      </c>
      <c r="E30" s="422" t="str">
        <f t="shared" si="1"/>
        <v>D</v>
      </c>
      <c r="F30" s="422">
        <f t="shared" si="2"/>
        <v>60</v>
      </c>
      <c r="G30" s="422" t="str">
        <f t="shared" si="3"/>
        <v>D</v>
      </c>
    </row>
    <row r="31" spans="1:7" x14ac:dyDescent="0.2">
      <c r="A31" s="422">
        <f>Biodata!A33</f>
        <v>25</v>
      </c>
      <c r="B31" s="427" t="str">
        <f>Biodata!B33</f>
        <v>181910280</v>
      </c>
      <c r="C31" s="428" t="str">
        <f>Biodata!C33</f>
        <v>REFIANA</v>
      </c>
      <c r="D31" s="422">
        <f t="shared" si="0"/>
        <v>60</v>
      </c>
      <c r="E31" s="422" t="str">
        <f t="shared" si="1"/>
        <v>D</v>
      </c>
      <c r="F31" s="422">
        <f t="shared" si="2"/>
        <v>60</v>
      </c>
      <c r="G31" s="422" t="str">
        <f t="shared" si="3"/>
        <v>D</v>
      </c>
    </row>
    <row r="32" spans="1:7" x14ac:dyDescent="0.2">
      <c r="A32" s="422">
        <f>Biodata!A34</f>
        <v>26</v>
      </c>
      <c r="B32" s="427" t="str">
        <f>Biodata!B34</f>
        <v>181910285</v>
      </c>
      <c r="C32" s="428" t="str">
        <f>Biodata!C34</f>
        <v>RENALDI PRIYATAMA</v>
      </c>
      <c r="D32" s="422">
        <f t="shared" si="0"/>
        <v>50</v>
      </c>
      <c r="E32" s="422" t="str">
        <f t="shared" si="1"/>
        <v>D</v>
      </c>
      <c r="F32" s="422">
        <f t="shared" si="2"/>
        <v>50</v>
      </c>
      <c r="G32" s="422" t="str">
        <f t="shared" si="3"/>
        <v>D</v>
      </c>
    </row>
    <row r="33" spans="1:7" x14ac:dyDescent="0.2">
      <c r="A33" s="422">
        <f>Biodata!A35</f>
        <v>27</v>
      </c>
      <c r="B33" s="427" t="str">
        <f>Biodata!B35</f>
        <v>181910286</v>
      </c>
      <c r="C33" s="428" t="str">
        <f>Biodata!C35</f>
        <v>RENATA</v>
      </c>
      <c r="D33" s="422">
        <f t="shared" si="0"/>
        <v>75</v>
      </c>
      <c r="E33" s="422" t="str">
        <f t="shared" si="1"/>
        <v>C</v>
      </c>
      <c r="F33" s="422">
        <f t="shared" si="2"/>
        <v>75</v>
      </c>
      <c r="G33" s="422" t="str">
        <f t="shared" si="3"/>
        <v>C</v>
      </c>
    </row>
    <row r="34" spans="1:7" x14ac:dyDescent="0.2">
      <c r="A34" s="422">
        <f>Biodata!A36</f>
        <v>28</v>
      </c>
      <c r="B34" s="427" t="str">
        <f>Biodata!B36</f>
        <v>181910293</v>
      </c>
      <c r="C34" s="428" t="str">
        <f>Biodata!C36</f>
        <v xml:space="preserve">REZA ERNANDA </v>
      </c>
      <c r="D34" s="422">
        <f t="shared" si="0"/>
        <v>72</v>
      </c>
      <c r="E34" s="422" t="str">
        <f t="shared" si="1"/>
        <v>C</v>
      </c>
      <c r="F34" s="422">
        <f t="shared" si="2"/>
        <v>72</v>
      </c>
      <c r="G34" s="422" t="str">
        <f t="shared" si="3"/>
        <v>C</v>
      </c>
    </row>
    <row r="35" spans="1:7" x14ac:dyDescent="0.2">
      <c r="A35" s="422">
        <f>Biodata!A37</f>
        <v>29</v>
      </c>
      <c r="B35" s="427" t="str">
        <f>Biodata!B37</f>
        <v>181910300</v>
      </c>
      <c r="C35" s="428" t="str">
        <f>Biodata!C37</f>
        <v>RIFAN MUHAMAD RIZKI</v>
      </c>
      <c r="D35" s="422">
        <f t="shared" si="0"/>
        <v>0</v>
      </c>
      <c r="E35" s="422" t="str">
        <f t="shared" si="1"/>
        <v/>
      </c>
      <c r="F35" s="422">
        <f t="shared" si="2"/>
        <v>0</v>
      </c>
      <c r="G35" s="422" t="str">
        <f t="shared" si="3"/>
        <v/>
      </c>
    </row>
    <row r="36" spans="1:7" x14ac:dyDescent="0.2">
      <c r="A36" s="422">
        <f>Biodata!A38</f>
        <v>30</v>
      </c>
      <c r="B36" s="427" t="str">
        <f>Biodata!B38</f>
        <v>181910318</v>
      </c>
      <c r="C36" s="428" t="str">
        <f>Biodata!C38</f>
        <v>RISMA SURYANI</v>
      </c>
      <c r="D36" s="422">
        <f t="shared" si="0"/>
        <v>80</v>
      </c>
      <c r="E36" s="422" t="str">
        <f t="shared" si="1"/>
        <v>B</v>
      </c>
      <c r="F36" s="422">
        <f t="shared" si="2"/>
        <v>80</v>
      </c>
      <c r="G36" s="422" t="str">
        <f t="shared" si="3"/>
        <v>B</v>
      </c>
    </row>
    <row r="37" spans="1:7" x14ac:dyDescent="0.2">
      <c r="A37" s="422">
        <f>Biodata!A39</f>
        <v>31</v>
      </c>
      <c r="B37" s="427" t="str">
        <f>Biodata!B39</f>
        <v>181910320</v>
      </c>
      <c r="C37" s="428" t="str">
        <f>Biodata!C39</f>
        <v>RISNA TIRANI</v>
      </c>
      <c r="D37" s="422">
        <f t="shared" si="0"/>
        <v>80</v>
      </c>
      <c r="E37" s="422" t="str">
        <f t="shared" si="1"/>
        <v>B</v>
      </c>
      <c r="F37" s="422">
        <f t="shared" si="2"/>
        <v>80</v>
      </c>
      <c r="G37" s="422" t="str">
        <f t="shared" si="3"/>
        <v>B</v>
      </c>
    </row>
    <row r="38" spans="1:7" x14ac:dyDescent="0.2">
      <c r="A38" s="422">
        <f>Biodata!A40</f>
        <v>32</v>
      </c>
      <c r="B38" s="427" t="str">
        <f>Biodata!B40</f>
        <v>181910331</v>
      </c>
      <c r="C38" s="428" t="str">
        <f>Biodata!C40</f>
        <v>RULLY PRATAMA S.</v>
      </c>
      <c r="D38" s="422">
        <f t="shared" si="0"/>
        <v>70</v>
      </c>
      <c r="E38" s="422" t="str">
        <f t="shared" si="1"/>
        <v>C</v>
      </c>
      <c r="F38" s="422">
        <f t="shared" si="2"/>
        <v>70</v>
      </c>
      <c r="G38" s="422" t="str">
        <f t="shared" si="3"/>
        <v>C</v>
      </c>
    </row>
    <row r="39" spans="1:7" x14ac:dyDescent="0.2">
      <c r="A39" s="422">
        <f>Biodata!A41</f>
        <v>33</v>
      </c>
      <c r="B39" s="427" t="str">
        <f>Biodata!B41</f>
        <v>181910335</v>
      </c>
      <c r="C39" s="428" t="str">
        <f>Biodata!C41</f>
        <v>SALSA ASYKIYA</v>
      </c>
      <c r="D39" s="422">
        <f t="shared" si="0"/>
        <v>82</v>
      </c>
      <c r="E39" s="422" t="str">
        <f t="shared" si="1"/>
        <v>B</v>
      </c>
      <c r="F39" s="422">
        <f t="shared" si="2"/>
        <v>80</v>
      </c>
      <c r="G39" s="422" t="str">
        <f t="shared" si="3"/>
        <v>B</v>
      </c>
    </row>
    <row r="40" spans="1:7" x14ac:dyDescent="0.2">
      <c r="A40" s="422">
        <f>Biodata!A42</f>
        <v>34</v>
      </c>
      <c r="B40" s="427" t="str">
        <f>Biodata!B42</f>
        <v>181910353</v>
      </c>
      <c r="C40" s="428" t="str">
        <f>Biodata!C42</f>
        <v>SILFI HAMIDAH</v>
      </c>
      <c r="D40" s="422">
        <f t="shared" si="0"/>
        <v>80</v>
      </c>
      <c r="E40" s="422" t="str">
        <f t="shared" si="1"/>
        <v>B</v>
      </c>
      <c r="F40" s="422">
        <f t="shared" si="2"/>
        <v>80</v>
      </c>
      <c r="G40" s="422" t="str">
        <f t="shared" si="3"/>
        <v>B</v>
      </c>
    </row>
    <row r="41" spans="1:7" x14ac:dyDescent="0.2">
      <c r="A41" s="422">
        <f>Biodata!A43</f>
        <v>35</v>
      </c>
      <c r="B41" s="427" t="str">
        <f>Biodata!B43</f>
        <v>181910408</v>
      </c>
      <c r="C41" s="428" t="str">
        <f>Biodata!C43</f>
        <v>YESHA RAHAYU</v>
      </c>
      <c r="D41" s="422">
        <f t="shared" si="0"/>
        <v>0</v>
      </c>
      <c r="E41" s="422" t="str">
        <f t="shared" si="1"/>
        <v/>
      </c>
      <c r="F41" s="422">
        <f t="shared" si="2"/>
        <v>0</v>
      </c>
      <c r="G41" s="422" t="str">
        <f t="shared" si="3"/>
        <v/>
      </c>
    </row>
    <row r="42" spans="1:7" x14ac:dyDescent="0.2">
      <c r="A42" s="422">
        <f>Biodata!A44</f>
        <v>36</v>
      </c>
      <c r="B42" s="427" t="str">
        <f>Biodata!B44</f>
        <v>036</v>
      </c>
      <c r="C42" s="428" t="str">
        <f>Biodata!C44</f>
        <v>A36</v>
      </c>
      <c r="D42" s="422">
        <f t="shared" si="0"/>
        <v>0</v>
      </c>
      <c r="E42" s="422" t="str">
        <f t="shared" si="1"/>
        <v/>
      </c>
      <c r="F42" s="422">
        <f t="shared" si="2"/>
        <v>0</v>
      </c>
      <c r="G42" s="422" t="str">
        <f t="shared" si="3"/>
        <v/>
      </c>
    </row>
    <row r="43" spans="1:7" x14ac:dyDescent="0.2">
      <c r="A43" s="422">
        <f>Biodata!A45</f>
        <v>37</v>
      </c>
      <c r="B43" s="427" t="str">
        <f>Biodata!B45</f>
        <v>037</v>
      </c>
      <c r="C43" s="428" t="str">
        <f>Biodata!C45</f>
        <v>A37</v>
      </c>
      <c r="D43" s="422">
        <f t="shared" si="0"/>
        <v>0</v>
      </c>
      <c r="E43" s="422" t="str">
        <f t="shared" si="1"/>
        <v/>
      </c>
      <c r="F43" s="422">
        <f t="shared" si="2"/>
        <v>0</v>
      </c>
      <c r="G43" s="422" t="str">
        <f t="shared" si="3"/>
        <v/>
      </c>
    </row>
    <row r="44" spans="1:7" x14ac:dyDescent="0.2">
      <c r="A44" s="422">
        <f>Biodata!A46</f>
        <v>38</v>
      </c>
      <c r="B44" s="427" t="str">
        <f>Biodata!B46</f>
        <v>038</v>
      </c>
      <c r="C44" s="428" t="str">
        <f>Biodata!C46</f>
        <v>A38</v>
      </c>
      <c r="D44" s="422">
        <f t="shared" si="0"/>
        <v>0</v>
      </c>
      <c r="E44" s="422" t="str">
        <f t="shared" si="1"/>
        <v/>
      </c>
      <c r="F44" s="422">
        <f t="shared" si="2"/>
        <v>0</v>
      </c>
      <c r="G44" s="422" t="str">
        <f t="shared" si="3"/>
        <v/>
      </c>
    </row>
    <row r="45" spans="1:7" x14ac:dyDescent="0.2">
      <c r="A45" s="422">
        <f>Biodata!A47</f>
        <v>39</v>
      </c>
      <c r="B45" s="427" t="str">
        <f>Biodata!B47</f>
        <v>039</v>
      </c>
      <c r="C45" s="428" t="str">
        <f>Biodata!C47</f>
        <v>A39</v>
      </c>
      <c r="D45" s="422">
        <f t="shared" si="0"/>
        <v>0</v>
      </c>
      <c r="E45" s="422" t="str">
        <f t="shared" si="1"/>
        <v/>
      </c>
      <c r="F45" s="422">
        <f t="shared" si="2"/>
        <v>0</v>
      </c>
      <c r="G45" s="422" t="str">
        <f t="shared" si="3"/>
        <v/>
      </c>
    </row>
    <row r="46" spans="1:7" x14ac:dyDescent="0.2">
      <c r="A46" s="422">
        <f>Biodata!A48</f>
        <v>40</v>
      </c>
      <c r="B46" s="427" t="str">
        <f>Biodata!B48</f>
        <v>040</v>
      </c>
      <c r="C46" s="428" t="str">
        <f>Biodata!C48</f>
        <v>A40</v>
      </c>
      <c r="D46" s="422">
        <f t="shared" si="0"/>
        <v>0</v>
      </c>
      <c r="E46" s="422" t="str">
        <f t="shared" si="1"/>
        <v/>
      </c>
      <c r="F46" s="422">
        <f t="shared" si="2"/>
        <v>0</v>
      </c>
      <c r="G46" s="422" t="str">
        <f t="shared" si="3"/>
        <v/>
      </c>
    </row>
    <row r="47" spans="1:7" x14ac:dyDescent="0.2">
      <c r="C47" s="432"/>
    </row>
    <row r="48" spans="1:7" x14ac:dyDescent="0.2">
      <c r="C48" s="432"/>
    </row>
    <row r="49" spans="3:3" s="425" customFormat="1" x14ac:dyDescent="0.2">
      <c r="C49" s="432"/>
    </row>
    <row r="50" spans="3:3" s="425" customFormat="1" x14ac:dyDescent="0.2">
      <c r="C50" s="432"/>
    </row>
  </sheetData>
  <sheetProtection sheet="1" objects="1" scenarios="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activeCell="D5" sqref="D5"/>
    </sheetView>
  </sheetViews>
  <sheetFormatPr defaultRowHeight="11.25" x14ac:dyDescent="0.2"/>
  <cols>
    <col min="1" max="1" width="3.7109375" style="422" customWidth="1"/>
    <col min="2" max="2" width="7.140625" style="422" customWidth="1"/>
    <col min="3" max="3" width="21.7109375" style="425" customWidth="1"/>
    <col min="4" max="4" width="11.85546875" style="422" customWidth="1"/>
    <col min="5" max="5" width="8" style="422" customWidth="1"/>
    <col min="6" max="6" width="12" style="422" customWidth="1"/>
    <col min="7" max="7" width="8" style="422" customWidth="1"/>
    <col min="8" max="16384" width="9.140625" style="425"/>
  </cols>
  <sheetData>
    <row r="1" spans="1:7" x14ac:dyDescent="0.2">
      <c r="C1" s="423" t="s">
        <v>322</v>
      </c>
      <c r="D1" s="424" t="str">
        <f>Biodata!C4</f>
        <v xml:space="preserve"> X / IPS_5 </v>
      </c>
    </row>
    <row r="2" spans="1:7" x14ac:dyDescent="0.2">
      <c r="C2" s="423" t="s">
        <v>321</v>
      </c>
      <c r="D2" s="424" t="str">
        <f>Biodata!C5</f>
        <v>2 / Genap</v>
      </c>
    </row>
    <row r="3" spans="1:7" x14ac:dyDescent="0.2">
      <c r="D3" s="424"/>
    </row>
    <row r="4" spans="1:7" x14ac:dyDescent="0.2">
      <c r="C4" s="423" t="s">
        <v>320</v>
      </c>
      <c r="D4" s="424" t="str">
        <f>LEGER!S6</f>
        <v>E k o n o m i</v>
      </c>
    </row>
    <row r="5" spans="1:7" x14ac:dyDescent="0.2">
      <c r="C5" s="423" t="s">
        <v>319</v>
      </c>
      <c r="D5" s="424">
        <f>RAPORT!C82</f>
        <v>70</v>
      </c>
    </row>
    <row r="6" spans="1:7" x14ac:dyDescent="0.2">
      <c r="A6" s="422" t="s">
        <v>323</v>
      </c>
      <c r="B6" s="422" t="s">
        <v>10</v>
      </c>
      <c r="C6" s="425" t="s">
        <v>324</v>
      </c>
      <c r="D6" s="422" t="s">
        <v>74</v>
      </c>
      <c r="E6" s="422" t="s">
        <v>72</v>
      </c>
      <c r="F6" s="422" t="s">
        <v>146</v>
      </c>
      <c r="G6" s="422" t="s">
        <v>72</v>
      </c>
    </row>
    <row r="7" spans="1:7" x14ac:dyDescent="0.2">
      <c r="A7" s="422">
        <f>Biodata!A9</f>
        <v>1</v>
      </c>
      <c r="B7" s="427" t="str">
        <f>Biodata!B9</f>
        <v>181910008</v>
      </c>
      <c r="C7" s="428" t="str">
        <f>Biodata!C9</f>
        <v>ADITA TRI KURNIA PUTRI</v>
      </c>
      <c r="D7" s="422">
        <f t="shared" ref="D7:D46" si="0">IFERROR(VLOOKUP(B7&amp;"A",leggerx1,16,0),"")</f>
        <v>0</v>
      </c>
      <c r="E7" s="422" t="str">
        <f t="shared" ref="E7:E46" si="1">IFERROR(VLOOKUP(B7&amp;"C",leggerx1,16,0),"")</f>
        <v/>
      </c>
      <c r="F7" s="422">
        <f t="shared" ref="F7:F46" si="2">IFERROR(VLOOKUP(B7&amp;"B",leggerx1,16,0),"")</f>
        <v>0</v>
      </c>
      <c r="G7" s="422" t="str">
        <f t="shared" ref="G7:G46" si="3">IFERROR(VLOOKUP(B7&amp;"D",leggerx1,16,0),"")</f>
        <v/>
      </c>
    </row>
    <row r="8" spans="1:7" x14ac:dyDescent="0.2">
      <c r="A8" s="422">
        <f>Biodata!A10</f>
        <v>2</v>
      </c>
      <c r="B8" s="427" t="str">
        <f>Biodata!B10</f>
        <v>181910011</v>
      </c>
      <c r="C8" s="428" t="str">
        <f>Biodata!C10</f>
        <v xml:space="preserve">ADNES KOMALA DEWI </v>
      </c>
      <c r="D8" s="422">
        <f t="shared" si="0"/>
        <v>53</v>
      </c>
      <c r="E8" s="422" t="str">
        <f t="shared" si="1"/>
        <v>D</v>
      </c>
      <c r="F8" s="422">
        <f t="shared" si="2"/>
        <v>0</v>
      </c>
      <c r="G8" s="422" t="str">
        <f t="shared" si="3"/>
        <v/>
      </c>
    </row>
    <row r="9" spans="1:7" x14ac:dyDescent="0.2">
      <c r="A9" s="422">
        <f>Biodata!A11</f>
        <v>3</v>
      </c>
      <c r="B9" s="427" t="str">
        <f>Biodata!B11</f>
        <v>181910014</v>
      </c>
      <c r="C9" s="428" t="str">
        <f>Biodata!C11</f>
        <v>AGUNG BUDI PRASTAWA</v>
      </c>
      <c r="D9" s="422">
        <f t="shared" si="0"/>
        <v>77</v>
      </c>
      <c r="E9" s="422" t="str">
        <f t="shared" si="1"/>
        <v>C</v>
      </c>
      <c r="F9" s="422">
        <f t="shared" si="2"/>
        <v>70</v>
      </c>
      <c r="G9" s="422" t="str">
        <f t="shared" si="3"/>
        <v>C</v>
      </c>
    </row>
    <row r="10" spans="1:7" x14ac:dyDescent="0.2">
      <c r="A10" s="422">
        <f>Biodata!A12</f>
        <v>4</v>
      </c>
      <c r="B10" s="427" t="str">
        <f>Biodata!B12</f>
        <v>181910045</v>
      </c>
      <c r="C10" s="428" t="str">
        <f>Biodata!C12</f>
        <v>ARYA DYTA WIGUNA</v>
      </c>
      <c r="D10" s="422">
        <f t="shared" si="0"/>
        <v>70</v>
      </c>
      <c r="E10" s="422" t="str">
        <f t="shared" si="1"/>
        <v>C</v>
      </c>
      <c r="F10" s="422">
        <f t="shared" si="2"/>
        <v>75</v>
      </c>
      <c r="G10" s="422" t="str">
        <f t="shared" si="3"/>
        <v>C</v>
      </c>
    </row>
    <row r="11" spans="1:7" x14ac:dyDescent="0.2">
      <c r="A11" s="422">
        <f>Biodata!A13</f>
        <v>5</v>
      </c>
      <c r="B11" s="427" t="str">
        <f>Biodata!B13</f>
        <v>181910054</v>
      </c>
      <c r="C11" s="428" t="str">
        <f>Biodata!C13</f>
        <v>AZRIEL TAMA SANTIAJI</v>
      </c>
      <c r="D11" s="422">
        <f t="shared" si="0"/>
        <v>67</v>
      </c>
      <c r="E11" s="422" t="str">
        <f t="shared" si="1"/>
        <v>D</v>
      </c>
      <c r="F11" s="422">
        <f t="shared" si="2"/>
        <v>0</v>
      </c>
      <c r="G11" s="422" t="str">
        <f t="shared" si="3"/>
        <v/>
      </c>
    </row>
    <row r="12" spans="1:7" x14ac:dyDescent="0.2">
      <c r="A12" s="422">
        <f>Biodata!A14</f>
        <v>6</v>
      </c>
      <c r="B12" s="427" t="str">
        <f>Biodata!B14</f>
        <v>181910055</v>
      </c>
      <c r="C12" s="428" t="str">
        <f>Biodata!C14</f>
        <v>AZZUHRI HAUDI</v>
      </c>
      <c r="D12" s="422">
        <f t="shared" si="0"/>
        <v>67</v>
      </c>
      <c r="E12" s="422" t="str">
        <f t="shared" si="1"/>
        <v>D</v>
      </c>
      <c r="F12" s="422">
        <f t="shared" si="2"/>
        <v>0</v>
      </c>
      <c r="G12" s="422" t="str">
        <f t="shared" si="3"/>
        <v/>
      </c>
    </row>
    <row r="13" spans="1:7" x14ac:dyDescent="0.2">
      <c r="A13" s="422">
        <f>Biodata!A15</f>
        <v>7</v>
      </c>
      <c r="B13" s="427" t="str">
        <f>Biodata!B15</f>
        <v>181910056</v>
      </c>
      <c r="C13" s="428" t="str">
        <f>Biodata!C15</f>
        <v>BAYU BATARA SURYA PUTRA</v>
      </c>
      <c r="D13" s="422">
        <f t="shared" si="0"/>
        <v>70</v>
      </c>
      <c r="E13" s="422" t="str">
        <f t="shared" si="1"/>
        <v>C</v>
      </c>
      <c r="F13" s="422">
        <f t="shared" si="2"/>
        <v>0</v>
      </c>
      <c r="G13" s="422" t="str">
        <f t="shared" si="3"/>
        <v/>
      </c>
    </row>
    <row r="14" spans="1:7" x14ac:dyDescent="0.2">
      <c r="A14" s="422">
        <f>Biodata!A16</f>
        <v>8</v>
      </c>
      <c r="B14" s="427" t="str">
        <f>Biodata!B16</f>
        <v>181910069</v>
      </c>
      <c r="C14" s="428" t="str">
        <f>Biodata!C16</f>
        <v>DANDY ERVAN PRATAMA</v>
      </c>
      <c r="D14" s="422">
        <f t="shared" si="0"/>
        <v>73</v>
      </c>
      <c r="E14" s="422" t="str">
        <f t="shared" si="1"/>
        <v>C</v>
      </c>
      <c r="F14" s="422">
        <f t="shared" si="2"/>
        <v>0</v>
      </c>
      <c r="G14" s="422" t="str">
        <f t="shared" si="3"/>
        <v/>
      </c>
    </row>
    <row r="15" spans="1:7" x14ac:dyDescent="0.2">
      <c r="A15" s="422">
        <f>Biodata!A17</f>
        <v>9</v>
      </c>
      <c r="B15" s="427" t="str">
        <f>Biodata!B17</f>
        <v>181910085</v>
      </c>
      <c r="C15" s="428" t="str">
        <f>Biodata!C17</f>
        <v>DENISA ASTI RAHMAWATI</v>
      </c>
      <c r="D15" s="422">
        <f t="shared" si="0"/>
        <v>60</v>
      </c>
      <c r="E15" s="422" t="str">
        <f t="shared" si="1"/>
        <v>D</v>
      </c>
      <c r="F15" s="422">
        <f t="shared" si="2"/>
        <v>0</v>
      </c>
      <c r="G15" s="422" t="str">
        <f t="shared" si="3"/>
        <v/>
      </c>
    </row>
    <row r="16" spans="1:7" x14ac:dyDescent="0.2">
      <c r="A16" s="422">
        <f>Biodata!A18</f>
        <v>10</v>
      </c>
      <c r="B16" s="427" t="str">
        <f>Biodata!B18</f>
        <v>181910093</v>
      </c>
      <c r="C16" s="428" t="str">
        <f>Biodata!C18</f>
        <v>DIAN RAMDHAN SAPTIAN</v>
      </c>
      <c r="D16" s="422">
        <f t="shared" si="0"/>
        <v>77</v>
      </c>
      <c r="E16" s="422" t="str">
        <f t="shared" si="1"/>
        <v>C</v>
      </c>
      <c r="F16" s="422">
        <f t="shared" si="2"/>
        <v>0</v>
      </c>
      <c r="G16" s="422" t="str">
        <f t="shared" si="3"/>
        <v/>
      </c>
    </row>
    <row r="17" spans="1:7" x14ac:dyDescent="0.2">
      <c r="A17" s="422">
        <f>Biodata!A19</f>
        <v>11</v>
      </c>
      <c r="B17" s="427" t="str">
        <f>Biodata!B19</f>
        <v>181910103</v>
      </c>
      <c r="C17" s="428" t="str">
        <f>Biodata!C19</f>
        <v>DIVYA ADHIANI NURDIN</v>
      </c>
      <c r="D17" s="422">
        <f t="shared" si="0"/>
        <v>83</v>
      </c>
      <c r="E17" s="422" t="str">
        <f t="shared" si="1"/>
        <v>B</v>
      </c>
      <c r="F17" s="422">
        <f t="shared" si="2"/>
        <v>0</v>
      </c>
      <c r="G17" s="422" t="str">
        <f t="shared" si="3"/>
        <v/>
      </c>
    </row>
    <row r="18" spans="1:7" x14ac:dyDescent="0.2">
      <c r="A18" s="422">
        <f>Biodata!A20</f>
        <v>12</v>
      </c>
      <c r="B18" s="427" t="str">
        <f>Biodata!B20</f>
        <v>181910104</v>
      </c>
      <c r="C18" s="428" t="str">
        <f>Biodata!C20</f>
        <v>DWIKI DERMAWAN</v>
      </c>
      <c r="D18" s="422">
        <f t="shared" si="0"/>
        <v>60</v>
      </c>
      <c r="E18" s="422" t="str">
        <f t="shared" si="1"/>
        <v>D</v>
      </c>
      <c r="F18" s="422">
        <f t="shared" si="2"/>
        <v>0</v>
      </c>
      <c r="G18" s="422" t="str">
        <f t="shared" si="3"/>
        <v/>
      </c>
    </row>
    <row r="19" spans="1:7" x14ac:dyDescent="0.2">
      <c r="A19" s="422">
        <f>Biodata!A21</f>
        <v>13</v>
      </c>
      <c r="B19" s="427" t="str">
        <f>Biodata!B21</f>
        <v>181910118</v>
      </c>
      <c r="C19" s="428" t="str">
        <f>Biodata!C21</f>
        <v>ENCEP CANDRA</v>
      </c>
      <c r="D19" s="422">
        <f t="shared" si="0"/>
        <v>70</v>
      </c>
      <c r="E19" s="422" t="str">
        <f t="shared" si="1"/>
        <v>C</v>
      </c>
      <c r="F19" s="422">
        <f t="shared" si="2"/>
        <v>70</v>
      </c>
      <c r="G19" s="422" t="str">
        <f t="shared" si="3"/>
        <v>C</v>
      </c>
    </row>
    <row r="20" spans="1:7" x14ac:dyDescent="0.2">
      <c r="A20" s="422">
        <f>Biodata!A22</f>
        <v>14</v>
      </c>
      <c r="B20" s="427" t="str">
        <f>Biodata!B22</f>
        <v>181910128</v>
      </c>
      <c r="C20" s="428" t="str">
        <f>Biodata!C22</f>
        <v>FAIZAL EGI</v>
      </c>
      <c r="D20" s="422">
        <f t="shared" si="0"/>
        <v>70</v>
      </c>
      <c r="E20" s="422" t="str">
        <f t="shared" si="1"/>
        <v>C</v>
      </c>
      <c r="F20" s="422">
        <f t="shared" si="2"/>
        <v>70</v>
      </c>
      <c r="G20" s="422" t="str">
        <f t="shared" si="3"/>
        <v>C</v>
      </c>
    </row>
    <row r="21" spans="1:7" x14ac:dyDescent="0.2">
      <c r="A21" s="422">
        <f>Biodata!A23</f>
        <v>15</v>
      </c>
      <c r="B21" s="427" t="str">
        <f>Biodata!B23</f>
        <v>181910133</v>
      </c>
      <c r="C21" s="428" t="str">
        <f>Biodata!C23</f>
        <v>FAUZI DHALFADLIL AZHANI</v>
      </c>
      <c r="D21" s="422">
        <f t="shared" si="0"/>
        <v>57</v>
      </c>
      <c r="E21" s="422" t="str">
        <f t="shared" si="1"/>
        <v>D</v>
      </c>
      <c r="F21" s="422">
        <f t="shared" si="2"/>
        <v>0</v>
      </c>
      <c r="G21" s="422" t="str">
        <f t="shared" si="3"/>
        <v/>
      </c>
    </row>
    <row r="22" spans="1:7" x14ac:dyDescent="0.2">
      <c r="A22" s="422">
        <f>Biodata!A24</f>
        <v>16</v>
      </c>
      <c r="B22" s="427" t="str">
        <f>Biodata!B24</f>
        <v>181910161</v>
      </c>
      <c r="C22" s="428" t="str">
        <f>Biodata!C24</f>
        <v>HILMAN PUTRA PAMUNGKAS</v>
      </c>
      <c r="D22" s="422">
        <f t="shared" si="0"/>
        <v>57</v>
      </c>
      <c r="E22" s="422" t="str">
        <f t="shared" si="1"/>
        <v>D</v>
      </c>
      <c r="F22" s="422">
        <f t="shared" si="2"/>
        <v>0</v>
      </c>
      <c r="G22" s="422" t="str">
        <f t="shared" si="3"/>
        <v/>
      </c>
    </row>
    <row r="23" spans="1:7" x14ac:dyDescent="0.2">
      <c r="A23" s="422">
        <f>Biodata!A25</f>
        <v>17</v>
      </c>
      <c r="B23" s="427" t="str">
        <f>Biodata!B25</f>
        <v>181910165</v>
      </c>
      <c r="C23" s="428" t="str">
        <f>Biodata!C25</f>
        <v>IHSYA FADILLAH MUSLIM</v>
      </c>
      <c r="D23" s="422">
        <f t="shared" si="0"/>
        <v>70</v>
      </c>
      <c r="E23" s="422" t="str">
        <f t="shared" si="1"/>
        <v>C</v>
      </c>
      <c r="F23" s="422">
        <f t="shared" si="2"/>
        <v>70</v>
      </c>
      <c r="G23" s="422" t="str">
        <f t="shared" si="3"/>
        <v>C</v>
      </c>
    </row>
    <row r="24" spans="1:7" x14ac:dyDescent="0.2">
      <c r="A24" s="422">
        <f>Biodata!A26</f>
        <v>18</v>
      </c>
      <c r="B24" s="427" t="str">
        <f>Biodata!B26</f>
        <v>181910185</v>
      </c>
      <c r="C24" s="428" t="str">
        <f>Biodata!C26</f>
        <v>JIHAD AKBAR</v>
      </c>
      <c r="D24" s="422">
        <f t="shared" si="0"/>
        <v>53</v>
      </c>
      <c r="E24" s="422" t="str">
        <f t="shared" si="1"/>
        <v>D</v>
      </c>
      <c r="F24" s="422">
        <f t="shared" si="2"/>
        <v>0</v>
      </c>
      <c r="G24" s="422" t="str">
        <f t="shared" si="3"/>
        <v/>
      </c>
    </row>
    <row r="25" spans="1:7" x14ac:dyDescent="0.2">
      <c r="A25" s="422">
        <f>Biodata!A27</f>
        <v>19</v>
      </c>
      <c r="B25" s="427" t="str">
        <f>Biodata!B27</f>
        <v>181910226</v>
      </c>
      <c r="C25" s="428" t="str">
        <f>Biodata!C27</f>
        <v>MUHAMAD IZZAZUL FIKRIAN</v>
      </c>
      <c r="D25" s="422">
        <f t="shared" si="0"/>
        <v>0</v>
      </c>
      <c r="E25" s="422" t="str">
        <f t="shared" si="1"/>
        <v/>
      </c>
      <c r="F25" s="422">
        <f t="shared" si="2"/>
        <v>0</v>
      </c>
      <c r="G25" s="422" t="str">
        <f t="shared" si="3"/>
        <v/>
      </c>
    </row>
    <row r="26" spans="1:7" x14ac:dyDescent="0.2">
      <c r="A26" s="422">
        <f>Biodata!A28</f>
        <v>20</v>
      </c>
      <c r="B26" s="427" t="str">
        <f>Biodata!B28</f>
        <v>181910433</v>
      </c>
      <c r="C26" s="428" t="str">
        <f>Biodata!C28</f>
        <v>MUHAMAD RIZAL</v>
      </c>
      <c r="D26" s="422">
        <f t="shared" si="0"/>
        <v>0</v>
      </c>
      <c r="E26" s="422" t="str">
        <f t="shared" si="1"/>
        <v/>
      </c>
      <c r="F26" s="422">
        <f t="shared" si="2"/>
        <v>0</v>
      </c>
      <c r="G26" s="422" t="str">
        <f t="shared" si="3"/>
        <v/>
      </c>
    </row>
    <row r="27" spans="1:7" x14ac:dyDescent="0.2">
      <c r="A27" s="422">
        <f>Biodata!A29</f>
        <v>21</v>
      </c>
      <c r="B27" s="427" t="str">
        <f>Biodata!B29</f>
        <v>181910240</v>
      </c>
      <c r="C27" s="428" t="str">
        <f>Biodata!C29</f>
        <v>NESHA RAUDHATUL ZANNAH</v>
      </c>
      <c r="D27" s="422">
        <f t="shared" si="0"/>
        <v>70</v>
      </c>
      <c r="E27" s="422" t="str">
        <f t="shared" si="1"/>
        <v>C</v>
      </c>
      <c r="F27" s="422">
        <f t="shared" si="2"/>
        <v>75</v>
      </c>
      <c r="G27" s="422" t="str">
        <f t="shared" si="3"/>
        <v>C</v>
      </c>
    </row>
    <row r="28" spans="1:7" x14ac:dyDescent="0.2">
      <c r="A28" s="422">
        <f>Biodata!A30</f>
        <v>22</v>
      </c>
      <c r="B28" s="427" t="str">
        <f>Biodata!B30</f>
        <v>181910262</v>
      </c>
      <c r="C28" s="428" t="str">
        <f>Biodata!C30</f>
        <v>PUTRI ANGGRAENI</v>
      </c>
      <c r="D28" s="422">
        <f t="shared" si="0"/>
        <v>70</v>
      </c>
      <c r="E28" s="422" t="str">
        <f t="shared" si="1"/>
        <v>C</v>
      </c>
      <c r="F28" s="422">
        <f t="shared" si="2"/>
        <v>0</v>
      </c>
      <c r="G28" s="422" t="str">
        <f t="shared" si="3"/>
        <v/>
      </c>
    </row>
    <row r="29" spans="1:7" x14ac:dyDescent="0.2">
      <c r="A29" s="422">
        <f>Biodata!A31</f>
        <v>23</v>
      </c>
      <c r="B29" s="427" t="str">
        <f>Biodata!B31</f>
        <v>181910266</v>
      </c>
      <c r="C29" s="428" t="str">
        <f>Biodata!C31</f>
        <v>PUTRI WULANDARI</v>
      </c>
      <c r="D29" s="422">
        <f t="shared" si="0"/>
        <v>70</v>
      </c>
      <c r="E29" s="422" t="str">
        <f t="shared" si="1"/>
        <v>C</v>
      </c>
      <c r="F29" s="422">
        <f t="shared" si="2"/>
        <v>80</v>
      </c>
      <c r="G29" s="422" t="str">
        <f t="shared" si="3"/>
        <v>B</v>
      </c>
    </row>
    <row r="30" spans="1:7" x14ac:dyDescent="0.2">
      <c r="A30" s="422">
        <f>Biodata!A32</f>
        <v>24</v>
      </c>
      <c r="B30" s="427" t="str">
        <f>Biodata!B32</f>
        <v>181910272</v>
      </c>
      <c r="C30" s="428" t="str">
        <f>Biodata!C32</f>
        <v>RAFLY GYMNASTIAR</v>
      </c>
      <c r="D30" s="422">
        <f t="shared" si="0"/>
        <v>60</v>
      </c>
      <c r="E30" s="422" t="str">
        <f t="shared" si="1"/>
        <v>D</v>
      </c>
      <c r="F30" s="422">
        <f t="shared" si="2"/>
        <v>0</v>
      </c>
      <c r="G30" s="422" t="str">
        <f t="shared" si="3"/>
        <v/>
      </c>
    </row>
    <row r="31" spans="1:7" x14ac:dyDescent="0.2">
      <c r="A31" s="422">
        <f>Biodata!A33</f>
        <v>25</v>
      </c>
      <c r="B31" s="427" t="str">
        <f>Biodata!B33</f>
        <v>181910280</v>
      </c>
      <c r="C31" s="428" t="str">
        <f>Biodata!C33</f>
        <v>REFIANA</v>
      </c>
      <c r="D31" s="422">
        <f t="shared" si="0"/>
        <v>70</v>
      </c>
      <c r="E31" s="422" t="str">
        <f t="shared" si="1"/>
        <v>C</v>
      </c>
      <c r="F31" s="422">
        <f t="shared" si="2"/>
        <v>70</v>
      </c>
      <c r="G31" s="422" t="str">
        <f t="shared" si="3"/>
        <v>C</v>
      </c>
    </row>
    <row r="32" spans="1:7" x14ac:dyDescent="0.2">
      <c r="A32" s="422">
        <f>Biodata!A34</f>
        <v>26</v>
      </c>
      <c r="B32" s="427" t="str">
        <f>Biodata!B34</f>
        <v>181910285</v>
      </c>
      <c r="C32" s="428" t="str">
        <f>Biodata!C34</f>
        <v>RENALDI PRIYATAMA</v>
      </c>
      <c r="D32" s="422">
        <f t="shared" si="0"/>
        <v>53</v>
      </c>
      <c r="E32" s="422" t="str">
        <f t="shared" si="1"/>
        <v>D</v>
      </c>
      <c r="F32" s="422">
        <f t="shared" si="2"/>
        <v>0</v>
      </c>
      <c r="G32" s="422" t="str">
        <f t="shared" si="3"/>
        <v/>
      </c>
    </row>
    <row r="33" spans="1:7" x14ac:dyDescent="0.2">
      <c r="A33" s="422">
        <f>Biodata!A35</f>
        <v>27</v>
      </c>
      <c r="B33" s="427" t="str">
        <f>Biodata!B35</f>
        <v>181910286</v>
      </c>
      <c r="C33" s="428" t="str">
        <f>Biodata!C35</f>
        <v>RENATA</v>
      </c>
      <c r="D33" s="422">
        <f t="shared" si="0"/>
        <v>70</v>
      </c>
      <c r="E33" s="422" t="str">
        <f t="shared" si="1"/>
        <v>C</v>
      </c>
      <c r="F33" s="422">
        <f t="shared" si="2"/>
        <v>80</v>
      </c>
      <c r="G33" s="422" t="str">
        <f t="shared" si="3"/>
        <v>B</v>
      </c>
    </row>
    <row r="34" spans="1:7" x14ac:dyDescent="0.2">
      <c r="A34" s="422">
        <f>Biodata!A36</f>
        <v>28</v>
      </c>
      <c r="B34" s="427" t="str">
        <f>Biodata!B36</f>
        <v>181910293</v>
      </c>
      <c r="C34" s="428" t="str">
        <f>Biodata!C36</f>
        <v xml:space="preserve">REZA ERNANDA </v>
      </c>
      <c r="D34" s="422">
        <f t="shared" si="0"/>
        <v>73</v>
      </c>
      <c r="E34" s="422" t="str">
        <f t="shared" si="1"/>
        <v>C</v>
      </c>
      <c r="F34" s="422">
        <f t="shared" si="2"/>
        <v>80</v>
      </c>
      <c r="G34" s="422" t="str">
        <f t="shared" si="3"/>
        <v>B</v>
      </c>
    </row>
    <row r="35" spans="1:7" x14ac:dyDescent="0.2">
      <c r="A35" s="422">
        <f>Biodata!A37</f>
        <v>29</v>
      </c>
      <c r="B35" s="427" t="str">
        <f>Biodata!B37</f>
        <v>181910300</v>
      </c>
      <c r="C35" s="428" t="str">
        <f>Biodata!C37</f>
        <v>RIFAN MUHAMAD RIZKI</v>
      </c>
      <c r="D35" s="422">
        <f t="shared" si="0"/>
        <v>0</v>
      </c>
      <c r="E35" s="422" t="str">
        <f t="shared" si="1"/>
        <v/>
      </c>
      <c r="F35" s="422">
        <f t="shared" si="2"/>
        <v>0</v>
      </c>
      <c r="G35" s="422" t="str">
        <f t="shared" si="3"/>
        <v/>
      </c>
    </row>
    <row r="36" spans="1:7" x14ac:dyDescent="0.2">
      <c r="A36" s="422">
        <f>Biodata!A38</f>
        <v>30</v>
      </c>
      <c r="B36" s="427" t="str">
        <f>Biodata!B38</f>
        <v>181910318</v>
      </c>
      <c r="C36" s="428" t="str">
        <f>Biodata!C38</f>
        <v>RISMA SURYANI</v>
      </c>
      <c r="D36" s="422">
        <f t="shared" si="0"/>
        <v>70</v>
      </c>
      <c r="E36" s="422" t="str">
        <f t="shared" si="1"/>
        <v>C</v>
      </c>
      <c r="F36" s="422">
        <f t="shared" si="2"/>
        <v>80</v>
      </c>
      <c r="G36" s="422" t="str">
        <f t="shared" si="3"/>
        <v>B</v>
      </c>
    </row>
    <row r="37" spans="1:7" x14ac:dyDescent="0.2">
      <c r="A37" s="422">
        <f>Biodata!A39</f>
        <v>31</v>
      </c>
      <c r="B37" s="427" t="str">
        <f>Biodata!B39</f>
        <v>181910320</v>
      </c>
      <c r="C37" s="428" t="str">
        <f>Biodata!C39</f>
        <v>RISNA TIRANI</v>
      </c>
      <c r="D37" s="422">
        <f t="shared" si="0"/>
        <v>73</v>
      </c>
      <c r="E37" s="422" t="str">
        <f t="shared" si="1"/>
        <v>C</v>
      </c>
      <c r="F37" s="422">
        <f t="shared" si="2"/>
        <v>80</v>
      </c>
      <c r="G37" s="422" t="str">
        <f t="shared" si="3"/>
        <v>B</v>
      </c>
    </row>
    <row r="38" spans="1:7" x14ac:dyDescent="0.2">
      <c r="A38" s="422">
        <f>Biodata!A40</f>
        <v>32</v>
      </c>
      <c r="B38" s="427" t="str">
        <f>Biodata!B40</f>
        <v>181910331</v>
      </c>
      <c r="C38" s="428" t="str">
        <f>Biodata!C40</f>
        <v>RULLY PRATAMA S.</v>
      </c>
      <c r="D38" s="422">
        <f t="shared" si="0"/>
        <v>70</v>
      </c>
      <c r="E38" s="422" t="str">
        <f t="shared" si="1"/>
        <v>C</v>
      </c>
      <c r="F38" s="422">
        <f t="shared" si="2"/>
        <v>0</v>
      </c>
      <c r="G38" s="422" t="str">
        <f t="shared" si="3"/>
        <v/>
      </c>
    </row>
    <row r="39" spans="1:7" x14ac:dyDescent="0.2">
      <c r="A39" s="422">
        <f>Biodata!A41</f>
        <v>33</v>
      </c>
      <c r="B39" s="427" t="str">
        <f>Biodata!B41</f>
        <v>181910335</v>
      </c>
      <c r="C39" s="428" t="str">
        <f>Biodata!C41</f>
        <v>SALSA ASYKIYA</v>
      </c>
      <c r="D39" s="422">
        <f t="shared" si="0"/>
        <v>83</v>
      </c>
      <c r="E39" s="422" t="str">
        <f t="shared" si="1"/>
        <v>B</v>
      </c>
      <c r="F39" s="422">
        <f t="shared" si="2"/>
        <v>80</v>
      </c>
      <c r="G39" s="422" t="str">
        <f t="shared" si="3"/>
        <v>B</v>
      </c>
    </row>
    <row r="40" spans="1:7" x14ac:dyDescent="0.2">
      <c r="A40" s="422">
        <f>Biodata!A42</f>
        <v>34</v>
      </c>
      <c r="B40" s="427" t="str">
        <f>Biodata!B42</f>
        <v>181910353</v>
      </c>
      <c r="C40" s="428" t="str">
        <f>Biodata!C42</f>
        <v>SILFI HAMIDAH</v>
      </c>
      <c r="D40" s="422">
        <f t="shared" si="0"/>
        <v>73</v>
      </c>
      <c r="E40" s="422" t="str">
        <f t="shared" si="1"/>
        <v>C</v>
      </c>
      <c r="F40" s="422">
        <f t="shared" si="2"/>
        <v>80</v>
      </c>
      <c r="G40" s="422" t="str">
        <f t="shared" si="3"/>
        <v>B</v>
      </c>
    </row>
    <row r="41" spans="1:7" x14ac:dyDescent="0.2">
      <c r="A41" s="422">
        <f>Biodata!A43</f>
        <v>35</v>
      </c>
      <c r="B41" s="427" t="str">
        <f>Biodata!B43</f>
        <v>181910408</v>
      </c>
      <c r="C41" s="428" t="str">
        <f>Biodata!C43</f>
        <v>YESHA RAHAYU</v>
      </c>
      <c r="D41" s="422">
        <f t="shared" si="0"/>
        <v>0</v>
      </c>
      <c r="E41" s="422" t="str">
        <f t="shared" si="1"/>
        <v/>
      </c>
      <c r="F41" s="422">
        <f t="shared" si="2"/>
        <v>0</v>
      </c>
      <c r="G41" s="422" t="str">
        <f t="shared" si="3"/>
        <v/>
      </c>
    </row>
    <row r="42" spans="1:7" x14ac:dyDescent="0.2">
      <c r="A42" s="422">
        <f>Biodata!A44</f>
        <v>36</v>
      </c>
      <c r="B42" s="427" t="str">
        <f>Biodata!B44</f>
        <v>036</v>
      </c>
      <c r="C42" s="428" t="str">
        <f>Biodata!C44</f>
        <v>A36</v>
      </c>
      <c r="D42" s="422">
        <f t="shared" si="0"/>
        <v>0</v>
      </c>
      <c r="E42" s="422" t="str">
        <f t="shared" si="1"/>
        <v/>
      </c>
      <c r="F42" s="422">
        <f t="shared" si="2"/>
        <v>0</v>
      </c>
      <c r="G42" s="422" t="str">
        <f t="shared" si="3"/>
        <v/>
      </c>
    </row>
    <row r="43" spans="1:7" x14ac:dyDescent="0.2">
      <c r="A43" s="422">
        <f>Biodata!A45</f>
        <v>37</v>
      </c>
      <c r="B43" s="427" t="str">
        <f>Biodata!B45</f>
        <v>037</v>
      </c>
      <c r="C43" s="428" t="str">
        <f>Biodata!C45</f>
        <v>A37</v>
      </c>
      <c r="D43" s="422">
        <f t="shared" si="0"/>
        <v>0</v>
      </c>
      <c r="E43" s="422" t="str">
        <f t="shared" si="1"/>
        <v/>
      </c>
      <c r="F43" s="422">
        <f t="shared" si="2"/>
        <v>0</v>
      </c>
      <c r="G43" s="422" t="str">
        <f t="shared" si="3"/>
        <v/>
      </c>
    </row>
    <row r="44" spans="1:7" x14ac:dyDescent="0.2">
      <c r="A44" s="422">
        <f>Biodata!A46</f>
        <v>38</v>
      </c>
      <c r="B44" s="427" t="str">
        <f>Biodata!B46</f>
        <v>038</v>
      </c>
      <c r="C44" s="428" t="str">
        <f>Biodata!C46</f>
        <v>A38</v>
      </c>
      <c r="D44" s="422">
        <f t="shared" si="0"/>
        <v>0</v>
      </c>
      <c r="E44" s="422" t="str">
        <f t="shared" si="1"/>
        <v/>
      </c>
      <c r="F44" s="422">
        <f t="shared" si="2"/>
        <v>0</v>
      </c>
      <c r="G44" s="422" t="str">
        <f t="shared" si="3"/>
        <v/>
      </c>
    </row>
    <row r="45" spans="1:7" x14ac:dyDescent="0.2">
      <c r="A45" s="422">
        <f>Biodata!A47</f>
        <v>39</v>
      </c>
      <c r="B45" s="427" t="str">
        <f>Biodata!B47</f>
        <v>039</v>
      </c>
      <c r="C45" s="428" t="str">
        <f>Biodata!C47</f>
        <v>A39</v>
      </c>
      <c r="D45" s="422">
        <f t="shared" si="0"/>
        <v>0</v>
      </c>
      <c r="E45" s="422" t="str">
        <f t="shared" si="1"/>
        <v/>
      </c>
      <c r="F45" s="422">
        <f t="shared" si="2"/>
        <v>0</v>
      </c>
      <c r="G45" s="422" t="str">
        <f t="shared" si="3"/>
        <v/>
      </c>
    </row>
    <row r="46" spans="1:7" x14ac:dyDescent="0.2">
      <c r="A46" s="422">
        <f>Biodata!A48</f>
        <v>40</v>
      </c>
      <c r="B46" s="427" t="str">
        <f>Biodata!B48</f>
        <v>040</v>
      </c>
      <c r="C46" s="428" t="str">
        <f>Biodata!C48</f>
        <v>A40</v>
      </c>
      <c r="D46" s="422">
        <f t="shared" si="0"/>
        <v>0</v>
      </c>
      <c r="E46" s="422" t="str">
        <f t="shared" si="1"/>
        <v/>
      </c>
      <c r="F46" s="422">
        <f t="shared" si="2"/>
        <v>0</v>
      </c>
      <c r="G46" s="422" t="str">
        <f t="shared" si="3"/>
        <v/>
      </c>
    </row>
    <row r="47" spans="1:7" x14ac:dyDescent="0.2">
      <c r="C47" s="432"/>
    </row>
    <row r="48" spans="1:7" x14ac:dyDescent="0.2">
      <c r="C48" s="432"/>
    </row>
    <row r="49" spans="3:3" s="425" customFormat="1" x14ac:dyDescent="0.2">
      <c r="C49" s="432"/>
    </row>
    <row r="50" spans="3:3" s="425" customFormat="1" x14ac:dyDescent="0.2">
      <c r="C50" s="432"/>
    </row>
  </sheetData>
  <sheetProtection sheet="1" objects="1" scenarios="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activeCell="D5" sqref="D5"/>
    </sheetView>
  </sheetViews>
  <sheetFormatPr defaultRowHeight="11.25" x14ac:dyDescent="0.2"/>
  <cols>
    <col min="1" max="1" width="3.7109375" style="422" customWidth="1"/>
    <col min="2" max="2" width="7.140625" style="422" customWidth="1"/>
    <col min="3" max="3" width="21.7109375" style="425" customWidth="1"/>
    <col min="4" max="4" width="11.85546875" style="422" customWidth="1"/>
    <col min="5" max="5" width="8" style="422" customWidth="1"/>
    <col min="6" max="6" width="12" style="422" customWidth="1"/>
    <col min="7" max="7" width="8" style="422" customWidth="1"/>
    <col min="8" max="16384" width="9.140625" style="425"/>
  </cols>
  <sheetData>
    <row r="1" spans="1:7" x14ac:dyDescent="0.2">
      <c r="C1" s="423" t="s">
        <v>322</v>
      </c>
      <c r="D1" s="424" t="str">
        <f>Biodata!C4</f>
        <v xml:space="preserve"> X / IPS_5 </v>
      </c>
    </row>
    <row r="2" spans="1:7" x14ac:dyDescent="0.2">
      <c r="C2" s="423" t="s">
        <v>321</v>
      </c>
      <c r="D2" s="424" t="str">
        <f>Biodata!C5</f>
        <v>2 / Genap</v>
      </c>
    </row>
    <row r="3" spans="1:7" x14ac:dyDescent="0.2">
      <c r="D3" s="424"/>
    </row>
    <row r="4" spans="1:7" x14ac:dyDescent="0.2">
      <c r="C4" s="423" t="s">
        <v>320</v>
      </c>
      <c r="D4" s="424" t="str">
        <f>LEGER!T6</f>
        <v>Bahasa Inggris</v>
      </c>
    </row>
    <row r="5" spans="1:7" x14ac:dyDescent="0.2">
      <c r="C5" s="423" t="s">
        <v>319</v>
      </c>
      <c r="D5" s="424">
        <f>RAPORT!C82</f>
        <v>70</v>
      </c>
    </row>
    <row r="6" spans="1:7" x14ac:dyDescent="0.2">
      <c r="A6" s="422" t="s">
        <v>323</v>
      </c>
      <c r="B6" s="422" t="s">
        <v>10</v>
      </c>
      <c r="C6" s="425" t="s">
        <v>324</v>
      </c>
      <c r="D6" s="422" t="s">
        <v>74</v>
      </c>
      <c r="E6" s="422" t="s">
        <v>72</v>
      </c>
      <c r="F6" s="422" t="s">
        <v>146</v>
      </c>
      <c r="G6" s="422" t="s">
        <v>72</v>
      </c>
    </row>
    <row r="7" spans="1:7" x14ac:dyDescent="0.2">
      <c r="A7" s="422">
        <f>Biodata!A9</f>
        <v>1</v>
      </c>
      <c r="B7" s="427" t="str">
        <f>Biodata!B9</f>
        <v>181910008</v>
      </c>
      <c r="C7" s="428" t="str">
        <f>Biodata!C9</f>
        <v>ADITA TRI KURNIA PUTRI</v>
      </c>
      <c r="D7" s="422">
        <f t="shared" ref="D7:D46" si="0">IFERROR(VLOOKUP(B7&amp;"A",leggerx1,17,0),"")</f>
        <v>0</v>
      </c>
      <c r="E7" s="422" t="str">
        <f t="shared" ref="E7:E46" si="1">IFERROR(VLOOKUP(B7&amp;"C",leggerx1,17,0),"")</f>
        <v/>
      </c>
      <c r="F7" s="422">
        <f t="shared" ref="F7:F46" si="2">IFERROR(VLOOKUP(B7&amp;"B",leggerx1,17,0),"")</f>
        <v>0</v>
      </c>
      <c r="G7" s="422" t="str">
        <f t="shared" ref="G7:G46" si="3">IFERROR(VLOOKUP(B7&amp;"D",leggerx1,17,0),"")</f>
        <v/>
      </c>
    </row>
    <row r="8" spans="1:7" x14ac:dyDescent="0.2">
      <c r="A8" s="422">
        <f>Biodata!A10</f>
        <v>2</v>
      </c>
      <c r="B8" s="427" t="str">
        <f>Biodata!B10</f>
        <v>181910011</v>
      </c>
      <c r="C8" s="428" t="str">
        <f>Biodata!C10</f>
        <v xml:space="preserve">ADNES KOMALA DEWI </v>
      </c>
      <c r="D8" s="422">
        <f t="shared" si="0"/>
        <v>42</v>
      </c>
      <c r="E8" s="422" t="str">
        <f t="shared" si="1"/>
        <v>D</v>
      </c>
      <c r="F8" s="422">
        <f t="shared" si="2"/>
        <v>50</v>
      </c>
      <c r="G8" s="422" t="str">
        <f t="shared" si="3"/>
        <v>D</v>
      </c>
    </row>
    <row r="9" spans="1:7" x14ac:dyDescent="0.2">
      <c r="A9" s="422">
        <f>Biodata!A11</f>
        <v>3</v>
      </c>
      <c r="B9" s="427" t="str">
        <f>Biodata!B11</f>
        <v>181910014</v>
      </c>
      <c r="C9" s="428" t="str">
        <f>Biodata!C11</f>
        <v>AGUNG BUDI PRASTAWA</v>
      </c>
      <c r="D9" s="422">
        <f t="shared" si="0"/>
        <v>43</v>
      </c>
      <c r="E9" s="422" t="str">
        <f t="shared" si="1"/>
        <v>D</v>
      </c>
      <c r="F9" s="422">
        <f t="shared" si="2"/>
        <v>40</v>
      </c>
      <c r="G9" s="422" t="str">
        <f t="shared" si="3"/>
        <v>D</v>
      </c>
    </row>
    <row r="10" spans="1:7" x14ac:dyDescent="0.2">
      <c r="A10" s="422">
        <f>Biodata!A12</f>
        <v>4</v>
      </c>
      <c r="B10" s="427" t="str">
        <f>Biodata!B12</f>
        <v>181910045</v>
      </c>
      <c r="C10" s="428" t="str">
        <f>Biodata!C12</f>
        <v>ARYA DYTA WIGUNA</v>
      </c>
      <c r="D10" s="422">
        <f t="shared" si="0"/>
        <v>70</v>
      </c>
      <c r="E10" s="422" t="str">
        <f t="shared" si="1"/>
        <v>C</v>
      </c>
      <c r="F10" s="422">
        <f t="shared" si="2"/>
        <v>72</v>
      </c>
      <c r="G10" s="422" t="str">
        <f t="shared" si="3"/>
        <v>C</v>
      </c>
    </row>
    <row r="11" spans="1:7" x14ac:dyDescent="0.2">
      <c r="A11" s="422">
        <f>Biodata!A13</f>
        <v>5</v>
      </c>
      <c r="B11" s="427" t="str">
        <f>Biodata!B13</f>
        <v>181910054</v>
      </c>
      <c r="C11" s="428" t="str">
        <f>Biodata!C13</f>
        <v>AZRIEL TAMA SANTIAJI</v>
      </c>
      <c r="D11" s="422">
        <f t="shared" si="0"/>
        <v>20</v>
      </c>
      <c r="E11" s="422" t="str">
        <f t="shared" si="1"/>
        <v>D</v>
      </c>
      <c r="F11" s="422">
        <f t="shared" si="2"/>
        <v>30</v>
      </c>
      <c r="G11" s="422" t="str">
        <f t="shared" si="3"/>
        <v>D</v>
      </c>
    </row>
    <row r="12" spans="1:7" x14ac:dyDescent="0.2">
      <c r="A12" s="422">
        <f>Biodata!A14</f>
        <v>6</v>
      </c>
      <c r="B12" s="427" t="str">
        <f>Biodata!B14</f>
        <v>181910055</v>
      </c>
      <c r="C12" s="428" t="str">
        <f>Biodata!C14</f>
        <v>AZZUHRI HAUDI</v>
      </c>
      <c r="D12" s="422">
        <f t="shared" si="0"/>
        <v>60</v>
      </c>
      <c r="E12" s="422" t="str">
        <f t="shared" si="1"/>
        <v>D</v>
      </c>
      <c r="F12" s="422">
        <f t="shared" si="2"/>
        <v>74</v>
      </c>
      <c r="G12" s="422" t="str">
        <f t="shared" si="3"/>
        <v>C</v>
      </c>
    </row>
    <row r="13" spans="1:7" x14ac:dyDescent="0.2">
      <c r="A13" s="422">
        <f>Biodata!A15</f>
        <v>7</v>
      </c>
      <c r="B13" s="427" t="str">
        <f>Biodata!B15</f>
        <v>181910056</v>
      </c>
      <c r="C13" s="428" t="str">
        <f>Biodata!C15</f>
        <v>BAYU BATARA SURYA PUTRA</v>
      </c>
      <c r="D13" s="422">
        <f t="shared" si="0"/>
        <v>10</v>
      </c>
      <c r="E13" s="422" t="str">
        <f t="shared" si="1"/>
        <v>D</v>
      </c>
      <c r="F13" s="422">
        <f t="shared" si="2"/>
        <v>35</v>
      </c>
      <c r="G13" s="422" t="str">
        <f t="shared" si="3"/>
        <v>D</v>
      </c>
    </row>
    <row r="14" spans="1:7" x14ac:dyDescent="0.2">
      <c r="A14" s="422">
        <f>Biodata!A16</f>
        <v>8</v>
      </c>
      <c r="B14" s="427" t="str">
        <f>Biodata!B16</f>
        <v>181910069</v>
      </c>
      <c r="C14" s="428" t="str">
        <f>Biodata!C16</f>
        <v>DANDY ERVAN PRATAMA</v>
      </c>
      <c r="D14" s="422">
        <f t="shared" si="0"/>
        <v>25</v>
      </c>
      <c r="E14" s="422" t="str">
        <f t="shared" si="1"/>
        <v>D</v>
      </c>
      <c r="F14" s="422">
        <f t="shared" si="2"/>
        <v>10</v>
      </c>
      <c r="G14" s="422" t="str">
        <f t="shared" si="3"/>
        <v>D</v>
      </c>
    </row>
    <row r="15" spans="1:7" x14ac:dyDescent="0.2">
      <c r="A15" s="422">
        <f>Biodata!A17</f>
        <v>9</v>
      </c>
      <c r="B15" s="427" t="str">
        <f>Biodata!B17</f>
        <v>181910085</v>
      </c>
      <c r="C15" s="428" t="str">
        <f>Biodata!C17</f>
        <v>DENISA ASTI RAHMAWATI</v>
      </c>
      <c r="D15" s="422">
        <f t="shared" si="0"/>
        <v>40</v>
      </c>
      <c r="E15" s="422" t="str">
        <f t="shared" si="1"/>
        <v>D</v>
      </c>
      <c r="F15" s="422">
        <f t="shared" si="2"/>
        <v>45</v>
      </c>
      <c r="G15" s="422" t="str">
        <f t="shared" si="3"/>
        <v>D</v>
      </c>
    </row>
    <row r="16" spans="1:7" x14ac:dyDescent="0.2">
      <c r="A16" s="422">
        <f>Biodata!A18</f>
        <v>10</v>
      </c>
      <c r="B16" s="427" t="str">
        <f>Biodata!B18</f>
        <v>181910093</v>
      </c>
      <c r="C16" s="428" t="str">
        <f>Biodata!C18</f>
        <v>DIAN RAMDHAN SAPTIAN</v>
      </c>
      <c r="D16" s="422">
        <f t="shared" si="0"/>
        <v>40</v>
      </c>
      <c r="E16" s="422" t="str">
        <f t="shared" si="1"/>
        <v>D</v>
      </c>
      <c r="F16" s="422">
        <f t="shared" si="2"/>
        <v>47</v>
      </c>
      <c r="G16" s="422" t="str">
        <f t="shared" si="3"/>
        <v>D</v>
      </c>
    </row>
    <row r="17" spans="1:7" x14ac:dyDescent="0.2">
      <c r="A17" s="422">
        <f>Biodata!A19</f>
        <v>11</v>
      </c>
      <c r="B17" s="427" t="str">
        <f>Biodata!B19</f>
        <v>181910103</v>
      </c>
      <c r="C17" s="428" t="str">
        <f>Biodata!C19</f>
        <v>DIVYA ADHIANI NURDIN</v>
      </c>
      <c r="D17" s="422">
        <f t="shared" si="0"/>
        <v>75</v>
      </c>
      <c r="E17" s="422" t="str">
        <f t="shared" si="1"/>
        <v>C</v>
      </c>
      <c r="F17" s="422">
        <f t="shared" si="2"/>
        <v>74</v>
      </c>
      <c r="G17" s="422" t="str">
        <f t="shared" si="3"/>
        <v>C</v>
      </c>
    </row>
    <row r="18" spans="1:7" x14ac:dyDescent="0.2">
      <c r="A18" s="422">
        <f>Biodata!A20</f>
        <v>12</v>
      </c>
      <c r="B18" s="427" t="str">
        <f>Biodata!B20</f>
        <v>181910104</v>
      </c>
      <c r="C18" s="428" t="str">
        <f>Biodata!C20</f>
        <v>DWIKI DERMAWAN</v>
      </c>
      <c r="D18" s="422">
        <f t="shared" si="0"/>
        <v>10</v>
      </c>
      <c r="E18" s="422" t="str">
        <f t="shared" si="1"/>
        <v>D</v>
      </c>
      <c r="F18" s="422">
        <f t="shared" si="2"/>
        <v>10</v>
      </c>
      <c r="G18" s="422" t="str">
        <f t="shared" si="3"/>
        <v>D</v>
      </c>
    </row>
    <row r="19" spans="1:7" x14ac:dyDescent="0.2">
      <c r="A19" s="422">
        <f>Biodata!A21</f>
        <v>13</v>
      </c>
      <c r="B19" s="427" t="str">
        <f>Biodata!B21</f>
        <v>181910118</v>
      </c>
      <c r="C19" s="428" t="str">
        <f>Biodata!C21</f>
        <v>ENCEP CANDRA</v>
      </c>
      <c r="D19" s="422">
        <f t="shared" si="0"/>
        <v>70</v>
      </c>
      <c r="E19" s="422" t="str">
        <f t="shared" si="1"/>
        <v>C</v>
      </c>
      <c r="F19" s="422">
        <f t="shared" si="2"/>
        <v>60</v>
      </c>
      <c r="G19" s="422" t="str">
        <f t="shared" si="3"/>
        <v>D</v>
      </c>
    </row>
    <row r="20" spans="1:7" x14ac:dyDescent="0.2">
      <c r="A20" s="422">
        <f>Biodata!A22</f>
        <v>14</v>
      </c>
      <c r="B20" s="427" t="str">
        <f>Biodata!B22</f>
        <v>181910128</v>
      </c>
      <c r="C20" s="428" t="str">
        <f>Biodata!C22</f>
        <v>FAIZAL EGI</v>
      </c>
      <c r="D20" s="422">
        <f t="shared" si="0"/>
        <v>25</v>
      </c>
      <c r="E20" s="422" t="str">
        <f t="shared" si="1"/>
        <v>D</v>
      </c>
      <c r="F20" s="422">
        <f t="shared" si="2"/>
        <v>10</v>
      </c>
      <c r="G20" s="422" t="str">
        <f t="shared" si="3"/>
        <v>D</v>
      </c>
    </row>
    <row r="21" spans="1:7" x14ac:dyDescent="0.2">
      <c r="A21" s="422">
        <f>Biodata!A23</f>
        <v>15</v>
      </c>
      <c r="B21" s="427" t="str">
        <f>Biodata!B23</f>
        <v>181910133</v>
      </c>
      <c r="C21" s="428" t="str">
        <f>Biodata!C23</f>
        <v>FAUZI DHALFADLIL AZHANI</v>
      </c>
      <c r="D21" s="422">
        <f t="shared" si="0"/>
        <v>20</v>
      </c>
      <c r="E21" s="422" t="str">
        <f t="shared" si="1"/>
        <v>D</v>
      </c>
      <c r="F21" s="422">
        <f t="shared" si="2"/>
        <v>30</v>
      </c>
      <c r="G21" s="422" t="str">
        <f t="shared" si="3"/>
        <v>D</v>
      </c>
    </row>
    <row r="22" spans="1:7" x14ac:dyDescent="0.2">
      <c r="A22" s="422">
        <f>Biodata!A24</f>
        <v>16</v>
      </c>
      <c r="B22" s="427" t="str">
        <f>Biodata!B24</f>
        <v>181910161</v>
      </c>
      <c r="C22" s="428" t="str">
        <f>Biodata!C24</f>
        <v>HILMAN PUTRA PAMUNGKAS</v>
      </c>
      <c r="D22" s="422">
        <f t="shared" si="0"/>
        <v>60</v>
      </c>
      <c r="E22" s="422" t="str">
        <f t="shared" si="1"/>
        <v>D</v>
      </c>
      <c r="F22" s="422">
        <f t="shared" si="2"/>
        <v>74</v>
      </c>
      <c r="G22" s="422" t="str">
        <f t="shared" si="3"/>
        <v>C</v>
      </c>
    </row>
    <row r="23" spans="1:7" x14ac:dyDescent="0.2">
      <c r="A23" s="422">
        <f>Biodata!A25</f>
        <v>17</v>
      </c>
      <c r="B23" s="427" t="str">
        <f>Biodata!B25</f>
        <v>181910165</v>
      </c>
      <c r="C23" s="428" t="str">
        <f>Biodata!C25</f>
        <v>IHSYA FADILLAH MUSLIM</v>
      </c>
      <c r="D23" s="422">
        <f t="shared" si="0"/>
        <v>35</v>
      </c>
      <c r="E23" s="422" t="str">
        <f t="shared" si="1"/>
        <v>D</v>
      </c>
      <c r="F23" s="422">
        <f t="shared" si="2"/>
        <v>30</v>
      </c>
      <c r="G23" s="422" t="str">
        <f t="shared" si="3"/>
        <v>D</v>
      </c>
    </row>
    <row r="24" spans="1:7" x14ac:dyDescent="0.2">
      <c r="A24" s="422">
        <f>Biodata!A26</f>
        <v>18</v>
      </c>
      <c r="B24" s="427" t="str">
        <f>Biodata!B26</f>
        <v>181910185</v>
      </c>
      <c r="C24" s="428" t="str">
        <f>Biodata!C26</f>
        <v>JIHAD AKBAR</v>
      </c>
      <c r="D24" s="422">
        <f t="shared" si="0"/>
        <v>25</v>
      </c>
      <c r="E24" s="422" t="str">
        <f t="shared" si="1"/>
        <v>D</v>
      </c>
      <c r="F24" s="422">
        <f t="shared" si="2"/>
        <v>35</v>
      </c>
      <c r="G24" s="422" t="str">
        <f t="shared" si="3"/>
        <v>D</v>
      </c>
    </row>
    <row r="25" spans="1:7" x14ac:dyDescent="0.2">
      <c r="A25" s="422">
        <f>Biodata!A27</f>
        <v>19</v>
      </c>
      <c r="B25" s="427" t="str">
        <f>Biodata!B27</f>
        <v>181910226</v>
      </c>
      <c r="C25" s="428" t="str">
        <f>Biodata!C27</f>
        <v>MUHAMAD IZZAZUL FIKRIAN</v>
      </c>
      <c r="D25" s="422">
        <f t="shared" si="0"/>
        <v>0</v>
      </c>
      <c r="E25" s="422" t="str">
        <f t="shared" si="1"/>
        <v/>
      </c>
      <c r="F25" s="422">
        <f t="shared" si="2"/>
        <v>0</v>
      </c>
      <c r="G25" s="422" t="str">
        <f t="shared" si="3"/>
        <v/>
      </c>
    </row>
    <row r="26" spans="1:7" x14ac:dyDescent="0.2">
      <c r="A26" s="422">
        <f>Biodata!A28</f>
        <v>20</v>
      </c>
      <c r="B26" s="427" t="str">
        <f>Biodata!B28</f>
        <v>181910433</v>
      </c>
      <c r="C26" s="428" t="str">
        <f>Biodata!C28</f>
        <v>MUHAMAD RIZAL</v>
      </c>
      <c r="D26" s="422">
        <f t="shared" si="0"/>
        <v>10</v>
      </c>
      <c r="E26" s="422" t="str">
        <f t="shared" si="1"/>
        <v>D</v>
      </c>
      <c r="F26" s="422">
        <f t="shared" si="2"/>
        <v>25</v>
      </c>
      <c r="G26" s="422" t="str">
        <f t="shared" si="3"/>
        <v>D</v>
      </c>
    </row>
    <row r="27" spans="1:7" x14ac:dyDescent="0.2">
      <c r="A27" s="422">
        <f>Biodata!A29</f>
        <v>21</v>
      </c>
      <c r="B27" s="427" t="str">
        <f>Biodata!B29</f>
        <v>181910240</v>
      </c>
      <c r="C27" s="428" t="str">
        <f>Biodata!C29</f>
        <v>NESHA RAUDHATUL ZANNAH</v>
      </c>
      <c r="D27" s="422">
        <f t="shared" si="0"/>
        <v>75</v>
      </c>
      <c r="E27" s="422" t="str">
        <f t="shared" si="1"/>
        <v>C</v>
      </c>
      <c r="F27" s="422">
        <f t="shared" si="2"/>
        <v>76</v>
      </c>
      <c r="G27" s="422" t="str">
        <f t="shared" si="3"/>
        <v>C</v>
      </c>
    </row>
    <row r="28" spans="1:7" x14ac:dyDescent="0.2">
      <c r="A28" s="422">
        <f>Biodata!A30</f>
        <v>22</v>
      </c>
      <c r="B28" s="427" t="str">
        <f>Biodata!B30</f>
        <v>181910262</v>
      </c>
      <c r="C28" s="428" t="str">
        <f>Biodata!C30</f>
        <v>PUTRI ANGGRAENI</v>
      </c>
      <c r="D28" s="422">
        <f t="shared" si="0"/>
        <v>76</v>
      </c>
      <c r="E28" s="422" t="str">
        <f t="shared" si="1"/>
        <v>C</v>
      </c>
      <c r="F28" s="422">
        <f t="shared" si="2"/>
        <v>78</v>
      </c>
      <c r="G28" s="422" t="str">
        <f t="shared" si="3"/>
        <v>C</v>
      </c>
    </row>
    <row r="29" spans="1:7" x14ac:dyDescent="0.2">
      <c r="A29" s="422">
        <f>Biodata!A31</f>
        <v>23</v>
      </c>
      <c r="B29" s="427" t="str">
        <f>Biodata!B31</f>
        <v>181910266</v>
      </c>
      <c r="C29" s="428" t="str">
        <f>Biodata!C31</f>
        <v>PUTRI WULANDARI</v>
      </c>
      <c r="D29" s="422">
        <f t="shared" si="0"/>
        <v>74</v>
      </c>
      <c r="E29" s="422" t="str">
        <f t="shared" si="1"/>
        <v>C</v>
      </c>
      <c r="F29" s="422">
        <f t="shared" si="2"/>
        <v>77</v>
      </c>
      <c r="G29" s="422" t="str">
        <f t="shared" si="3"/>
        <v>C</v>
      </c>
    </row>
    <row r="30" spans="1:7" x14ac:dyDescent="0.2">
      <c r="A30" s="422">
        <f>Biodata!A32</f>
        <v>24</v>
      </c>
      <c r="B30" s="427" t="str">
        <f>Biodata!B32</f>
        <v>181910272</v>
      </c>
      <c r="C30" s="428" t="str">
        <f>Biodata!C32</f>
        <v>RAFLY GYMNASTIAR</v>
      </c>
      <c r="D30" s="422">
        <f t="shared" si="0"/>
        <v>10</v>
      </c>
      <c r="E30" s="422" t="str">
        <f t="shared" si="1"/>
        <v>D</v>
      </c>
      <c r="F30" s="422">
        <f t="shared" si="2"/>
        <v>10</v>
      </c>
      <c r="G30" s="422" t="str">
        <f t="shared" si="3"/>
        <v>D</v>
      </c>
    </row>
    <row r="31" spans="1:7" x14ac:dyDescent="0.2">
      <c r="A31" s="422">
        <f>Biodata!A33</f>
        <v>25</v>
      </c>
      <c r="B31" s="427" t="str">
        <f>Biodata!B33</f>
        <v>181910280</v>
      </c>
      <c r="C31" s="428" t="str">
        <f>Biodata!C33</f>
        <v>REFIANA</v>
      </c>
      <c r="D31" s="422">
        <f t="shared" si="0"/>
        <v>0</v>
      </c>
      <c r="E31" s="422" t="str">
        <f t="shared" si="1"/>
        <v/>
      </c>
      <c r="F31" s="422">
        <f t="shared" si="2"/>
        <v>0</v>
      </c>
      <c r="G31" s="422" t="str">
        <f t="shared" si="3"/>
        <v/>
      </c>
    </row>
    <row r="32" spans="1:7" x14ac:dyDescent="0.2">
      <c r="A32" s="422">
        <f>Biodata!A34</f>
        <v>26</v>
      </c>
      <c r="B32" s="427" t="str">
        <f>Biodata!B34</f>
        <v>181910285</v>
      </c>
      <c r="C32" s="428" t="str">
        <f>Biodata!C34</f>
        <v>RENALDI PRIYATAMA</v>
      </c>
      <c r="D32" s="422">
        <f t="shared" si="0"/>
        <v>10</v>
      </c>
      <c r="E32" s="422" t="str">
        <f t="shared" si="1"/>
        <v>D</v>
      </c>
      <c r="F32" s="422">
        <f t="shared" si="2"/>
        <v>35</v>
      </c>
      <c r="G32" s="422" t="str">
        <f t="shared" si="3"/>
        <v>D</v>
      </c>
    </row>
    <row r="33" spans="1:7" x14ac:dyDescent="0.2">
      <c r="A33" s="422">
        <f>Biodata!A35</f>
        <v>27</v>
      </c>
      <c r="B33" s="427" t="str">
        <f>Biodata!B35</f>
        <v>181910286</v>
      </c>
      <c r="C33" s="428" t="str">
        <f>Biodata!C35</f>
        <v>RENATA</v>
      </c>
      <c r="D33" s="422">
        <f t="shared" si="0"/>
        <v>80</v>
      </c>
      <c r="E33" s="422" t="str">
        <f t="shared" si="1"/>
        <v>B</v>
      </c>
      <c r="F33" s="422">
        <f t="shared" si="2"/>
        <v>76</v>
      </c>
      <c r="G33" s="422" t="str">
        <f t="shared" si="3"/>
        <v>C</v>
      </c>
    </row>
    <row r="34" spans="1:7" x14ac:dyDescent="0.2">
      <c r="A34" s="422">
        <f>Biodata!A36</f>
        <v>28</v>
      </c>
      <c r="B34" s="427" t="str">
        <f>Biodata!B36</f>
        <v>181910293</v>
      </c>
      <c r="C34" s="428" t="str">
        <f>Biodata!C36</f>
        <v xml:space="preserve">REZA ERNANDA </v>
      </c>
      <c r="D34" s="422">
        <f t="shared" si="0"/>
        <v>81</v>
      </c>
      <c r="E34" s="422" t="str">
        <f t="shared" si="1"/>
        <v>B</v>
      </c>
      <c r="F34" s="422">
        <f t="shared" si="2"/>
        <v>79</v>
      </c>
      <c r="G34" s="422" t="str">
        <f t="shared" si="3"/>
        <v>C</v>
      </c>
    </row>
    <row r="35" spans="1:7" x14ac:dyDescent="0.2">
      <c r="A35" s="422">
        <f>Biodata!A37</f>
        <v>29</v>
      </c>
      <c r="B35" s="427" t="str">
        <f>Biodata!B37</f>
        <v>181910300</v>
      </c>
      <c r="C35" s="428" t="str">
        <f>Biodata!C37</f>
        <v>RIFAN MUHAMAD RIZKI</v>
      </c>
      <c r="D35" s="422">
        <f t="shared" si="0"/>
        <v>0</v>
      </c>
      <c r="E35" s="422" t="str">
        <f t="shared" si="1"/>
        <v/>
      </c>
      <c r="F35" s="422">
        <f t="shared" si="2"/>
        <v>0</v>
      </c>
      <c r="G35" s="422" t="str">
        <f t="shared" si="3"/>
        <v/>
      </c>
    </row>
    <row r="36" spans="1:7" x14ac:dyDescent="0.2">
      <c r="A36" s="422">
        <f>Biodata!A38</f>
        <v>30</v>
      </c>
      <c r="B36" s="427" t="str">
        <f>Biodata!B38</f>
        <v>181910318</v>
      </c>
      <c r="C36" s="428" t="str">
        <f>Biodata!C38</f>
        <v>RISMA SURYANI</v>
      </c>
      <c r="D36" s="422">
        <f t="shared" si="0"/>
        <v>76</v>
      </c>
      <c r="E36" s="422" t="str">
        <f t="shared" si="1"/>
        <v>C</v>
      </c>
      <c r="F36" s="422">
        <f t="shared" si="2"/>
        <v>80</v>
      </c>
      <c r="G36" s="422" t="str">
        <f t="shared" si="3"/>
        <v>B</v>
      </c>
    </row>
    <row r="37" spans="1:7" x14ac:dyDescent="0.2">
      <c r="A37" s="422">
        <f>Biodata!A39</f>
        <v>31</v>
      </c>
      <c r="B37" s="427" t="str">
        <f>Biodata!B39</f>
        <v>181910320</v>
      </c>
      <c r="C37" s="428" t="str">
        <f>Biodata!C39</f>
        <v>RISNA TIRANI</v>
      </c>
      <c r="D37" s="422">
        <f t="shared" si="0"/>
        <v>82</v>
      </c>
      <c r="E37" s="422" t="str">
        <f t="shared" si="1"/>
        <v>B</v>
      </c>
      <c r="F37" s="422">
        <f t="shared" si="2"/>
        <v>81</v>
      </c>
      <c r="G37" s="422" t="str">
        <f t="shared" si="3"/>
        <v>B</v>
      </c>
    </row>
    <row r="38" spans="1:7" x14ac:dyDescent="0.2">
      <c r="A38" s="422">
        <f>Biodata!A40</f>
        <v>32</v>
      </c>
      <c r="B38" s="427" t="str">
        <f>Biodata!B40</f>
        <v>181910331</v>
      </c>
      <c r="C38" s="428" t="str">
        <f>Biodata!C40</f>
        <v>RULLY PRATAMA S.</v>
      </c>
      <c r="D38" s="422">
        <f t="shared" si="0"/>
        <v>56</v>
      </c>
      <c r="E38" s="422" t="str">
        <f t="shared" si="1"/>
        <v>D</v>
      </c>
      <c r="F38" s="422">
        <f t="shared" si="2"/>
        <v>52</v>
      </c>
      <c r="G38" s="422" t="str">
        <f t="shared" si="3"/>
        <v>D</v>
      </c>
    </row>
    <row r="39" spans="1:7" x14ac:dyDescent="0.2">
      <c r="A39" s="422">
        <f>Biodata!A41</f>
        <v>33</v>
      </c>
      <c r="B39" s="427" t="str">
        <f>Biodata!B41</f>
        <v>181910335</v>
      </c>
      <c r="C39" s="428" t="str">
        <f>Biodata!C41</f>
        <v>SALSA ASYKIYA</v>
      </c>
      <c r="D39" s="422">
        <f t="shared" si="0"/>
        <v>81</v>
      </c>
      <c r="E39" s="422" t="str">
        <f t="shared" si="1"/>
        <v>B</v>
      </c>
      <c r="F39" s="422">
        <f t="shared" si="2"/>
        <v>80</v>
      </c>
      <c r="G39" s="422" t="str">
        <f t="shared" si="3"/>
        <v>B</v>
      </c>
    </row>
    <row r="40" spans="1:7" x14ac:dyDescent="0.2">
      <c r="A40" s="422">
        <f>Biodata!A42</f>
        <v>34</v>
      </c>
      <c r="B40" s="427" t="str">
        <f>Biodata!B42</f>
        <v>181910353</v>
      </c>
      <c r="C40" s="428" t="str">
        <f>Biodata!C42</f>
        <v>SILFI HAMIDAH</v>
      </c>
      <c r="D40" s="422">
        <f t="shared" si="0"/>
        <v>80</v>
      </c>
      <c r="E40" s="422" t="str">
        <f t="shared" si="1"/>
        <v>B</v>
      </c>
      <c r="F40" s="422">
        <f t="shared" si="2"/>
        <v>80</v>
      </c>
      <c r="G40" s="422" t="str">
        <f t="shared" si="3"/>
        <v>B</v>
      </c>
    </row>
    <row r="41" spans="1:7" x14ac:dyDescent="0.2">
      <c r="A41" s="422">
        <f>Biodata!A43</f>
        <v>35</v>
      </c>
      <c r="B41" s="427" t="str">
        <f>Biodata!B43</f>
        <v>181910408</v>
      </c>
      <c r="C41" s="428" t="str">
        <f>Biodata!C43</f>
        <v>YESHA RAHAYU</v>
      </c>
      <c r="D41" s="422">
        <f t="shared" si="0"/>
        <v>0</v>
      </c>
      <c r="E41" s="422" t="str">
        <f t="shared" si="1"/>
        <v/>
      </c>
      <c r="F41" s="422">
        <f t="shared" si="2"/>
        <v>0</v>
      </c>
      <c r="G41" s="422" t="str">
        <f t="shared" si="3"/>
        <v/>
      </c>
    </row>
    <row r="42" spans="1:7" x14ac:dyDescent="0.2">
      <c r="A42" s="422">
        <f>Biodata!A44</f>
        <v>36</v>
      </c>
      <c r="B42" s="427" t="str">
        <f>Biodata!B44</f>
        <v>036</v>
      </c>
      <c r="C42" s="428" t="str">
        <f>Biodata!C44</f>
        <v>A36</v>
      </c>
      <c r="D42" s="422">
        <f t="shared" si="0"/>
        <v>0</v>
      </c>
      <c r="E42" s="422" t="str">
        <f t="shared" si="1"/>
        <v/>
      </c>
      <c r="F42" s="422">
        <f t="shared" si="2"/>
        <v>0</v>
      </c>
      <c r="G42" s="422" t="str">
        <f t="shared" si="3"/>
        <v/>
      </c>
    </row>
    <row r="43" spans="1:7" x14ac:dyDescent="0.2">
      <c r="A43" s="422">
        <f>Biodata!A45</f>
        <v>37</v>
      </c>
      <c r="B43" s="427" t="str">
        <f>Biodata!B45</f>
        <v>037</v>
      </c>
      <c r="C43" s="428" t="str">
        <f>Biodata!C45</f>
        <v>A37</v>
      </c>
      <c r="D43" s="422">
        <f t="shared" si="0"/>
        <v>0</v>
      </c>
      <c r="E43" s="422" t="str">
        <f t="shared" si="1"/>
        <v/>
      </c>
      <c r="F43" s="422">
        <f t="shared" si="2"/>
        <v>0</v>
      </c>
      <c r="G43" s="422" t="str">
        <f t="shared" si="3"/>
        <v/>
      </c>
    </row>
    <row r="44" spans="1:7" x14ac:dyDescent="0.2">
      <c r="A44" s="422">
        <f>Biodata!A46</f>
        <v>38</v>
      </c>
      <c r="B44" s="427" t="str">
        <f>Biodata!B46</f>
        <v>038</v>
      </c>
      <c r="C44" s="428" t="str">
        <f>Biodata!C46</f>
        <v>A38</v>
      </c>
      <c r="D44" s="422">
        <f t="shared" si="0"/>
        <v>0</v>
      </c>
      <c r="E44" s="422" t="str">
        <f t="shared" si="1"/>
        <v/>
      </c>
      <c r="F44" s="422">
        <f t="shared" si="2"/>
        <v>0</v>
      </c>
      <c r="G44" s="422" t="str">
        <f t="shared" si="3"/>
        <v/>
      </c>
    </row>
    <row r="45" spans="1:7" x14ac:dyDescent="0.2">
      <c r="A45" s="422">
        <f>Biodata!A47</f>
        <v>39</v>
      </c>
      <c r="B45" s="427" t="str">
        <f>Biodata!B47</f>
        <v>039</v>
      </c>
      <c r="C45" s="428" t="str">
        <f>Biodata!C47</f>
        <v>A39</v>
      </c>
      <c r="D45" s="422">
        <f t="shared" si="0"/>
        <v>0</v>
      </c>
      <c r="E45" s="422" t="str">
        <f t="shared" si="1"/>
        <v/>
      </c>
      <c r="F45" s="422">
        <f t="shared" si="2"/>
        <v>0</v>
      </c>
      <c r="G45" s="422" t="str">
        <f t="shared" si="3"/>
        <v/>
      </c>
    </row>
    <row r="46" spans="1:7" x14ac:dyDescent="0.2">
      <c r="A46" s="422">
        <f>Biodata!A48</f>
        <v>40</v>
      </c>
      <c r="B46" s="427" t="str">
        <f>Biodata!B48</f>
        <v>040</v>
      </c>
      <c r="C46" s="428" t="str">
        <f>Biodata!C48</f>
        <v>A40</v>
      </c>
      <c r="D46" s="422">
        <f t="shared" si="0"/>
        <v>0</v>
      </c>
      <c r="E46" s="422" t="str">
        <f t="shared" si="1"/>
        <v/>
      </c>
      <c r="F46" s="422">
        <f t="shared" si="2"/>
        <v>0</v>
      </c>
      <c r="G46" s="422" t="str">
        <f t="shared" si="3"/>
        <v/>
      </c>
    </row>
    <row r="47" spans="1:7" x14ac:dyDescent="0.2">
      <c r="C47" s="432"/>
    </row>
    <row r="48" spans="1:7" x14ac:dyDescent="0.2">
      <c r="C48" s="432"/>
    </row>
    <row r="49" spans="3:3" s="425" customFormat="1" x14ac:dyDescent="0.2">
      <c r="C49" s="432"/>
    </row>
    <row r="50" spans="3:3" s="425" customFormat="1" x14ac:dyDescent="0.2">
      <c r="C50" s="432"/>
    </row>
  </sheetData>
  <sheetProtection sheet="1" objects="1" scenarios="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activeCell="D5" sqref="D5"/>
    </sheetView>
  </sheetViews>
  <sheetFormatPr defaultRowHeight="11.25" x14ac:dyDescent="0.2"/>
  <cols>
    <col min="1" max="1" width="3.7109375" style="422" customWidth="1"/>
    <col min="2" max="2" width="7.140625" style="422" customWidth="1"/>
    <col min="3" max="3" width="21.7109375" style="425" customWidth="1"/>
    <col min="4" max="4" width="11.85546875" style="422" customWidth="1"/>
    <col min="5" max="5" width="8" style="422" customWidth="1"/>
    <col min="6" max="6" width="12" style="422" customWidth="1"/>
    <col min="7" max="7" width="8" style="422" customWidth="1"/>
    <col min="8" max="16384" width="9.140625" style="425"/>
  </cols>
  <sheetData>
    <row r="1" spans="1:7" x14ac:dyDescent="0.2">
      <c r="C1" s="423" t="s">
        <v>322</v>
      </c>
      <c r="D1" s="424" t="str">
        <f>Biodata!C4</f>
        <v xml:space="preserve"> X / IPS_5 </v>
      </c>
    </row>
    <row r="2" spans="1:7" x14ac:dyDescent="0.2">
      <c r="C2" s="423" t="s">
        <v>321</v>
      </c>
      <c r="D2" s="424" t="str">
        <f>Biodata!C5</f>
        <v>2 / Genap</v>
      </c>
    </row>
    <row r="3" spans="1:7" x14ac:dyDescent="0.2">
      <c r="D3" s="424"/>
    </row>
    <row r="4" spans="1:7" x14ac:dyDescent="0.2">
      <c r="C4" s="423" t="s">
        <v>320</v>
      </c>
      <c r="D4" s="424" t="str">
        <f>LEGER!U6</f>
        <v>B i o l o g i</v>
      </c>
    </row>
    <row r="5" spans="1:7" x14ac:dyDescent="0.2">
      <c r="C5" s="423" t="s">
        <v>319</v>
      </c>
      <c r="D5" s="424">
        <f>RAPORT!C82</f>
        <v>70</v>
      </c>
    </row>
    <row r="6" spans="1:7" x14ac:dyDescent="0.2">
      <c r="A6" s="422" t="s">
        <v>323</v>
      </c>
      <c r="B6" s="422" t="s">
        <v>10</v>
      </c>
      <c r="C6" s="425" t="s">
        <v>324</v>
      </c>
      <c r="D6" s="422" t="s">
        <v>74</v>
      </c>
      <c r="E6" s="422" t="s">
        <v>72</v>
      </c>
      <c r="F6" s="422" t="s">
        <v>146</v>
      </c>
      <c r="G6" s="422" t="s">
        <v>72</v>
      </c>
    </row>
    <row r="7" spans="1:7" x14ac:dyDescent="0.2">
      <c r="A7" s="422">
        <f>Biodata!A9</f>
        <v>1</v>
      </c>
      <c r="B7" s="427" t="str">
        <f>Biodata!B9</f>
        <v>181910008</v>
      </c>
      <c r="C7" s="428" t="str">
        <f>Biodata!C9</f>
        <v>ADITA TRI KURNIA PUTRI</v>
      </c>
      <c r="D7" s="422">
        <f t="shared" ref="D7:D46" si="0">IFERROR(VLOOKUP(B7&amp;"A",leggerx1,18,0),"")</f>
        <v>0</v>
      </c>
      <c r="E7" s="422" t="str">
        <f t="shared" ref="E7:E46" si="1">IFERROR(VLOOKUP(B7&amp;"C",leggerx1,18,0),"")</f>
        <v/>
      </c>
      <c r="F7" s="422">
        <f t="shared" ref="F7:F46" si="2">IFERROR(VLOOKUP(B7&amp;"B",leggerx1,18,0),"")</f>
        <v>0</v>
      </c>
      <c r="G7" s="422" t="str">
        <f t="shared" ref="G7:G46" si="3">IFERROR(VLOOKUP(B7&amp;"D",leggerx1,18,0),"")</f>
        <v/>
      </c>
    </row>
    <row r="8" spans="1:7" x14ac:dyDescent="0.2">
      <c r="A8" s="422">
        <f>Biodata!A10</f>
        <v>2</v>
      </c>
      <c r="B8" s="427" t="str">
        <f>Biodata!B10</f>
        <v>181910011</v>
      </c>
      <c r="C8" s="428" t="str">
        <f>Biodata!C10</f>
        <v xml:space="preserve">ADNES KOMALA DEWI </v>
      </c>
      <c r="D8" s="422">
        <f t="shared" si="0"/>
        <v>72</v>
      </c>
      <c r="E8" s="422" t="str">
        <f t="shared" si="1"/>
        <v>C</v>
      </c>
      <c r="F8" s="422">
        <f t="shared" si="2"/>
        <v>75</v>
      </c>
      <c r="G8" s="422" t="str">
        <f t="shared" si="3"/>
        <v>C</v>
      </c>
    </row>
    <row r="9" spans="1:7" x14ac:dyDescent="0.2">
      <c r="A9" s="422">
        <f>Biodata!A11</f>
        <v>3</v>
      </c>
      <c r="B9" s="427" t="str">
        <f>Biodata!B11</f>
        <v>181910014</v>
      </c>
      <c r="C9" s="428" t="str">
        <f>Biodata!C11</f>
        <v>AGUNG BUDI PRASTAWA</v>
      </c>
      <c r="D9" s="422">
        <f t="shared" si="0"/>
        <v>50</v>
      </c>
      <c r="E9" s="422" t="str">
        <f t="shared" si="1"/>
        <v>D</v>
      </c>
      <c r="F9" s="422">
        <f t="shared" si="2"/>
        <v>50</v>
      </c>
      <c r="G9" s="422" t="str">
        <f t="shared" si="3"/>
        <v>D</v>
      </c>
    </row>
    <row r="10" spans="1:7" x14ac:dyDescent="0.2">
      <c r="A10" s="422">
        <f>Biodata!A12</f>
        <v>4</v>
      </c>
      <c r="B10" s="427" t="str">
        <f>Biodata!B12</f>
        <v>181910045</v>
      </c>
      <c r="C10" s="428" t="str">
        <f>Biodata!C12</f>
        <v>ARYA DYTA WIGUNA</v>
      </c>
      <c r="D10" s="422">
        <f t="shared" si="0"/>
        <v>78</v>
      </c>
      <c r="E10" s="422" t="str">
        <f t="shared" si="1"/>
        <v>C</v>
      </c>
      <c r="F10" s="422">
        <f t="shared" si="2"/>
        <v>83</v>
      </c>
      <c r="G10" s="422" t="str">
        <f t="shared" si="3"/>
        <v>B</v>
      </c>
    </row>
    <row r="11" spans="1:7" x14ac:dyDescent="0.2">
      <c r="A11" s="422">
        <f>Biodata!A13</f>
        <v>5</v>
      </c>
      <c r="B11" s="427" t="str">
        <f>Biodata!B13</f>
        <v>181910054</v>
      </c>
      <c r="C11" s="428" t="str">
        <f>Biodata!C13</f>
        <v>AZRIEL TAMA SANTIAJI</v>
      </c>
      <c r="D11" s="422">
        <f t="shared" si="0"/>
        <v>65</v>
      </c>
      <c r="E11" s="422" t="str">
        <f t="shared" si="1"/>
        <v>D</v>
      </c>
      <c r="F11" s="422">
        <f t="shared" si="2"/>
        <v>70</v>
      </c>
      <c r="G11" s="422" t="str">
        <f t="shared" si="3"/>
        <v>C</v>
      </c>
    </row>
    <row r="12" spans="1:7" x14ac:dyDescent="0.2">
      <c r="A12" s="422">
        <f>Biodata!A14</f>
        <v>6</v>
      </c>
      <c r="B12" s="427" t="str">
        <f>Biodata!B14</f>
        <v>181910055</v>
      </c>
      <c r="C12" s="428" t="str">
        <f>Biodata!C14</f>
        <v>AZZUHRI HAUDI</v>
      </c>
      <c r="D12" s="422">
        <f t="shared" si="0"/>
        <v>73</v>
      </c>
      <c r="E12" s="422" t="str">
        <f t="shared" si="1"/>
        <v>C</v>
      </c>
      <c r="F12" s="422">
        <f t="shared" si="2"/>
        <v>75</v>
      </c>
      <c r="G12" s="422" t="str">
        <f t="shared" si="3"/>
        <v>C</v>
      </c>
    </row>
    <row r="13" spans="1:7" x14ac:dyDescent="0.2">
      <c r="A13" s="422">
        <f>Biodata!A15</f>
        <v>7</v>
      </c>
      <c r="B13" s="427" t="str">
        <f>Biodata!B15</f>
        <v>181910056</v>
      </c>
      <c r="C13" s="428" t="str">
        <f>Biodata!C15</f>
        <v>BAYU BATARA SURYA PUTRA</v>
      </c>
      <c r="D13" s="422">
        <f t="shared" si="0"/>
        <v>70</v>
      </c>
      <c r="E13" s="422" t="str">
        <f t="shared" si="1"/>
        <v>C</v>
      </c>
      <c r="F13" s="422">
        <f t="shared" si="2"/>
        <v>70</v>
      </c>
      <c r="G13" s="422" t="str">
        <f t="shared" si="3"/>
        <v>C</v>
      </c>
    </row>
    <row r="14" spans="1:7" x14ac:dyDescent="0.2">
      <c r="A14" s="422">
        <f>Biodata!A16</f>
        <v>8</v>
      </c>
      <c r="B14" s="427" t="str">
        <f>Biodata!B16</f>
        <v>181910069</v>
      </c>
      <c r="C14" s="428" t="str">
        <f>Biodata!C16</f>
        <v>DANDY ERVAN PRATAMA</v>
      </c>
      <c r="D14" s="422">
        <f t="shared" si="0"/>
        <v>30</v>
      </c>
      <c r="E14" s="422" t="str">
        <f t="shared" si="1"/>
        <v>D</v>
      </c>
      <c r="F14" s="422">
        <f t="shared" si="2"/>
        <v>55</v>
      </c>
      <c r="G14" s="422" t="str">
        <f t="shared" si="3"/>
        <v>D</v>
      </c>
    </row>
    <row r="15" spans="1:7" x14ac:dyDescent="0.2">
      <c r="A15" s="422">
        <f>Biodata!A17</f>
        <v>9</v>
      </c>
      <c r="B15" s="427" t="str">
        <f>Biodata!B17</f>
        <v>181910085</v>
      </c>
      <c r="C15" s="428" t="str">
        <f>Biodata!C17</f>
        <v>DENISA ASTI RAHMAWATI</v>
      </c>
      <c r="D15" s="422">
        <f t="shared" si="0"/>
        <v>72</v>
      </c>
      <c r="E15" s="422" t="str">
        <f t="shared" si="1"/>
        <v>C</v>
      </c>
      <c r="F15" s="422">
        <f t="shared" si="2"/>
        <v>75</v>
      </c>
      <c r="G15" s="422" t="str">
        <f t="shared" si="3"/>
        <v>C</v>
      </c>
    </row>
    <row r="16" spans="1:7" x14ac:dyDescent="0.2">
      <c r="A16" s="422">
        <f>Biodata!A18</f>
        <v>10</v>
      </c>
      <c r="B16" s="427" t="str">
        <f>Biodata!B18</f>
        <v>181910093</v>
      </c>
      <c r="C16" s="428" t="str">
        <f>Biodata!C18</f>
        <v>DIAN RAMDHAN SAPTIAN</v>
      </c>
      <c r="D16" s="422">
        <f t="shared" si="0"/>
        <v>75</v>
      </c>
      <c r="E16" s="422" t="str">
        <f t="shared" si="1"/>
        <v>C</v>
      </c>
      <c r="F16" s="422">
        <f t="shared" si="2"/>
        <v>78</v>
      </c>
      <c r="G16" s="422" t="str">
        <f t="shared" si="3"/>
        <v>C</v>
      </c>
    </row>
    <row r="17" spans="1:7" x14ac:dyDescent="0.2">
      <c r="A17" s="422">
        <f>Biodata!A19</f>
        <v>11</v>
      </c>
      <c r="B17" s="427" t="str">
        <f>Biodata!B19</f>
        <v>181910103</v>
      </c>
      <c r="C17" s="428" t="str">
        <f>Biodata!C19</f>
        <v>DIVYA ADHIANI NURDIN</v>
      </c>
      <c r="D17" s="422">
        <f t="shared" si="0"/>
        <v>75</v>
      </c>
      <c r="E17" s="422" t="str">
        <f t="shared" si="1"/>
        <v>C</v>
      </c>
      <c r="F17" s="422">
        <f t="shared" si="2"/>
        <v>77</v>
      </c>
      <c r="G17" s="422" t="str">
        <f t="shared" si="3"/>
        <v>C</v>
      </c>
    </row>
    <row r="18" spans="1:7" x14ac:dyDescent="0.2">
      <c r="A18" s="422">
        <f>Biodata!A20</f>
        <v>12</v>
      </c>
      <c r="B18" s="427" t="str">
        <f>Biodata!B20</f>
        <v>181910104</v>
      </c>
      <c r="C18" s="428" t="str">
        <f>Biodata!C20</f>
        <v>DWIKI DERMAWAN</v>
      </c>
      <c r="D18" s="422">
        <f t="shared" si="0"/>
        <v>70</v>
      </c>
      <c r="E18" s="422" t="str">
        <f t="shared" si="1"/>
        <v>C</v>
      </c>
      <c r="F18" s="422">
        <f t="shared" si="2"/>
        <v>70</v>
      </c>
      <c r="G18" s="422" t="str">
        <f t="shared" si="3"/>
        <v>C</v>
      </c>
    </row>
    <row r="19" spans="1:7" x14ac:dyDescent="0.2">
      <c r="A19" s="422">
        <f>Biodata!A21</f>
        <v>13</v>
      </c>
      <c r="B19" s="427" t="str">
        <f>Biodata!B21</f>
        <v>181910118</v>
      </c>
      <c r="C19" s="428" t="str">
        <f>Biodata!C21</f>
        <v>ENCEP CANDRA</v>
      </c>
      <c r="D19" s="422">
        <f t="shared" si="0"/>
        <v>75</v>
      </c>
      <c r="E19" s="422" t="str">
        <f t="shared" si="1"/>
        <v>C</v>
      </c>
      <c r="F19" s="422">
        <f t="shared" si="2"/>
        <v>75</v>
      </c>
      <c r="G19" s="422" t="str">
        <f t="shared" si="3"/>
        <v>C</v>
      </c>
    </row>
    <row r="20" spans="1:7" x14ac:dyDescent="0.2">
      <c r="A20" s="422">
        <f>Biodata!A22</f>
        <v>14</v>
      </c>
      <c r="B20" s="427" t="str">
        <f>Biodata!B22</f>
        <v>181910128</v>
      </c>
      <c r="C20" s="428" t="str">
        <f>Biodata!C22</f>
        <v>FAIZAL EGI</v>
      </c>
      <c r="D20" s="422">
        <f t="shared" si="0"/>
        <v>70</v>
      </c>
      <c r="E20" s="422" t="str">
        <f t="shared" si="1"/>
        <v>C</v>
      </c>
      <c r="F20" s="422">
        <f t="shared" si="2"/>
        <v>70</v>
      </c>
      <c r="G20" s="422" t="str">
        <f t="shared" si="3"/>
        <v>C</v>
      </c>
    </row>
    <row r="21" spans="1:7" x14ac:dyDescent="0.2">
      <c r="A21" s="422">
        <f>Biodata!A23</f>
        <v>15</v>
      </c>
      <c r="B21" s="427" t="str">
        <f>Biodata!B23</f>
        <v>181910133</v>
      </c>
      <c r="C21" s="428" t="str">
        <f>Biodata!C23</f>
        <v>FAUZI DHALFADLIL AZHANI</v>
      </c>
      <c r="D21" s="422">
        <f t="shared" si="0"/>
        <v>70</v>
      </c>
      <c r="E21" s="422" t="str">
        <f t="shared" si="1"/>
        <v>C</v>
      </c>
      <c r="F21" s="422">
        <f t="shared" si="2"/>
        <v>70</v>
      </c>
      <c r="G21" s="422" t="str">
        <f t="shared" si="3"/>
        <v>C</v>
      </c>
    </row>
    <row r="22" spans="1:7" x14ac:dyDescent="0.2">
      <c r="A22" s="422">
        <f>Biodata!A24</f>
        <v>16</v>
      </c>
      <c r="B22" s="427" t="str">
        <f>Biodata!B24</f>
        <v>181910161</v>
      </c>
      <c r="C22" s="428" t="str">
        <f>Biodata!C24</f>
        <v>HILMAN PUTRA PAMUNGKAS</v>
      </c>
      <c r="D22" s="422">
        <f t="shared" si="0"/>
        <v>75</v>
      </c>
      <c r="E22" s="422" t="str">
        <f t="shared" si="1"/>
        <v>C</v>
      </c>
      <c r="F22" s="422">
        <f t="shared" si="2"/>
        <v>80</v>
      </c>
      <c r="G22" s="422" t="str">
        <f t="shared" si="3"/>
        <v>B</v>
      </c>
    </row>
    <row r="23" spans="1:7" x14ac:dyDescent="0.2">
      <c r="A23" s="422">
        <f>Biodata!A25</f>
        <v>17</v>
      </c>
      <c r="B23" s="427" t="str">
        <f>Biodata!B25</f>
        <v>181910165</v>
      </c>
      <c r="C23" s="428" t="str">
        <f>Biodata!C25</f>
        <v>IHSYA FADILLAH MUSLIM</v>
      </c>
      <c r="D23" s="422">
        <f t="shared" si="0"/>
        <v>70</v>
      </c>
      <c r="E23" s="422" t="str">
        <f t="shared" si="1"/>
        <v>C</v>
      </c>
      <c r="F23" s="422">
        <f t="shared" si="2"/>
        <v>70</v>
      </c>
      <c r="G23" s="422" t="str">
        <f t="shared" si="3"/>
        <v>C</v>
      </c>
    </row>
    <row r="24" spans="1:7" x14ac:dyDescent="0.2">
      <c r="A24" s="422">
        <f>Biodata!A26</f>
        <v>18</v>
      </c>
      <c r="B24" s="427" t="str">
        <f>Biodata!B26</f>
        <v>181910185</v>
      </c>
      <c r="C24" s="428" t="str">
        <f>Biodata!C26</f>
        <v>JIHAD AKBAR</v>
      </c>
      <c r="D24" s="422">
        <f t="shared" si="0"/>
        <v>70</v>
      </c>
      <c r="E24" s="422" t="str">
        <f t="shared" si="1"/>
        <v>C</v>
      </c>
      <c r="F24" s="422">
        <f t="shared" si="2"/>
        <v>70</v>
      </c>
      <c r="G24" s="422" t="str">
        <f t="shared" si="3"/>
        <v>C</v>
      </c>
    </row>
    <row r="25" spans="1:7" x14ac:dyDescent="0.2">
      <c r="A25" s="422">
        <f>Biodata!A27</f>
        <v>19</v>
      </c>
      <c r="B25" s="427" t="str">
        <f>Biodata!B27</f>
        <v>181910226</v>
      </c>
      <c r="C25" s="428" t="str">
        <f>Biodata!C27</f>
        <v>MUHAMAD IZZAZUL FIKRIAN</v>
      </c>
      <c r="D25" s="422">
        <f t="shared" si="0"/>
        <v>0</v>
      </c>
      <c r="E25" s="422" t="str">
        <f t="shared" si="1"/>
        <v/>
      </c>
      <c r="F25" s="422">
        <f t="shared" si="2"/>
        <v>0</v>
      </c>
      <c r="G25" s="422" t="str">
        <f t="shared" si="3"/>
        <v/>
      </c>
    </row>
    <row r="26" spans="1:7" x14ac:dyDescent="0.2">
      <c r="A26" s="422">
        <f>Biodata!A28</f>
        <v>20</v>
      </c>
      <c r="B26" s="427" t="str">
        <f>Biodata!B28</f>
        <v>181910433</v>
      </c>
      <c r="C26" s="428" t="str">
        <f>Biodata!C28</f>
        <v>MUHAMAD RIZAL</v>
      </c>
      <c r="D26" s="422">
        <f t="shared" si="0"/>
        <v>30</v>
      </c>
      <c r="E26" s="422" t="str">
        <f t="shared" si="1"/>
        <v>D</v>
      </c>
      <c r="F26" s="422">
        <f t="shared" si="2"/>
        <v>30</v>
      </c>
      <c r="G26" s="422" t="str">
        <f t="shared" si="3"/>
        <v>D</v>
      </c>
    </row>
    <row r="27" spans="1:7" x14ac:dyDescent="0.2">
      <c r="A27" s="422">
        <f>Biodata!A29</f>
        <v>21</v>
      </c>
      <c r="B27" s="427" t="str">
        <f>Biodata!B29</f>
        <v>181910240</v>
      </c>
      <c r="C27" s="428" t="str">
        <f>Biodata!C29</f>
        <v>NESHA RAUDHATUL ZANNAH</v>
      </c>
      <c r="D27" s="422">
        <f t="shared" si="0"/>
        <v>75</v>
      </c>
      <c r="E27" s="422" t="str">
        <f t="shared" si="1"/>
        <v>C</v>
      </c>
      <c r="F27" s="422">
        <f t="shared" si="2"/>
        <v>80</v>
      </c>
      <c r="G27" s="422" t="str">
        <f t="shared" si="3"/>
        <v>B</v>
      </c>
    </row>
    <row r="28" spans="1:7" x14ac:dyDescent="0.2">
      <c r="A28" s="422">
        <f>Biodata!A30</f>
        <v>22</v>
      </c>
      <c r="B28" s="427" t="str">
        <f>Biodata!B30</f>
        <v>181910262</v>
      </c>
      <c r="C28" s="428" t="str">
        <f>Biodata!C30</f>
        <v>PUTRI ANGGRAENI</v>
      </c>
      <c r="D28" s="422">
        <f t="shared" si="0"/>
        <v>75</v>
      </c>
      <c r="E28" s="422" t="str">
        <f t="shared" si="1"/>
        <v>C</v>
      </c>
      <c r="F28" s="422">
        <f t="shared" si="2"/>
        <v>75</v>
      </c>
      <c r="G28" s="422" t="str">
        <f t="shared" si="3"/>
        <v>C</v>
      </c>
    </row>
    <row r="29" spans="1:7" x14ac:dyDescent="0.2">
      <c r="A29" s="422">
        <f>Biodata!A31</f>
        <v>23</v>
      </c>
      <c r="B29" s="427" t="str">
        <f>Biodata!B31</f>
        <v>181910266</v>
      </c>
      <c r="C29" s="428" t="str">
        <f>Biodata!C31</f>
        <v>PUTRI WULANDARI</v>
      </c>
      <c r="D29" s="422">
        <f t="shared" si="0"/>
        <v>75</v>
      </c>
      <c r="E29" s="422" t="str">
        <f t="shared" si="1"/>
        <v>C</v>
      </c>
      <c r="F29" s="422">
        <f t="shared" si="2"/>
        <v>75</v>
      </c>
      <c r="G29" s="422" t="str">
        <f t="shared" si="3"/>
        <v>C</v>
      </c>
    </row>
    <row r="30" spans="1:7" x14ac:dyDescent="0.2">
      <c r="A30" s="422">
        <f>Biodata!A32</f>
        <v>24</v>
      </c>
      <c r="B30" s="427" t="str">
        <f>Biodata!B32</f>
        <v>181910272</v>
      </c>
      <c r="C30" s="428" t="str">
        <f>Biodata!C32</f>
        <v>RAFLY GYMNASTIAR</v>
      </c>
      <c r="D30" s="422">
        <f t="shared" si="0"/>
        <v>50</v>
      </c>
      <c r="E30" s="422" t="str">
        <f t="shared" si="1"/>
        <v>D</v>
      </c>
      <c r="F30" s="422">
        <f t="shared" si="2"/>
        <v>70</v>
      </c>
      <c r="G30" s="422" t="str">
        <f t="shared" si="3"/>
        <v>C</v>
      </c>
    </row>
    <row r="31" spans="1:7" x14ac:dyDescent="0.2">
      <c r="A31" s="422">
        <f>Biodata!A33</f>
        <v>25</v>
      </c>
      <c r="B31" s="427" t="str">
        <f>Biodata!B33</f>
        <v>181910280</v>
      </c>
      <c r="C31" s="428" t="str">
        <f>Biodata!C33</f>
        <v>REFIANA</v>
      </c>
      <c r="D31" s="422">
        <f t="shared" si="0"/>
        <v>70</v>
      </c>
      <c r="E31" s="422" t="str">
        <f t="shared" si="1"/>
        <v>C</v>
      </c>
      <c r="F31" s="422">
        <f t="shared" si="2"/>
        <v>60</v>
      </c>
      <c r="G31" s="422" t="str">
        <f t="shared" si="3"/>
        <v>D</v>
      </c>
    </row>
    <row r="32" spans="1:7" x14ac:dyDescent="0.2">
      <c r="A32" s="422">
        <f>Biodata!A34</f>
        <v>26</v>
      </c>
      <c r="B32" s="427" t="str">
        <f>Biodata!B34</f>
        <v>181910285</v>
      </c>
      <c r="C32" s="428" t="str">
        <f>Biodata!C34</f>
        <v>RENALDI PRIYATAMA</v>
      </c>
      <c r="D32" s="422">
        <f t="shared" si="0"/>
        <v>40</v>
      </c>
      <c r="E32" s="422" t="str">
        <f t="shared" si="1"/>
        <v>D</v>
      </c>
      <c r="F32" s="422">
        <f t="shared" si="2"/>
        <v>40</v>
      </c>
      <c r="G32" s="422" t="str">
        <f t="shared" si="3"/>
        <v>D</v>
      </c>
    </row>
    <row r="33" spans="1:7" x14ac:dyDescent="0.2">
      <c r="A33" s="422">
        <f>Biodata!A35</f>
        <v>27</v>
      </c>
      <c r="B33" s="427" t="str">
        <f>Biodata!B35</f>
        <v>181910286</v>
      </c>
      <c r="C33" s="428" t="str">
        <f>Biodata!C35</f>
        <v>RENATA</v>
      </c>
      <c r="D33" s="422">
        <f t="shared" si="0"/>
        <v>78</v>
      </c>
      <c r="E33" s="422" t="str">
        <f t="shared" si="1"/>
        <v>C</v>
      </c>
      <c r="F33" s="422">
        <f t="shared" si="2"/>
        <v>80</v>
      </c>
      <c r="G33" s="422" t="str">
        <f t="shared" si="3"/>
        <v>B</v>
      </c>
    </row>
    <row r="34" spans="1:7" x14ac:dyDescent="0.2">
      <c r="A34" s="422">
        <f>Biodata!A36</f>
        <v>28</v>
      </c>
      <c r="B34" s="427" t="str">
        <f>Biodata!B36</f>
        <v>181910293</v>
      </c>
      <c r="C34" s="428" t="str">
        <f>Biodata!C36</f>
        <v xml:space="preserve">REZA ERNANDA </v>
      </c>
      <c r="D34" s="422">
        <f t="shared" si="0"/>
        <v>75</v>
      </c>
      <c r="E34" s="422" t="str">
        <f t="shared" si="1"/>
        <v>C</v>
      </c>
      <c r="F34" s="422">
        <f t="shared" si="2"/>
        <v>80</v>
      </c>
      <c r="G34" s="422" t="str">
        <f t="shared" si="3"/>
        <v>B</v>
      </c>
    </row>
    <row r="35" spans="1:7" x14ac:dyDescent="0.2">
      <c r="A35" s="422">
        <f>Biodata!A37</f>
        <v>29</v>
      </c>
      <c r="B35" s="427" t="str">
        <f>Biodata!B37</f>
        <v>181910300</v>
      </c>
      <c r="C35" s="428" t="str">
        <f>Biodata!C37</f>
        <v>RIFAN MUHAMAD RIZKI</v>
      </c>
      <c r="D35" s="422">
        <f t="shared" si="0"/>
        <v>0</v>
      </c>
      <c r="E35" s="422" t="str">
        <f t="shared" si="1"/>
        <v/>
      </c>
      <c r="F35" s="422">
        <f t="shared" si="2"/>
        <v>0</v>
      </c>
      <c r="G35" s="422" t="str">
        <f t="shared" si="3"/>
        <v/>
      </c>
    </row>
    <row r="36" spans="1:7" x14ac:dyDescent="0.2">
      <c r="A36" s="422">
        <f>Biodata!A38</f>
        <v>30</v>
      </c>
      <c r="B36" s="427" t="str">
        <f>Biodata!B38</f>
        <v>181910318</v>
      </c>
      <c r="C36" s="428" t="str">
        <f>Biodata!C38</f>
        <v>RISMA SURYANI</v>
      </c>
      <c r="D36" s="422">
        <f t="shared" si="0"/>
        <v>75</v>
      </c>
      <c r="E36" s="422" t="str">
        <f t="shared" si="1"/>
        <v>C</v>
      </c>
      <c r="F36" s="422">
        <f t="shared" si="2"/>
        <v>78</v>
      </c>
      <c r="G36" s="422" t="str">
        <f t="shared" si="3"/>
        <v>C</v>
      </c>
    </row>
    <row r="37" spans="1:7" x14ac:dyDescent="0.2">
      <c r="A37" s="422">
        <f>Biodata!A39</f>
        <v>31</v>
      </c>
      <c r="B37" s="427" t="str">
        <f>Biodata!B39</f>
        <v>181910320</v>
      </c>
      <c r="C37" s="428" t="str">
        <f>Biodata!C39</f>
        <v>RISNA TIRANI</v>
      </c>
      <c r="D37" s="422">
        <f t="shared" si="0"/>
        <v>76</v>
      </c>
      <c r="E37" s="422" t="str">
        <f t="shared" si="1"/>
        <v>C</v>
      </c>
      <c r="F37" s="422">
        <f t="shared" si="2"/>
        <v>80</v>
      </c>
      <c r="G37" s="422" t="str">
        <f t="shared" si="3"/>
        <v>B</v>
      </c>
    </row>
    <row r="38" spans="1:7" x14ac:dyDescent="0.2">
      <c r="A38" s="422">
        <f>Biodata!A40</f>
        <v>32</v>
      </c>
      <c r="B38" s="427" t="str">
        <f>Biodata!B40</f>
        <v>181910331</v>
      </c>
      <c r="C38" s="428" t="str">
        <f>Biodata!C40</f>
        <v>RULLY PRATAMA S.</v>
      </c>
      <c r="D38" s="422">
        <f t="shared" si="0"/>
        <v>70</v>
      </c>
      <c r="E38" s="422" t="str">
        <f t="shared" si="1"/>
        <v>C</v>
      </c>
      <c r="F38" s="422">
        <f t="shared" si="2"/>
        <v>70</v>
      </c>
      <c r="G38" s="422" t="str">
        <f t="shared" si="3"/>
        <v>C</v>
      </c>
    </row>
    <row r="39" spans="1:7" x14ac:dyDescent="0.2">
      <c r="A39" s="422">
        <f>Biodata!A41</f>
        <v>33</v>
      </c>
      <c r="B39" s="427" t="str">
        <f>Biodata!B41</f>
        <v>181910335</v>
      </c>
      <c r="C39" s="428" t="str">
        <f>Biodata!C41</f>
        <v>SALSA ASYKIYA</v>
      </c>
      <c r="D39" s="422">
        <f t="shared" si="0"/>
        <v>76</v>
      </c>
      <c r="E39" s="422" t="str">
        <f t="shared" si="1"/>
        <v>C</v>
      </c>
      <c r="F39" s="422">
        <f t="shared" si="2"/>
        <v>80</v>
      </c>
      <c r="G39" s="422" t="str">
        <f t="shared" si="3"/>
        <v>B</v>
      </c>
    </row>
    <row r="40" spans="1:7" x14ac:dyDescent="0.2">
      <c r="A40" s="422">
        <f>Biodata!A42</f>
        <v>34</v>
      </c>
      <c r="B40" s="427" t="str">
        <f>Biodata!B42</f>
        <v>181910353</v>
      </c>
      <c r="C40" s="428" t="str">
        <f>Biodata!C42</f>
        <v>SILFI HAMIDAH</v>
      </c>
      <c r="D40" s="422">
        <f t="shared" si="0"/>
        <v>77</v>
      </c>
      <c r="E40" s="422" t="str">
        <f t="shared" si="1"/>
        <v>C</v>
      </c>
      <c r="F40" s="422">
        <f t="shared" si="2"/>
        <v>81</v>
      </c>
      <c r="G40" s="422" t="str">
        <f t="shared" si="3"/>
        <v>B</v>
      </c>
    </row>
    <row r="41" spans="1:7" x14ac:dyDescent="0.2">
      <c r="A41" s="422">
        <f>Biodata!A43</f>
        <v>35</v>
      </c>
      <c r="B41" s="427" t="str">
        <f>Biodata!B43</f>
        <v>181910408</v>
      </c>
      <c r="C41" s="428" t="str">
        <f>Biodata!C43</f>
        <v>YESHA RAHAYU</v>
      </c>
      <c r="D41" s="422">
        <f t="shared" si="0"/>
        <v>0</v>
      </c>
      <c r="E41" s="422" t="str">
        <f t="shared" si="1"/>
        <v/>
      </c>
      <c r="F41" s="422">
        <f t="shared" si="2"/>
        <v>0</v>
      </c>
      <c r="G41" s="422" t="str">
        <f t="shared" si="3"/>
        <v/>
      </c>
    </row>
    <row r="42" spans="1:7" x14ac:dyDescent="0.2">
      <c r="A42" s="422">
        <f>Biodata!A44</f>
        <v>36</v>
      </c>
      <c r="B42" s="427" t="str">
        <f>Biodata!B44</f>
        <v>036</v>
      </c>
      <c r="C42" s="428" t="str">
        <f>Biodata!C44</f>
        <v>A36</v>
      </c>
      <c r="D42" s="422">
        <f t="shared" si="0"/>
        <v>0</v>
      </c>
      <c r="E42" s="422" t="str">
        <f t="shared" si="1"/>
        <v/>
      </c>
      <c r="F42" s="422">
        <f t="shared" si="2"/>
        <v>0</v>
      </c>
      <c r="G42" s="422" t="str">
        <f t="shared" si="3"/>
        <v/>
      </c>
    </row>
    <row r="43" spans="1:7" x14ac:dyDescent="0.2">
      <c r="A43" s="422">
        <f>Biodata!A45</f>
        <v>37</v>
      </c>
      <c r="B43" s="427" t="str">
        <f>Biodata!B45</f>
        <v>037</v>
      </c>
      <c r="C43" s="428" t="str">
        <f>Biodata!C45</f>
        <v>A37</v>
      </c>
      <c r="D43" s="422">
        <f t="shared" si="0"/>
        <v>0</v>
      </c>
      <c r="E43" s="422" t="str">
        <f t="shared" si="1"/>
        <v/>
      </c>
      <c r="F43" s="422">
        <f t="shared" si="2"/>
        <v>0</v>
      </c>
      <c r="G43" s="422" t="str">
        <f t="shared" si="3"/>
        <v/>
      </c>
    </row>
    <row r="44" spans="1:7" x14ac:dyDescent="0.2">
      <c r="A44" s="422">
        <f>Biodata!A46</f>
        <v>38</v>
      </c>
      <c r="B44" s="427" t="str">
        <f>Biodata!B46</f>
        <v>038</v>
      </c>
      <c r="C44" s="428" t="str">
        <f>Biodata!C46</f>
        <v>A38</v>
      </c>
      <c r="D44" s="422">
        <f t="shared" si="0"/>
        <v>0</v>
      </c>
      <c r="E44" s="422" t="str">
        <f t="shared" si="1"/>
        <v/>
      </c>
      <c r="F44" s="422">
        <f t="shared" si="2"/>
        <v>0</v>
      </c>
      <c r="G44" s="422" t="str">
        <f t="shared" si="3"/>
        <v/>
      </c>
    </row>
    <row r="45" spans="1:7" x14ac:dyDescent="0.2">
      <c r="A45" s="422">
        <f>Biodata!A47</f>
        <v>39</v>
      </c>
      <c r="B45" s="427" t="str">
        <f>Biodata!B47</f>
        <v>039</v>
      </c>
      <c r="C45" s="428" t="str">
        <f>Biodata!C47</f>
        <v>A39</v>
      </c>
      <c r="D45" s="422">
        <f t="shared" si="0"/>
        <v>0</v>
      </c>
      <c r="E45" s="422" t="str">
        <f t="shared" si="1"/>
        <v/>
      </c>
      <c r="F45" s="422">
        <f t="shared" si="2"/>
        <v>0</v>
      </c>
      <c r="G45" s="422" t="str">
        <f t="shared" si="3"/>
        <v/>
      </c>
    </row>
    <row r="46" spans="1:7" x14ac:dyDescent="0.2">
      <c r="A46" s="422">
        <f>Biodata!A48</f>
        <v>40</v>
      </c>
      <c r="B46" s="427" t="str">
        <f>Biodata!B48</f>
        <v>040</v>
      </c>
      <c r="C46" s="428" t="str">
        <f>Biodata!C48</f>
        <v>A40</v>
      </c>
      <c r="D46" s="422">
        <f t="shared" si="0"/>
        <v>0</v>
      </c>
      <c r="E46" s="422" t="str">
        <f t="shared" si="1"/>
        <v/>
      </c>
      <c r="F46" s="422">
        <f t="shared" si="2"/>
        <v>0</v>
      </c>
      <c r="G46" s="422" t="str">
        <f t="shared" si="3"/>
        <v/>
      </c>
    </row>
    <row r="47" spans="1:7" x14ac:dyDescent="0.2">
      <c r="C47" s="432"/>
    </row>
    <row r="48" spans="1:7" x14ac:dyDescent="0.2">
      <c r="C48" s="432"/>
    </row>
    <row r="49" spans="3:3" s="425" customFormat="1" x14ac:dyDescent="0.2">
      <c r="C49" s="432"/>
    </row>
    <row r="50" spans="3:3" s="425" customFormat="1" x14ac:dyDescent="0.2">
      <c r="C50" s="432"/>
    </row>
  </sheetData>
  <sheetProtection sheet="1" objects="1" scenarios="1"/>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activeCell="D5" sqref="D5"/>
    </sheetView>
  </sheetViews>
  <sheetFormatPr defaultRowHeight="11.25" x14ac:dyDescent="0.2"/>
  <cols>
    <col min="1" max="1" width="3.7109375" style="422" customWidth="1"/>
    <col min="2" max="2" width="7.140625" style="422" customWidth="1"/>
    <col min="3" max="3" width="21.7109375" style="425" customWidth="1"/>
    <col min="4" max="4" width="11.85546875" style="422" customWidth="1"/>
    <col min="5" max="5" width="8" style="422" customWidth="1"/>
    <col min="6" max="6" width="12" style="422" customWidth="1"/>
    <col min="7" max="7" width="8" style="422" customWidth="1"/>
    <col min="8" max="16384" width="9.140625" style="425"/>
  </cols>
  <sheetData>
    <row r="1" spans="1:7" x14ac:dyDescent="0.2">
      <c r="C1" s="423" t="s">
        <v>322</v>
      </c>
      <c r="D1" s="424" t="str">
        <f>Biodata!C4</f>
        <v xml:space="preserve"> X / IPS_5 </v>
      </c>
    </row>
    <row r="2" spans="1:7" x14ac:dyDescent="0.2">
      <c r="C2" s="423" t="s">
        <v>321</v>
      </c>
      <c r="D2" s="424" t="str">
        <f>Biodata!C5</f>
        <v>2 / Genap</v>
      </c>
    </row>
    <row r="3" spans="1:7" x14ac:dyDescent="0.2">
      <c r="D3" s="424"/>
    </row>
    <row r="4" spans="1:7" x14ac:dyDescent="0.2">
      <c r="C4" s="423" t="s">
        <v>320</v>
      </c>
      <c r="D4" s="424" t="str">
        <f>LEGER!V6</f>
        <v>Baca Tulis Qur'an</v>
      </c>
    </row>
    <row r="5" spans="1:7" x14ac:dyDescent="0.2">
      <c r="C5" s="423" t="s">
        <v>319</v>
      </c>
      <c r="D5" s="424">
        <f>RAPORT!C82</f>
        <v>70</v>
      </c>
    </row>
    <row r="6" spans="1:7" x14ac:dyDescent="0.2">
      <c r="A6" s="422" t="s">
        <v>323</v>
      </c>
      <c r="B6" s="422" t="s">
        <v>10</v>
      </c>
      <c r="C6" s="425" t="s">
        <v>324</v>
      </c>
      <c r="D6" s="422" t="s">
        <v>74</v>
      </c>
      <c r="E6" s="422" t="s">
        <v>72</v>
      </c>
      <c r="F6" s="422" t="s">
        <v>146</v>
      </c>
      <c r="G6" s="422" t="s">
        <v>72</v>
      </c>
    </row>
    <row r="7" spans="1:7" x14ac:dyDescent="0.2">
      <c r="A7" s="422">
        <f>Biodata!A9</f>
        <v>1</v>
      </c>
      <c r="B7" s="427" t="str">
        <f>Biodata!B9</f>
        <v>181910008</v>
      </c>
      <c r="C7" s="428" t="str">
        <f>Biodata!C9</f>
        <v>ADITA TRI KURNIA PUTRI</v>
      </c>
      <c r="D7" s="422">
        <f t="shared" ref="D7:D46" si="0">IFERROR(VLOOKUP(B7&amp;"A",leggerx1,19,0),"")</f>
        <v>0</v>
      </c>
      <c r="E7" s="422" t="str">
        <f t="shared" ref="E7:E46" si="1">IFERROR(VLOOKUP(B7&amp;"C",leggerx1,19,0),"")</f>
        <v/>
      </c>
      <c r="F7" s="422">
        <f t="shared" ref="F7:F46" si="2">IFERROR(VLOOKUP(B7&amp;"B",leggerx1,19,0),"")</f>
        <v>0</v>
      </c>
      <c r="G7" s="422" t="str">
        <f t="shared" ref="G7:G46" si="3">IFERROR(VLOOKUP(B7&amp;"D",leggerx1,19,0),"")</f>
        <v/>
      </c>
    </row>
    <row r="8" spans="1:7" x14ac:dyDescent="0.2">
      <c r="A8" s="422">
        <f>Biodata!A10</f>
        <v>2</v>
      </c>
      <c r="B8" s="427" t="str">
        <f>Biodata!B10</f>
        <v>181910011</v>
      </c>
      <c r="C8" s="428" t="str">
        <f>Biodata!C10</f>
        <v xml:space="preserve">ADNES KOMALA DEWI </v>
      </c>
      <c r="D8" s="422">
        <f t="shared" si="0"/>
        <v>75</v>
      </c>
      <c r="E8" s="422" t="str">
        <f t="shared" si="1"/>
        <v>C</v>
      </c>
      <c r="F8" s="422">
        <f t="shared" si="2"/>
        <v>65</v>
      </c>
      <c r="G8" s="422" t="str">
        <f t="shared" si="3"/>
        <v>D</v>
      </c>
    </row>
    <row r="9" spans="1:7" x14ac:dyDescent="0.2">
      <c r="A9" s="422">
        <f>Biodata!A11</f>
        <v>3</v>
      </c>
      <c r="B9" s="427" t="str">
        <f>Biodata!B11</f>
        <v>181910014</v>
      </c>
      <c r="C9" s="428" t="str">
        <f>Biodata!C11</f>
        <v>AGUNG BUDI PRASTAWA</v>
      </c>
      <c r="D9" s="422">
        <f t="shared" si="0"/>
        <v>70</v>
      </c>
      <c r="E9" s="422" t="str">
        <f t="shared" si="1"/>
        <v>C</v>
      </c>
      <c r="F9" s="422">
        <f t="shared" si="2"/>
        <v>60</v>
      </c>
      <c r="G9" s="422" t="str">
        <f t="shared" si="3"/>
        <v>D</v>
      </c>
    </row>
    <row r="10" spans="1:7" x14ac:dyDescent="0.2">
      <c r="A10" s="422">
        <f>Biodata!A12</f>
        <v>4</v>
      </c>
      <c r="B10" s="427" t="str">
        <f>Biodata!B12</f>
        <v>181910045</v>
      </c>
      <c r="C10" s="428" t="str">
        <f>Biodata!C12</f>
        <v>ARYA DYTA WIGUNA</v>
      </c>
      <c r="D10" s="422">
        <f t="shared" si="0"/>
        <v>70</v>
      </c>
      <c r="E10" s="422" t="str">
        <f t="shared" si="1"/>
        <v>C</v>
      </c>
      <c r="F10" s="422">
        <f t="shared" si="2"/>
        <v>60</v>
      </c>
      <c r="G10" s="422" t="str">
        <f t="shared" si="3"/>
        <v>D</v>
      </c>
    </row>
    <row r="11" spans="1:7" x14ac:dyDescent="0.2">
      <c r="A11" s="422">
        <f>Biodata!A13</f>
        <v>5</v>
      </c>
      <c r="B11" s="427" t="str">
        <f>Biodata!B13</f>
        <v>181910054</v>
      </c>
      <c r="C11" s="428" t="str">
        <f>Biodata!C13</f>
        <v>AZRIEL TAMA SANTIAJI</v>
      </c>
      <c r="D11" s="422">
        <f t="shared" si="0"/>
        <v>72</v>
      </c>
      <c r="E11" s="422" t="str">
        <f t="shared" si="1"/>
        <v>C</v>
      </c>
      <c r="F11" s="422">
        <f t="shared" si="2"/>
        <v>60</v>
      </c>
      <c r="G11" s="422" t="str">
        <f t="shared" si="3"/>
        <v>D</v>
      </c>
    </row>
    <row r="12" spans="1:7" x14ac:dyDescent="0.2">
      <c r="A12" s="422">
        <f>Biodata!A14</f>
        <v>6</v>
      </c>
      <c r="B12" s="427" t="str">
        <f>Biodata!B14</f>
        <v>181910055</v>
      </c>
      <c r="C12" s="428" t="str">
        <f>Biodata!C14</f>
        <v>AZZUHRI HAUDI</v>
      </c>
      <c r="D12" s="422">
        <f t="shared" si="0"/>
        <v>75</v>
      </c>
      <c r="E12" s="422" t="str">
        <f t="shared" si="1"/>
        <v>C</v>
      </c>
      <c r="F12" s="422">
        <f t="shared" si="2"/>
        <v>65</v>
      </c>
      <c r="G12" s="422" t="str">
        <f t="shared" si="3"/>
        <v>D</v>
      </c>
    </row>
    <row r="13" spans="1:7" x14ac:dyDescent="0.2">
      <c r="A13" s="422">
        <f>Biodata!A15</f>
        <v>7</v>
      </c>
      <c r="B13" s="427" t="str">
        <f>Biodata!B15</f>
        <v>181910056</v>
      </c>
      <c r="C13" s="428" t="str">
        <f>Biodata!C15</f>
        <v>BAYU BATARA SURYA PUTRA</v>
      </c>
      <c r="D13" s="422">
        <f t="shared" si="0"/>
        <v>72</v>
      </c>
      <c r="E13" s="422" t="str">
        <f t="shared" si="1"/>
        <v>C</v>
      </c>
      <c r="F13" s="422">
        <f t="shared" si="2"/>
        <v>60</v>
      </c>
      <c r="G13" s="422" t="str">
        <f t="shared" si="3"/>
        <v>D</v>
      </c>
    </row>
    <row r="14" spans="1:7" x14ac:dyDescent="0.2">
      <c r="A14" s="422">
        <f>Biodata!A16</f>
        <v>8</v>
      </c>
      <c r="B14" s="427" t="str">
        <f>Biodata!B16</f>
        <v>181910069</v>
      </c>
      <c r="C14" s="428" t="str">
        <f>Biodata!C16</f>
        <v>DANDY ERVAN PRATAMA</v>
      </c>
      <c r="D14" s="422">
        <f t="shared" si="0"/>
        <v>70</v>
      </c>
      <c r="E14" s="422" t="str">
        <f t="shared" si="1"/>
        <v>C</v>
      </c>
      <c r="F14" s="422">
        <f t="shared" si="2"/>
        <v>60</v>
      </c>
      <c r="G14" s="422" t="str">
        <f t="shared" si="3"/>
        <v>D</v>
      </c>
    </row>
    <row r="15" spans="1:7" x14ac:dyDescent="0.2">
      <c r="A15" s="422">
        <f>Biodata!A17</f>
        <v>9</v>
      </c>
      <c r="B15" s="427" t="str">
        <f>Biodata!B17</f>
        <v>181910085</v>
      </c>
      <c r="C15" s="428" t="str">
        <f>Biodata!C17</f>
        <v>DENISA ASTI RAHMAWATI</v>
      </c>
      <c r="D15" s="422">
        <f t="shared" si="0"/>
        <v>70</v>
      </c>
      <c r="E15" s="422" t="str">
        <f t="shared" si="1"/>
        <v>C</v>
      </c>
      <c r="F15" s="422">
        <f t="shared" si="2"/>
        <v>60</v>
      </c>
      <c r="G15" s="422" t="str">
        <f t="shared" si="3"/>
        <v>D</v>
      </c>
    </row>
    <row r="16" spans="1:7" x14ac:dyDescent="0.2">
      <c r="A16" s="422">
        <f>Biodata!A18</f>
        <v>10</v>
      </c>
      <c r="B16" s="427" t="str">
        <f>Biodata!B18</f>
        <v>181910093</v>
      </c>
      <c r="C16" s="428" t="str">
        <f>Biodata!C18</f>
        <v>DIAN RAMDHAN SAPTIAN</v>
      </c>
      <c r="D16" s="422">
        <f t="shared" si="0"/>
        <v>70</v>
      </c>
      <c r="E16" s="422" t="str">
        <f t="shared" si="1"/>
        <v>C</v>
      </c>
      <c r="F16" s="422">
        <f t="shared" si="2"/>
        <v>70</v>
      </c>
      <c r="G16" s="422" t="str">
        <f t="shared" si="3"/>
        <v>C</v>
      </c>
    </row>
    <row r="17" spans="1:7" x14ac:dyDescent="0.2">
      <c r="A17" s="422">
        <f>Biodata!A19</f>
        <v>11</v>
      </c>
      <c r="B17" s="427" t="str">
        <f>Biodata!B19</f>
        <v>181910103</v>
      </c>
      <c r="C17" s="428" t="str">
        <f>Biodata!C19</f>
        <v>DIVYA ADHIANI NURDIN</v>
      </c>
      <c r="D17" s="422">
        <f t="shared" si="0"/>
        <v>75</v>
      </c>
      <c r="E17" s="422" t="str">
        <f t="shared" si="1"/>
        <v>C</v>
      </c>
      <c r="F17" s="422">
        <f t="shared" si="2"/>
        <v>65</v>
      </c>
      <c r="G17" s="422" t="str">
        <f t="shared" si="3"/>
        <v>D</v>
      </c>
    </row>
    <row r="18" spans="1:7" x14ac:dyDescent="0.2">
      <c r="A18" s="422">
        <f>Biodata!A20</f>
        <v>12</v>
      </c>
      <c r="B18" s="427" t="str">
        <f>Biodata!B20</f>
        <v>181910104</v>
      </c>
      <c r="C18" s="428" t="str">
        <f>Biodata!C20</f>
        <v>DWIKI DERMAWAN</v>
      </c>
      <c r="D18" s="422">
        <f t="shared" si="0"/>
        <v>75</v>
      </c>
      <c r="E18" s="422" t="str">
        <f t="shared" si="1"/>
        <v>C</v>
      </c>
      <c r="F18" s="422">
        <f t="shared" si="2"/>
        <v>65</v>
      </c>
      <c r="G18" s="422" t="str">
        <f t="shared" si="3"/>
        <v>D</v>
      </c>
    </row>
    <row r="19" spans="1:7" x14ac:dyDescent="0.2">
      <c r="A19" s="422">
        <f>Biodata!A21</f>
        <v>13</v>
      </c>
      <c r="B19" s="427" t="str">
        <f>Biodata!B21</f>
        <v>181910118</v>
      </c>
      <c r="C19" s="428" t="str">
        <f>Biodata!C21</f>
        <v>ENCEP CANDRA</v>
      </c>
      <c r="D19" s="422">
        <f t="shared" si="0"/>
        <v>72</v>
      </c>
      <c r="E19" s="422" t="str">
        <f t="shared" si="1"/>
        <v>C</v>
      </c>
      <c r="F19" s="422">
        <f t="shared" si="2"/>
        <v>60</v>
      </c>
      <c r="G19" s="422" t="str">
        <f t="shared" si="3"/>
        <v>D</v>
      </c>
    </row>
    <row r="20" spans="1:7" x14ac:dyDescent="0.2">
      <c r="A20" s="422">
        <f>Biodata!A22</f>
        <v>14</v>
      </c>
      <c r="B20" s="427" t="str">
        <f>Biodata!B22</f>
        <v>181910128</v>
      </c>
      <c r="C20" s="428" t="str">
        <f>Biodata!C22</f>
        <v>FAIZAL EGI</v>
      </c>
      <c r="D20" s="422">
        <f t="shared" si="0"/>
        <v>75</v>
      </c>
      <c r="E20" s="422" t="str">
        <f t="shared" si="1"/>
        <v>C</v>
      </c>
      <c r="F20" s="422">
        <f t="shared" si="2"/>
        <v>65</v>
      </c>
      <c r="G20" s="422" t="str">
        <f t="shared" si="3"/>
        <v>D</v>
      </c>
    </row>
    <row r="21" spans="1:7" x14ac:dyDescent="0.2">
      <c r="A21" s="422">
        <f>Biodata!A23</f>
        <v>15</v>
      </c>
      <c r="B21" s="427" t="str">
        <f>Biodata!B23</f>
        <v>181910133</v>
      </c>
      <c r="C21" s="428" t="str">
        <f>Biodata!C23</f>
        <v>FAUZI DHALFADLIL AZHANI</v>
      </c>
      <c r="D21" s="422">
        <f t="shared" si="0"/>
        <v>70</v>
      </c>
      <c r="E21" s="422" t="str">
        <f t="shared" si="1"/>
        <v>C</v>
      </c>
      <c r="F21" s="422">
        <f t="shared" si="2"/>
        <v>60</v>
      </c>
      <c r="G21" s="422" t="str">
        <f t="shared" si="3"/>
        <v>D</v>
      </c>
    </row>
    <row r="22" spans="1:7" x14ac:dyDescent="0.2">
      <c r="A22" s="422">
        <f>Biodata!A24</f>
        <v>16</v>
      </c>
      <c r="B22" s="427" t="str">
        <f>Biodata!B24</f>
        <v>181910161</v>
      </c>
      <c r="C22" s="428" t="str">
        <f>Biodata!C24</f>
        <v>HILMAN PUTRA PAMUNGKAS</v>
      </c>
      <c r="D22" s="422">
        <f t="shared" si="0"/>
        <v>75</v>
      </c>
      <c r="E22" s="422" t="str">
        <f t="shared" si="1"/>
        <v>C</v>
      </c>
      <c r="F22" s="422">
        <f t="shared" si="2"/>
        <v>65</v>
      </c>
      <c r="G22" s="422" t="str">
        <f t="shared" si="3"/>
        <v>D</v>
      </c>
    </row>
    <row r="23" spans="1:7" x14ac:dyDescent="0.2">
      <c r="A23" s="422">
        <f>Biodata!A25</f>
        <v>17</v>
      </c>
      <c r="B23" s="427" t="str">
        <f>Biodata!B25</f>
        <v>181910165</v>
      </c>
      <c r="C23" s="428" t="str">
        <f>Biodata!C25</f>
        <v>IHSYA FADILLAH MUSLIM</v>
      </c>
      <c r="D23" s="422">
        <f t="shared" si="0"/>
        <v>75</v>
      </c>
      <c r="E23" s="422" t="str">
        <f t="shared" si="1"/>
        <v>C</v>
      </c>
      <c r="F23" s="422">
        <f t="shared" si="2"/>
        <v>65</v>
      </c>
      <c r="G23" s="422" t="str">
        <f t="shared" si="3"/>
        <v>D</v>
      </c>
    </row>
    <row r="24" spans="1:7" x14ac:dyDescent="0.2">
      <c r="A24" s="422">
        <f>Biodata!A26</f>
        <v>18</v>
      </c>
      <c r="B24" s="427" t="str">
        <f>Biodata!B26</f>
        <v>181910185</v>
      </c>
      <c r="C24" s="428" t="str">
        <f>Biodata!C26</f>
        <v>JIHAD AKBAR</v>
      </c>
      <c r="D24" s="422">
        <f t="shared" si="0"/>
        <v>75</v>
      </c>
      <c r="E24" s="422" t="str">
        <f t="shared" si="1"/>
        <v>C</v>
      </c>
      <c r="F24" s="422">
        <f t="shared" si="2"/>
        <v>65</v>
      </c>
      <c r="G24" s="422" t="str">
        <f t="shared" si="3"/>
        <v>D</v>
      </c>
    </row>
    <row r="25" spans="1:7" x14ac:dyDescent="0.2">
      <c r="A25" s="422">
        <f>Biodata!A27</f>
        <v>19</v>
      </c>
      <c r="B25" s="427" t="str">
        <f>Biodata!B27</f>
        <v>181910226</v>
      </c>
      <c r="C25" s="428" t="str">
        <f>Biodata!C27</f>
        <v>MUHAMAD IZZAZUL FIKRIAN</v>
      </c>
      <c r="D25" s="422">
        <f t="shared" si="0"/>
        <v>0</v>
      </c>
      <c r="E25" s="422" t="str">
        <f t="shared" si="1"/>
        <v/>
      </c>
      <c r="F25" s="422">
        <f t="shared" si="2"/>
        <v>0</v>
      </c>
      <c r="G25" s="422" t="str">
        <f t="shared" si="3"/>
        <v/>
      </c>
    </row>
    <row r="26" spans="1:7" x14ac:dyDescent="0.2">
      <c r="A26" s="422">
        <f>Biodata!A28</f>
        <v>20</v>
      </c>
      <c r="B26" s="427" t="str">
        <f>Biodata!B28</f>
        <v>181910433</v>
      </c>
      <c r="C26" s="428" t="str">
        <f>Biodata!C28</f>
        <v>MUHAMAD RIZAL</v>
      </c>
      <c r="D26" s="422">
        <f t="shared" si="0"/>
        <v>75</v>
      </c>
      <c r="E26" s="422" t="str">
        <f t="shared" si="1"/>
        <v>C</v>
      </c>
      <c r="F26" s="422">
        <f t="shared" si="2"/>
        <v>65</v>
      </c>
      <c r="G26" s="422" t="str">
        <f t="shared" si="3"/>
        <v>D</v>
      </c>
    </row>
    <row r="27" spans="1:7" x14ac:dyDescent="0.2">
      <c r="A27" s="422">
        <f>Biodata!A29</f>
        <v>21</v>
      </c>
      <c r="B27" s="427" t="str">
        <f>Biodata!B29</f>
        <v>181910240</v>
      </c>
      <c r="C27" s="428" t="str">
        <f>Biodata!C29</f>
        <v>NESHA RAUDHATUL ZANNAH</v>
      </c>
      <c r="D27" s="422">
        <f t="shared" si="0"/>
        <v>78</v>
      </c>
      <c r="E27" s="422" t="str">
        <f t="shared" si="1"/>
        <v>C</v>
      </c>
      <c r="F27" s="422">
        <f t="shared" si="2"/>
        <v>75</v>
      </c>
      <c r="G27" s="422" t="str">
        <f t="shared" si="3"/>
        <v>C</v>
      </c>
    </row>
    <row r="28" spans="1:7" x14ac:dyDescent="0.2">
      <c r="A28" s="422">
        <f>Biodata!A30</f>
        <v>22</v>
      </c>
      <c r="B28" s="427" t="str">
        <f>Biodata!B30</f>
        <v>181910262</v>
      </c>
      <c r="C28" s="428" t="str">
        <f>Biodata!C30</f>
        <v>PUTRI ANGGRAENI</v>
      </c>
      <c r="D28" s="422">
        <f t="shared" si="0"/>
        <v>78</v>
      </c>
      <c r="E28" s="422" t="str">
        <f t="shared" si="1"/>
        <v>C</v>
      </c>
      <c r="F28" s="422">
        <f t="shared" si="2"/>
        <v>75</v>
      </c>
      <c r="G28" s="422" t="str">
        <f t="shared" si="3"/>
        <v>C</v>
      </c>
    </row>
    <row r="29" spans="1:7" x14ac:dyDescent="0.2">
      <c r="A29" s="422">
        <f>Biodata!A31</f>
        <v>23</v>
      </c>
      <c r="B29" s="427" t="str">
        <f>Biodata!B31</f>
        <v>181910266</v>
      </c>
      <c r="C29" s="428" t="str">
        <f>Biodata!C31</f>
        <v>PUTRI WULANDARI</v>
      </c>
      <c r="D29" s="422">
        <f t="shared" si="0"/>
        <v>78</v>
      </c>
      <c r="E29" s="422" t="str">
        <f t="shared" si="1"/>
        <v>C</v>
      </c>
      <c r="F29" s="422">
        <f t="shared" si="2"/>
        <v>75</v>
      </c>
      <c r="G29" s="422" t="str">
        <f t="shared" si="3"/>
        <v>C</v>
      </c>
    </row>
    <row r="30" spans="1:7" x14ac:dyDescent="0.2">
      <c r="A30" s="422">
        <f>Biodata!A32</f>
        <v>24</v>
      </c>
      <c r="B30" s="427" t="str">
        <f>Biodata!B32</f>
        <v>181910272</v>
      </c>
      <c r="C30" s="428" t="str">
        <f>Biodata!C32</f>
        <v>RAFLY GYMNASTIAR</v>
      </c>
      <c r="D30" s="422">
        <f t="shared" si="0"/>
        <v>70</v>
      </c>
      <c r="E30" s="422" t="str">
        <f t="shared" si="1"/>
        <v>C</v>
      </c>
      <c r="F30" s="422">
        <f t="shared" si="2"/>
        <v>60</v>
      </c>
      <c r="G30" s="422" t="str">
        <f t="shared" si="3"/>
        <v>D</v>
      </c>
    </row>
    <row r="31" spans="1:7" x14ac:dyDescent="0.2">
      <c r="A31" s="422">
        <f>Biodata!A33</f>
        <v>25</v>
      </c>
      <c r="B31" s="427" t="str">
        <f>Biodata!B33</f>
        <v>181910280</v>
      </c>
      <c r="C31" s="428" t="str">
        <f>Biodata!C33</f>
        <v>REFIANA</v>
      </c>
      <c r="D31" s="422">
        <f t="shared" si="0"/>
        <v>0</v>
      </c>
      <c r="E31" s="422" t="str">
        <f t="shared" si="1"/>
        <v/>
      </c>
      <c r="F31" s="422">
        <f t="shared" si="2"/>
        <v>0</v>
      </c>
      <c r="G31" s="422" t="str">
        <f t="shared" si="3"/>
        <v/>
      </c>
    </row>
    <row r="32" spans="1:7" x14ac:dyDescent="0.2">
      <c r="A32" s="422">
        <f>Biodata!A34</f>
        <v>26</v>
      </c>
      <c r="B32" s="427" t="str">
        <f>Biodata!B34</f>
        <v>181910285</v>
      </c>
      <c r="C32" s="428" t="str">
        <f>Biodata!C34</f>
        <v>RENALDI PRIYATAMA</v>
      </c>
      <c r="D32" s="422">
        <f t="shared" si="0"/>
        <v>72</v>
      </c>
      <c r="E32" s="422" t="str">
        <f t="shared" si="1"/>
        <v>C</v>
      </c>
      <c r="F32" s="422">
        <f t="shared" si="2"/>
        <v>60</v>
      </c>
      <c r="G32" s="422" t="str">
        <f t="shared" si="3"/>
        <v>D</v>
      </c>
    </row>
    <row r="33" spans="1:7" x14ac:dyDescent="0.2">
      <c r="A33" s="422">
        <f>Biodata!A35</f>
        <v>27</v>
      </c>
      <c r="B33" s="427" t="str">
        <f>Biodata!B35</f>
        <v>181910286</v>
      </c>
      <c r="C33" s="428" t="str">
        <f>Biodata!C35</f>
        <v>RENATA</v>
      </c>
      <c r="D33" s="422">
        <f t="shared" si="0"/>
        <v>78</v>
      </c>
      <c r="E33" s="422" t="str">
        <f t="shared" si="1"/>
        <v>C</v>
      </c>
      <c r="F33" s="422">
        <f t="shared" si="2"/>
        <v>75</v>
      </c>
      <c r="G33" s="422" t="str">
        <f t="shared" si="3"/>
        <v>C</v>
      </c>
    </row>
    <row r="34" spans="1:7" x14ac:dyDescent="0.2">
      <c r="A34" s="422">
        <f>Biodata!A36</f>
        <v>28</v>
      </c>
      <c r="B34" s="427" t="str">
        <f>Biodata!B36</f>
        <v>181910293</v>
      </c>
      <c r="C34" s="428" t="str">
        <f>Biodata!C36</f>
        <v xml:space="preserve">REZA ERNANDA </v>
      </c>
      <c r="D34" s="422">
        <f t="shared" si="0"/>
        <v>79</v>
      </c>
      <c r="E34" s="422" t="str">
        <f t="shared" si="1"/>
        <v>C</v>
      </c>
      <c r="F34" s="422">
        <f t="shared" si="2"/>
        <v>78</v>
      </c>
      <c r="G34" s="422" t="str">
        <f t="shared" si="3"/>
        <v>C</v>
      </c>
    </row>
    <row r="35" spans="1:7" x14ac:dyDescent="0.2">
      <c r="A35" s="422">
        <f>Biodata!A37</f>
        <v>29</v>
      </c>
      <c r="B35" s="427" t="str">
        <f>Biodata!B37</f>
        <v>181910300</v>
      </c>
      <c r="C35" s="428" t="str">
        <f>Biodata!C37</f>
        <v>RIFAN MUHAMAD RIZKI</v>
      </c>
      <c r="D35" s="422">
        <f t="shared" si="0"/>
        <v>0</v>
      </c>
      <c r="E35" s="422" t="str">
        <f t="shared" si="1"/>
        <v/>
      </c>
      <c r="F35" s="422">
        <f t="shared" si="2"/>
        <v>0</v>
      </c>
      <c r="G35" s="422" t="str">
        <f t="shared" si="3"/>
        <v/>
      </c>
    </row>
    <row r="36" spans="1:7" x14ac:dyDescent="0.2">
      <c r="A36" s="422">
        <f>Biodata!A38</f>
        <v>30</v>
      </c>
      <c r="B36" s="427" t="str">
        <f>Biodata!B38</f>
        <v>181910318</v>
      </c>
      <c r="C36" s="428" t="str">
        <f>Biodata!C38</f>
        <v>RISMA SURYANI</v>
      </c>
      <c r="D36" s="422">
        <f t="shared" si="0"/>
        <v>75</v>
      </c>
      <c r="E36" s="422" t="str">
        <f t="shared" si="1"/>
        <v>C</v>
      </c>
      <c r="F36" s="422">
        <f t="shared" si="2"/>
        <v>75</v>
      </c>
      <c r="G36" s="422" t="str">
        <f t="shared" si="3"/>
        <v>C</v>
      </c>
    </row>
    <row r="37" spans="1:7" x14ac:dyDescent="0.2">
      <c r="A37" s="422">
        <f>Biodata!A39</f>
        <v>31</v>
      </c>
      <c r="B37" s="427" t="str">
        <f>Biodata!B39</f>
        <v>181910320</v>
      </c>
      <c r="C37" s="428" t="str">
        <f>Biodata!C39</f>
        <v>RISNA TIRANI</v>
      </c>
      <c r="D37" s="422">
        <f t="shared" si="0"/>
        <v>90</v>
      </c>
      <c r="E37" s="422" t="str">
        <f t="shared" si="1"/>
        <v>A</v>
      </c>
      <c r="F37" s="422">
        <f t="shared" si="2"/>
        <v>85</v>
      </c>
      <c r="G37" s="422" t="str">
        <f t="shared" si="3"/>
        <v>B</v>
      </c>
    </row>
    <row r="38" spans="1:7" x14ac:dyDescent="0.2">
      <c r="A38" s="422">
        <f>Biodata!A40</f>
        <v>32</v>
      </c>
      <c r="B38" s="427" t="str">
        <f>Biodata!B40</f>
        <v>181910331</v>
      </c>
      <c r="C38" s="428" t="str">
        <f>Biodata!C40</f>
        <v>RULLY PRATAMA S.</v>
      </c>
      <c r="D38" s="422">
        <f t="shared" si="0"/>
        <v>70</v>
      </c>
      <c r="E38" s="422" t="str">
        <f t="shared" si="1"/>
        <v>C</v>
      </c>
      <c r="F38" s="422">
        <f t="shared" si="2"/>
        <v>65</v>
      </c>
      <c r="G38" s="422" t="str">
        <f t="shared" si="3"/>
        <v>D</v>
      </c>
    </row>
    <row r="39" spans="1:7" x14ac:dyDescent="0.2">
      <c r="A39" s="422">
        <f>Biodata!A41</f>
        <v>33</v>
      </c>
      <c r="B39" s="427" t="str">
        <f>Biodata!B41</f>
        <v>181910335</v>
      </c>
      <c r="C39" s="428" t="str">
        <f>Biodata!C41</f>
        <v>SALSA ASYKIYA</v>
      </c>
      <c r="D39" s="422">
        <f t="shared" si="0"/>
        <v>75</v>
      </c>
      <c r="E39" s="422" t="str">
        <f t="shared" si="1"/>
        <v>C</v>
      </c>
      <c r="F39" s="422">
        <f t="shared" si="2"/>
        <v>70</v>
      </c>
      <c r="G39" s="422" t="str">
        <f t="shared" si="3"/>
        <v>C</v>
      </c>
    </row>
    <row r="40" spans="1:7" x14ac:dyDescent="0.2">
      <c r="A40" s="422">
        <f>Biodata!A42</f>
        <v>34</v>
      </c>
      <c r="B40" s="427" t="str">
        <f>Biodata!B42</f>
        <v>181910353</v>
      </c>
      <c r="C40" s="428" t="str">
        <f>Biodata!C42</f>
        <v>SILFI HAMIDAH</v>
      </c>
      <c r="D40" s="422">
        <f t="shared" si="0"/>
        <v>85</v>
      </c>
      <c r="E40" s="422" t="str">
        <f t="shared" si="1"/>
        <v>B</v>
      </c>
      <c r="F40" s="422">
        <f t="shared" si="2"/>
        <v>80</v>
      </c>
      <c r="G40" s="422" t="str">
        <f t="shared" si="3"/>
        <v>B</v>
      </c>
    </row>
    <row r="41" spans="1:7" x14ac:dyDescent="0.2">
      <c r="A41" s="422">
        <f>Biodata!A43</f>
        <v>35</v>
      </c>
      <c r="B41" s="427" t="str">
        <f>Biodata!B43</f>
        <v>181910408</v>
      </c>
      <c r="C41" s="428" t="str">
        <f>Biodata!C43</f>
        <v>YESHA RAHAYU</v>
      </c>
      <c r="D41" s="422">
        <f t="shared" si="0"/>
        <v>0</v>
      </c>
      <c r="E41" s="422" t="str">
        <f t="shared" si="1"/>
        <v/>
      </c>
      <c r="F41" s="422">
        <f t="shared" si="2"/>
        <v>0</v>
      </c>
      <c r="G41" s="422" t="str">
        <f t="shared" si="3"/>
        <v/>
      </c>
    </row>
    <row r="42" spans="1:7" x14ac:dyDescent="0.2">
      <c r="A42" s="422">
        <f>Biodata!A44</f>
        <v>36</v>
      </c>
      <c r="B42" s="427" t="str">
        <f>Biodata!B44</f>
        <v>036</v>
      </c>
      <c r="C42" s="428" t="str">
        <f>Biodata!C44</f>
        <v>A36</v>
      </c>
      <c r="D42" s="422">
        <f t="shared" si="0"/>
        <v>0</v>
      </c>
      <c r="E42" s="422" t="str">
        <f t="shared" si="1"/>
        <v/>
      </c>
      <c r="F42" s="422">
        <f t="shared" si="2"/>
        <v>0</v>
      </c>
      <c r="G42" s="422" t="str">
        <f t="shared" si="3"/>
        <v/>
      </c>
    </row>
    <row r="43" spans="1:7" x14ac:dyDescent="0.2">
      <c r="A43" s="422">
        <f>Biodata!A45</f>
        <v>37</v>
      </c>
      <c r="B43" s="427" t="str">
        <f>Biodata!B45</f>
        <v>037</v>
      </c>
      <c r="C43" s="428" t="str">
        <f>Biodata!C45</f>
        <v>A37</v>
      </c>
      <c r="D43" s="422">
        <f t="shared" si="0"/>
        <v>0</v>
      </c>
      <c r="E43" s="422" t="str">
        <f t="shared" si="1"/>
        <v/>
      </c>
      <c r="F43" s="422">
        <f t="shared" si="2"/>
        <v>0</v>
      </c>
      <c r="G43" s="422" t="str">
        <f t="shared" si="3"/>
        <v/>
      </c>
    </row>
    <row r="44" spans="1:7" x14ac:dyDescent="0.2">
      <c r="A44" s="422">
        <f>Biodata!A46</f>
        <v>38</v>
      </c>
      <c r="B44" s="427" t="str">
        <f>Biodata!B46</f>
        <v>038</v>
      </c>
      <c r="C44" s="428" t="str">
        <f>Biodata!C46</f>
        <v>A38</v>
      </c>
      <c r="D44" s="422">
        <f t="shared" si="0"/>
        <v>0</v>
      </c>
      <c r="E44" s="422" t="str">
        <f t="shared" si="1"/>
        <v/>
      </c>
      <c r="F44" s="422">
        <f t="shared" si="2"/>
        <v>0</v>
      </c>
      <c r="G44" s="422" t="str">
        <f t="shared" si="3"/>
        <v/>
      </c>
    </row>
    <row r="45" spans="1:7" x14ac:dyDescent="0.2">
      <c r="A45" s="422">
        <f>Biodata!A47</f>
        <v>39</v>
      </c>
      <c r="B45" s="427" t="str">
        <f>Biodata!B47</f>
        <v>039</v>
      </c>
      <c r="C45" s="428" t="str">
        <f>Biodata!C47</f>
        <v>A39</v>
      </c>
      <c r="D45" s="422">
        <f t="shared" si="0"/>
        <v>0</v>
      </c>
      <c r="E45" s="422" t="str">
        <f t="shared" si="1"/>
        <v/>
      </c>
      <c r="F45" s="422">
        <f t="shared" si="2"/>
        <v>0</v>
      </c>
      <c r="G45" s="422" t="str">
        <f t="shared" si="3"/>
        <v/>
      </c>
    </row>
    <row r="46" spans="1:7" x14ac:dyDescent="0.2">
      <c r="A46" s="422">
        <f>Biodata!A48</f>
        <v>40</v>
      </c>
      <c r="B46" s="427" t="str">
        <f>Biodata!B48</f>
        <v>040</v>
      </c>
      <c r="C46" s="428" t="str">
        <f>Biodata!C48</f>
        <v>A40</v>
      </c>
      <c r="D46" s="422">
        <f t="shared" si="0"/>
        <v>0</v>
      </c>
      <c r="E46" s="422" t="str">
        <f t="shared" si="1"/>
        <v/>
      </c>
      <c r="F46" s="422">
        <f t="shared" si="2"/>
        <v>0</v>
      </c>
      <c r="G46" s="422" t="str">
        <f t="shared" si="3"/>
        <v/>
      </c>
    </row>
    <row r="47" spans="1:7" x14ac:dyDescent="0.2">
      <c r="C47" s="432"/>
    </row>
    <row r="48" spans="1:7" x14ac:dyDescent="0.2">
      <c r="C48" s="432"/>
    </row>
    <row r="49" spans="3:3" s="425" customFormat="1" x14ac:dyDescent="0.2">
      <c r="C49" s="432"/>
    </row>
    <row r="50" spans="3:3" s="425" customFormat="1" x14ac:dyDescent="0.2">
      <c r="C50" s="432"/>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enableFormatConditionsCalculation="0">
    <tabColor rgb="FF00B050"/>
  </sheetPr>
  <dimension ref="A1:AN174"/>
  <sheetViews>
    <sheetView showGridLines="0" tabSelected="1" zoomScale="85" zoomScaleNormal="85" workbookViewId="0">
      <pane xSplit="4" ySplit="7" topLeftCell="E8" activePane="bottomRight" state="frozen"/>
      <selection pane="topRight" activeCell="E1" sqref="E1"/>
      <selection pane="bottomLeft" activeCell="A8" sqref="A8"/>
      <selection pane="bottomRight" activeCell="AH16" sqref="AH16:AH19"/>
    </sheetView>
  </sheetViews>
  <sheetFormatPr defaultColWidth="6.42578125" defaultRowHeight="12.75" x14ac:dyDescent="0.2"/>
  <cols>
    <col min="1" max="1" width="4" style="48" customWidth="1"/>
    <col min="2" max="2" width="4.42578125" style="46" hidden="1" customWidth="1"/>
    <col min="3" max="3" width="20.7109375" style="46" customWidth="1"/>
    <col min="4" max="4" width="10.85546875" style="47" hidden="1" customWidth="1"/>
    <col min="5" max="5" width="6.7109375" style="46" customWidth="1"/>
    <col min="6" max="13" width="4.7109375" style="10" customWidth="1"/>
    <col min="14" max="14" width="4.7109375" style="24" customWidth="1"/>
    <col min="15" max="22" width="4.7109375" style="10" customWidth="1"/>
    <col min="23" max="24" width="4.5703125" style="10" customWidth="1"/>
    <col min="25" max="27" width="3.7109375" style="10" customWidth="1"/>
    <col min="28" max="28" width="16.42578125" style="10" customWidth="1"/>
    <col min="29" max="29" width="6" style="10" customWidth="1"/>
    <col min="30" max="30" width="7.42578125" style="43" customWidth="1"/>
    <col min="31" max="31" width="7" style="44" customWidth="1"/>
    <col min="32" max="32" width="4" style="36" customWidth="1"/>
    <col min="33" max="33" width="17.140625" style="7" customWidth="1"/>
    <col min="34" max="34" width="9.85546875" style="7" customWidth="1"/>
    <col min="35" max="39" width="6.42578125" style="7"/>
    <col min="40" max="40" width="36.28515625" style="7" customWidth="1"/>
    <col min="41" max="16384" width="6.42578125" style="7"/>
  </cols>
  <sheetData>
    <row r="1" spans="1:40" ht="15" x14ac:dyDescent="0.2">
      <c r="A1" s="60" t="s">
        <v>52</v>
      </c>
      <c r="B1" s="37"/>
      <c r="C1" s="61"/>
      <c r="D1" s="40"/>
      <c r="E1" s="37"/>
      <c r="F1" s="62"/>
      <c r="G1" s="62"/>
      <c r="H1" s="62"/>
      <c r="I1" s="62"/>
      <c r="J1" s="62"/>
      <c r="K1" s="62"/>
      <c r="L1" s="62"/>
      <c r="M1" s="66" t="s">
        <v>50</v>
      </c>
      <c r="N1" s="65" t="str">
        <f>Biodata!C4</f>
        <v xml:space="preserve"> X / IPS_5 </v>
      </c>
      <c r="O1" s="62"/>
      <c r="P1" s="62"/>
      <c r="Q1" s="62"/>
      <c r="R1" s="62"/>
      <c r="S1" s="62"/>
      <c r="T1" s="62"/>
      <c r="U1" s="62"/>
      <c r="V1" s="62"/>
      <c r="W1" s="62"/>
      <c r="X1" s="62"/>
      <c r="Y1" s="62"/>
      <c r="Z1" s="62"/>
      <c r="AA1" s="62"/>
      <c r="AB1" s="62"/>
      <c r="AC1" s="62"/>
      <c r="AD1" s="63"/>
      <c r="AE1" s="62"/>
    </row>
    <row r="2" spans="1:40" ht="15" x14ac:dyDescent="0.2">
      <c r="A2" s="36"/>
      <c r="B2" s="37"/>
      <c r="C2" s="61"/>
      <c r="D2" s="40"/>
      <c r="E2" s="37"/>
      <c r="F2" s="62"/>
      <c r="G2" s="62"/>
      <c r="H2" s="62"/>
      <c r="I2" s="62"/>
      <c r="J2" s="62"/>
      <c r="K2" s="62"/>
      <c r="L2" s="62"/>
      <c r="M2" s="66" t="s">
        <v>42</v>
      </c>
      <c r="N2" s="65" t="str">
        <f>Biodata!C5</f>
        <v>2 / Genap</v>
      </c>
      <c r="O2" s="62"/>
      <c r="P2" s="62"/>
      <c r="Q2" s="62"/>
      <c r="R2" s="62"/>
      <c r="S2" s="62"/>
      <c r="T2" s="62"/>
      <c r="U2" s="62"/>
      <c r="V2" s="62"/>
      <c r="W2" s="62"/>
      <c r="X2" s="62"/>
      <c r="Y2" s="62"/>
      <c r="Z2" s="62"/>
      <c r="AA2" s="62"/>
      <c r="AB2" s="62"/>
      <c r="AC2" s="62"/>
      <c r="AD2" s="63"/>
      <c r="AE2" s="62"/>
    </row>
    <row r="3" spans="1:40" ht="15" x14ac:dyDescent="0.2">
      <c r="A3" s="36"/>
      <c r="B3" s="37"/>
      <c r="C3" s="37"/>
      <c r="D3" s="40"/>
      <c r="E3" s="37"/>
      <c r="F3" s="62"/>
      <c r="G3" s="62"/>
      <c r="H3" s="62"/>
      <c r="I3" s="62"/>
      <c r="J3" s="62"/>
      <c r="K3" s="62"/>
      <c r="L3" s="62"/>
      <c r="M3" s="66" t="s">
        <v>43</v>
      </c>
      <c r="N3" s="65" t="str">
        <f>Biodata!C6</f>
        <v>2018/2019</v>
      </c>
      <c r="O3" s="62"/>
      <c r="P3" s="62"/>
      <c r="Q3" s="62"/>
      <c r="R3" s="62"/>
      <c r="S3" s="62"/>
      <c r="T3" s="62"/>
      <c r="U3" s="62"/>
      <c r="V3" s="62"/>
      <c r="W3" s="62"/>
      <c r="X3" s="62"/>
      <c r="Y3" s="62"/>
      <c r="Z3" s="62"/>
      <c r="AA3" s="62"/>
      <c r="AB3" s="62"/>
      <c r="AC3" s="62"/>
      <c r="AD3" s="63"/>
      <c r="AE3" s="62"/>
    </row>
    <row r="4" spans="1:40" x14ac:dyDescent="0.2">
      <c r="A4" s="36"/>
      <c r="B4" s="37"/>
      <c r="C4" s="37"/>
      <c r="D4" s="40"/>
      <c r="E4" s="37"/>
      <c r="F4" s="62"/>
      <c r="G4" s="62"/>
      <c r="H4" s="62"/>
      <c r="I4" s="62"/>
      <c r="J4" s="62"/>
      <c r="K4" s="62"/>
      <c r="L4" s="62"/>
      <c r="M4" s="62"/>
      <c r="N4" s="64"/>
      <c r="O4" s="62"/>
      <c r="P4" s="62"/>
      <c r="Q4" s="62"/>
      <c r="R4" s="62"/>
      <c r="S4" s="62"/>
      <c r="T4" s="62"/>
      <c r="U4" s="62"/>
      <c r="V4" s="62"/>
      <c r="W4" s="62"/>
      <c r="X4" s="62"/>
      <c r="Y4" s="62"/>
      <c r="Z4" s="62"/>
      <c r="AA4" s="62"/>
      <c r="AB4" s="62"/>
      <c r="AC4" s="62"/>
      <c r="AD4" s="63"/>
      <c r="AE4" s="62"/>
    </row>
    <row r="5" spans="1:40" s="8" customFormat="1" ht="12.75" customHeight="1" x14ac:dyDescent="0.2">
      <c r="A5" s="549" t="s">
        <v>9</v>
      </c>
      <c r="B5" s="549" t="s">
        <v>10</v>
      </c>
      <c r="C5" s="550" t="s">
        <v>41</v>
      </c>
      <c r="D5" s="214" t="s">
        <v>54</v>
      </c>
      <c r="E5" s="524" t="s">
        <v>271</v>
      </c>
      <c r="F5" s="522" t="s">
        <v>67</v>
      </c>
      <c r="G5" s="523"/>
      <c r="H5" s="523"/>
      <c r="I5" s="523"/>
      <c r="J5" s="523"/>
      <c r="K5" s="523"/>
      <c r="L5" s="523" t="s">
        <v>68</v>
      </c>
      <c r="M5" s="523"/>
      <c r="N5" s="523"/>
      <c r="O5" s="523"/>
      <c r="P5" s="523" t="s">
        <v>69</v>
      </c>
      <c r="Q5" s="523"/>
      <c r="R5" s="523"/>
      <c r="S5" s="523"/>
      <c r="T5" s="523" t="s">
        <v>71</v>
      </c>
      <c r="U5" s="523"/>
      <c r="V5" s="215" t="s">
        <v>70</v>
      </c>
      <c r="W5" s="538" t="s">
        <v>270</v>
      </c>
      <c r="X5" s="539"/>
      <c r="Y5" s="522" t="s">
        <v>158</v>
      </c>
      <c r="Z5" s="523"/>
      <c r="AA5" s="521"/>
      <c r="AB5" s="520" t="s">
        <v>159</v>
      </c>
      <c r="AC5" s="521"/>
      <c r="AD5" s="216" t="s">
        <v>160</v>
      </c>
      <c r="AE5" s="217"/>
      <c r="AF5" s="218"/>
      <c r="AG5" s="504" t="s">
        <v>297</v>
      </c>
      <c r="AH5" s="505"/>
    </row>
    <row r="6" spans="1:40" s="9" customFormat="1" ht="101.25" customHeight="1" x14ac:dyDescent="0.2">
      <c r="A6" s="549"/>
      <c r="B6" s="549"/>
      <c r="C6" s="551"/>
      <c r="D6" s="219" t="s">
        <v>55</v>
      </c>
      <c r="E6" s="525"/>
      <c r="F6" s="220" t="s">
        <v>15</v>
      </c>
      <c r="G6" s="221" t="s">
        <v>20</v>
      </c>
      <c r="H6" s="221" t="s">
        <v>21</v>
      </c>
      <c r="I6" s="221" t="s">
        <v>5</v>
      </c>
      <c r="J6" s="221" t="s">
        <v>161</v>
      </c>
      <c r="K6" s="221" t="s">
        <v>11</v>
      </c>
      <c r="L6" s="221" t="s">
        <v>12</v>
      </c>
      <c r="M6" s="221" t="s">
        <v>48</v>
      </c>
      <c r="N6" s="222" t="s">
        <v>16</v>
      </c>
      <c r="O6" s="221" t="s">
        <v>49</v>
      </c>
      <c r="P6" s="221" t="s">
        <v>274</v>
      </c>
      <c r="Q6" s="221" t="s">
        <v>364</v>
      </c>
      <c r="R6" s="221" t="s">
        <v>362</v>
      </c>
      <c r="S6" s="221" t="s">
        <v>363</v>
      </c>
      <c r="T6" s="221" t="s">
        <v>11</v>
      </c>
      <c r="U6" s="221" t="s">
        <v>273</v>
      </c>
      <c r="V6" s="223" t="s">
        <v>51</v>
      </c>
      <c r="W6" s="224" t="s">
        <v>152</v>
      </c>
      <c r="X6" s="225" t="s">
        <v>153</v>
      </c>
      <c r="Y6" s="226" t="s">
        <v>0</v>
      </c>
      <c r="Z6" s="227" t="s">
        <v>17</v>
      </c>
      <c r="AA6" s="228" t="s">
        <v>53</v>
      </c>
      <c r="AB6" s="229" t="s">
        <v>144</v>
      </c>
      <c r="AC6" s="230" t="s">
        <v>4</v>
      </c>
      <c r="AD6" s="231" t="s">
        <v>58</v>
      </c>
      <c r="AE6" s="232" t="s">
        <v>57</v>
      </c>
      <c r="AF6" s="232" t="s">
        <v>73</v>
      </c>
      <c r="AG6" s="258" t="s">
        <v>299</v>
      </c>
      <c r="AH6" s="233" t="s">
        <v>298</v>
      </c>
      <c r="AJ6" s="441"/>
      <c r="AK6" s="441"/>
      <c r="AL6" s="441"/>
    </row>
    <row r="7" spans="1:40" s="9" customFormat="1" ht="13.5" thickBot="1" x14ac:dyDescent="0.25">
      <c r="A7" s="78">
        <v>0</v>
      </c>
      <c r="B7" s="78"/>
      <c r="C7" s="78">
        <v>1</v>
      </c>
      <c r="D7" s="78">
        <v>3</v>
      </c>
      <c r="E7" s="79">
        <v>2</v>
      </c>
      <c r="F7" s="80">
        <v>3</v>
      </c>
      <c r="G7" s="78">
        <v>4</v>
      </c>
      <c r="H7" s="78">
        <v>5</v>
      </c>
      <c r="I7" s="78">
        <v>6</v>
      </c>
      <c r="J7" s="78">
        <v>7</v>
      </c>
      <c r="K7" s="78">
        <v>8</v>
      </c>
      <c r="L7" s="78">
        <v>9</v>
      </c>
      <c r="M7" s="78">
        <v>10</v>
      </c>
      <c r="N7" s="78">
        <v>11</v>
      </c>
      <c r="O7" s="78">
        <v>12</v>
      </c>
      <c r="P7" s="78">
        <v>13</v>
      </c>
      <c r="Q7" s="78">
        <v>14</v>
      </c>
      <c r="R7" s="78">
        <v>15</v>
      </c>
      <c r="S7" s="78">
        <v>16</v>
      </c>
      <c r="T7" s="78">
        <v>17</v>
      </c>
      <c r="U7" s="78">
        <v>18</v>
      </c>
      <c r="V7" s="79">
        <v>19</v>
      </c>
      <c r="W7" s="80">
        <v>20</v>
      </c>
      <c r="X7" s="81">
        <v>21</v>
      </c>
      <c r="Y7" s="80">
        <v>22</v>
      </c>
      <c r="Z7" s="78">
        <v>23</v>
      </c>
      <c r="AA7" s="81">
        <v>24</v>
      </c>
      <c r="AB7" s="82">
        <v>25</v>
      </c>
      <c r="AC7" s="81">
        <v>26</v>
      </c>
      <c r="AD7" s="82">
        <v>27</v>
      </c>
      <c r="AE7" s="78">
        <v>28</v>
      </c>
      <c r="AF7" s="78">
        <v>29</v>
      </c>
      <c r="AG7" s="78">
        <v>30</v>
      </c>
      <c r="AH7" s="78">
        <v>31</v>
      </c>
      <c r="AJ7" s="552" t="s">
        <v>180</v>
      </c>
      <c r="AK7" s="552"/>
      <c r="AL7" s="442" t="s">
        <v>270</v>
      </c>
      <c r="AN7" s="234" t="s">
        <v>165</v>
      </c>
    </row>
    <row r="8" spans="1:40" s="8" customFormat="1" ht="15.75" thickBot="1" x14ac:dyDescent="0.25">
      <c r="A8" s="514">
        <v>1</v>
      </c>
      <c r="B8" s="517" t="str">
        <f>VLOOKUP(A8,biononis,2,1)</f>
        <v>181910008</v>
      </c>
      <c r="C8" s="518" t="str">
        <f>VLOOKUP(A8,biononis,3,1)</f>
        <v>ADITA TRI KURNIA PUTRI</v>
      </c>
      <c r="D8" s="57" t="str">
        <f>B8&amp;"A"</f>
        <v>181910008A</v>
      </c>
      <c r="E8" s="235" t="s">
        <v>259</v>
      </c>
      <c r="F8" s="251"/>
      <c r="G8" s="252"/>
      <c r="H8" s="252"/>
      <c r="I8" s="252"/>
      <c r="J8" s="252"/>
      <c r="K8" s="252"/>
      <c r="L8" s="252"/>
      <c r="M8" s="252"/>
      <c r="N8" s="252"/>
      <c r="O8" s="252"/>
      <c r="P8" s="252"/>
      <c r="Q8" s="252"/>
      <c r="R8" s="252"/>
      <c r="S8" s="252"/>
      <c r="T8" s="252"/>
      <c r="U8" s="252"/>
      <c r="V8" s="238"/>
      <c r="W8" s="526"/>
      <c r="X8" s="526"/>
      <c r="Y8" s="529" t="s">
        <v>36</v>
      </c>
      <c r="Z8" s="532" t="s">
        <v>36</v>
      </c>
      <c r="AA8" s="535" t="s">
        <v>36</v>
      </c>
      <c r="AB8" s="237" t="s">
        <v>177</v>
      </c>
      <c r="AC8" s="238" t="s">
        <v>36</v>
      </c>
      <c r="AD8" s="434" t="str">
        <f>IFERROR(AVERAGE(F8:V8),"")</f>
        <v/>
      </c>
      <c r="AE8" s="510" t="str">
        <f>IFERROR((AD8+AD9)/2,"")</f>
        <v/>
      </c>
      <c r="AF8" s="506" t="str">
        <f>IFERROR(RANK(AE8,$AE$8:$AE$167,0),"")</f>
        <v/>
      </c>
      <c r="AG8" s="556"/>
      <c r="AH8" s="555"/>
      <c r="AJ8" s="443" t="s">
        <v>36</v>
      </c>
      <c r="AK8" s="444" t="s">
        <v>176</v>
      </c>
      <c r="AL8" s="445" t="s">
        <v>285</v>
      </c>
      <c r="AN8" s="416" t="s">
        <v>176</v>
      </c>
    </row>
    <row r="9" spans="1:40" s="8" customFormat="1" ht="15.75" thickBot="1" x14ac:dyDescent="0.25">
      <c r="A9" s="512"/>
      <c r="B9" s="517"/>
      <c r="C9" s="519"/>
      <c r="D9" s="49" t="str">
        <f>B8&amp;"B"</f>
        <v>181910008B</v>
      </c>
      <c r="E9" s="239" t="s">
        <v>260</v>
      </c>
      <c r="F9" s="236"/>
      <c r="G9" s="240"/>
      <c r="H9" s="240"/>
      <c r="I9" s="240"/>
      <c r="J9" s="240"/>
      <c r="K9" s="240"/>
      <c r="L9" s="240"/>
      <c r="M9" s="240"/>
      <c r="N9" s="240"/>
      <c r="O9" s="240"/>
      <c r="P9" s="240"/>
      <c r="Q9" s="240"/>
      <c r="R9" s="240"/>
      <c r="S9" s="240"/>
      <c r="T9" s="240"/>
      <c r="U9" s="240"/>
      <c r="V9" s="341"/>
      <c r="W9" s="527"/>
      <c r="X9" s="527"/>
      <c r="Y9" s="530"/>
      <c r="Z9" s="533"/>
      <c r="AA9" s="536"/>
      <c r="AB9" s="241" t="s">
        <v>36</v>
      </c>
      <c r="AC9" s="242" t="s">
        <v>36</v>
      </c>
      <c r="AD9" s="435" t="str">
        <f>IFERROR(AVERAGE(F9:V9),"")</f>
        <v/>
      </c>
      <c r="AE9" s="510"/>
      <c r="AF9" s="507"/>
      <c r="AG9" s="557"/>
      <c r="AH9" s="503"/>
      <c r="AJ9" s="446">
        <v>10</v>
      </c>
      <c r="AK9" s="447" t="s">
        <v>19</v>
      </c>
      <c r="AL9" s="447" t="s">
        <v>6</v>
      </c>
      <c r="AN9" s="417" t="s">
        <v>278</v>
      </c>
    </row>
    <row r="10" spans="1:40" s="8" customFormat="1" ht="15.75" thickBot="1" x14ac:dyDescent="0.25">
      <c r="A10" s="512"/>
      <c r="B10" s="517"/>
      <c r="C10" s="519"/>
      <c r="D10" s="49" t="str">
        <f>B8&amp;"C"</f>
        <v>181910008C</v>
      </c>
      <c r="E10" s="243" t="s">
        <v>150</v>
      </c>
      <c r="F10" s="244" t="str">
        <f>IFERROR(VLOOKUP(F8,$AJ$8:$AK$12,2,TRUE),"")</f>
        <v/>
      </c>
      <c r="G10" s="345" t="str">
        <f t="shared" ref="G10:V10" si="0">IFERROR(VLOOKUP(G8,$AJ$8:$AK$12,2,TRUE),"")</f>
        <v/>
      </c>
      <c r="H10" s="345" t="str">
        <f t="shared" si="0"/>
        <v/>
      </c>
      <c r="I10" s="345" t="str">
        <f t="shared" si="0"/>
        <v/>
      </c>
      <c r="J10" s="345" t="str">
        <f t="shared" si="0"/>
        <v/>
      </c>
      <c r="K10" s="345" t="str">
        <f t="shared" si="0"/>
        <v/>
      </c>
      <c r="L10" s="345" t="str">
        <f t="shared" si="0"/>
        <v/>
      </c>
      <c r="M10" s="345" t="str">
        <f t="shared" si="0"/>
        <v/>
      </c>
      <c r="N10" s="345" t="str">
        <f t="shared" si="0"/>
        <v/>
      </c>
      <c r="O10" s="345" t="str">
        <f t="shared" si="0"/>
        <v/>
      </c>
      <c r="P10" s="345" t="str">
        <f t="shared" si="0"/>
        <v/>
      </c>
      <c r="Q10" s="345" t="str">
        <f t="shared" si="0"/>
        <v/>
      </c>
      <c r="R10" s="345" t="str">
        <f t="shared" si="0"/>
        <v/>
      </c>
      <c r="S10" s="345" t="str">
        <f t="shared" si="0"/>
        <v/>
      </c>
      <c r="T10" s="345" t="str">
        <f t="shared" si="0"/>
        <v/>
      </c>
      <c r="U10" s="345" t="str">
        <f t="shared" si="0"/>
        <v/>
      </c>
      <c r="V10" s="342" t="str">
        <f t="shared" si="0"/>
        <v/>
      </c>
      <c r="W10" s="527"/>
      <c r="X10" s="527"/>
      <c r="Y10" s="530"/>
      <c r="Z10" s="533"/>
      <c r="AA10" s="536"/>
      <c r="AB10" s="241" t="s">
        <v>36</v>
      </c>
      <c r="AC10" s="242" t="s">
        <v>36</v>
      </c>
      <c r="AD10" s="553">
        <f>SUM(F8:V9)</f>
        <v>0</v>
      </c>
      <c r="AE10" s="510"/>
      <c r="AF10" s="507"/>
      <c r="AG10" s="557"/>
      <c r="AH10" s="503"/>
      <c r="AJ10" s="446">
        <v>70</v>
      </c>
      <c r="AK10" s="447" t="s">
        <v>18</v>
      </c>
      <c r="AL10" s="447" t="s">
        <v>18</v>
      </c>
      <c r="AN10" s="417" t="s">
        <v>277</v>
      </c>
    </row>
    <row r="11" spans="1:40" s="8" customFormat="1" ht="15.75" thickBot="1" x14ac:dyDescent="0.25">
      <c r="A11" s="515"/>
      <c r="B11" s="245"/>
      <c r="C11" s="246"/>
      <c r="D11" s="49" t="str">
        <f>B8&amp;"D"</f>
        <v>181910008D</v>
      </c>
      <c r="E11" s="247" t="s">
        <v>151</v>
      </c>
      <c r="F11" s="248" t="str">
        <f>IFERROR(VLOOKUP(F9,$AJ$8:$AK$12,2,TRUE),"")</f>
        <v/>
      </c>
      <c r="G11" s="344" t="str">
        <f t="shared" ref="G11:U11" si="1">IFERROR(VLOOKUP(G9,$AJ$8:$AK$12,2,TRUE),"")</f>
        <v/>
      </c>
      <c r="H11" s="344" t="str">
        <f t="shared" si="1"/>
        <v/>
      </c>
      <c r="I11" s="344" t="str">
        <f t="shared" si="1"/>
        <v/>
      </c>
      <c r="J11" s="344" t="str">
        <f t="shared" si="1"/>
        <v/>
      </c>
      <c r="K11" s="344" t="str">
        <f t="shared" si="1"/>
        <v/>
      </c>
      <c r="L11" s="344" t="str">
        <f t="shared" si="1"/>
        <v/>
      </c>
      <c r="M11" s="344" t="str">
        <f t="shared" si="1"/>
        <v/>
      </c>
      <c r="N11" s="344" t="str">
        <f t="shared" si="1"/>
        <v/>
      </c>
      <c r="O11" s="344" t="str">
        <f t="shared" si="1"/>
        <v/>
      </c>
      <c r="P11" s="344" t="str">
        <f t="shared" si="1"/>
        <v/>
      </c>
      <c r="Q11" s="344" t="str">
        <f t="shared" si="1"/>
        <v/>
      </c>
      <c r="R11" s="344" t="str">
        <f t="shared" si="1"/>
        <v/>
      </c>
      <c r="S11" s="344" t="str">
        <f t="shared" si="1"/>
        <v/>
      </c>
      <c r="T11" s="344" t="str">
        <f t="shared" si="1"/>
        <v/>
      </c>
      <c r="U11" s="344" t="str">
        <f t="shared" si="1"/>
        <v/>
      </c>
      <c r="V11" s="343" t="str">
        <f>IFERROR(VLOOKUP(V9,$AJ$8:$AK$12,2,TRUE),"")</f>
        <v/>
      </c>
      <c r="W11" s="528"/>
      <c r="X11" s="528"/>
      <c r="Y11" s="531"/>
      <c r="Z11" s="534"/>
      <c r="AA11" s="537"/>
      <c r="AB11" s="249" t="s">
        <v>36</v>
      </c>
      <c r="AC11" s="250" t="s">
        <v>36</v>
      </c>
      <c r="AD11" s="554"/>
      <c r="AE11" s="510"/>
      <c r="AF11" s="508"/>
      <c r="AG11" s="558"/>
      <c r="AH11" s="503"/>
      <c r="AJ11" s="446">
        <v>80</v>
      </c>
      <c r="AK11" s="447" t="s">
        <v>6</v>
      </c>
      <c r="AL11" s="447" t="s">
        <v>294</v>
      </c>
      <c r="AN11" s="417" t="s">
        <v>279</v>
      </c>
    </row>
    <row r="12" spans="1:40" s="8" customFormat="1" ht="15.75" thickBot="1" x14ac:dyDescent="0.25">
      <c r="A12" s="511">
        <v>2</v>
      </c>
      <c r="B12" s="516" t="str">
        <f>VLOOKUP(A12,biononis,2,1)</f>
        <v>181910011</v>
      </c>
      <c r="C12" s="518" t="str">
        <f>VLOOKUP(A12,biononis,3,1)</f>
        <v xml:space="preserve">ADNES KOMALA DEWI </v>
      </c>
      <c r="D12" s="49" t="str">
        <f>B12&amp;"A"</f>
        <v>181910011A</v>
      </c>
      <c r="E12" s="235" t="s">
        <v>259</v>
      </c>
      <c r="F12" s="251">
        <v>50</v>
      </c>
      <c r="G12" s="252">
        <v>72</v>
      </c>
      <c r="H12" s="252">
        <v>73</v>
      </c>
      <c r="I12" s="252">
        <v>65</v>
      </c>
      <c r="J12" s="252">
        <v>50</v>
      </c>
      <c r="K12" s="252">
        <v>57</v>
      </c>
      <c r="L12" s="252">
        <v>75</v>
      </c>
      <c r="M12" s="252">
        <v>65</v>
      </c>
      <c r="N12" s="252">
        <v>50</v>
      </c>
      <c r="O12" s="252">
        <v>23</v>
      </c>
      <c r="P12" s="252">
        <v>35</v>
      </c>
      <c r="Q12" s="252">
        <v>79</v>
      </c>
      <c r="R12" s="252">
        <v>75</v>
      </c>
      <c r="S12" s="252">
        <v>53</v>
      </c>
      <c r="T12" s="252">
        <v>42</v>
      </c>
      <c r="U12" s="252">
        <v>72</v>
      </c>
      <c r="V12" s="238">
        <v>75</v>
      </c>
      <c r="W12" s="526" t="s">
        <v>6</v>
      </c>
      <c r="X12" s="526" t="s">
        <v>6</v>
      </c>
      <c r="Y12" s="543"/>
      <c r="Z12" s="546" t="s">
        <v>36</v>
      </c>
      <c r="AA12" s="540">
        <v>15</v>
      </c>
      <c r="AB12" s="237" t="s">
        <v>177</v>
      </c>
      <c r="AC12" s="238" t="s">
        <v>36</v>
      </c>
      <c r="AD12" s="434">
        <f>IFERROR(AVERAGE(F12:V12),"")</f>
        <v>59.470588235294116</v>
      </c>
      <c r="AE12" s="510">
        <f>IFERROR((AD12+AD13)/2,"")</f>
        <v>58.82352941176471</v>
      </c>
      <c r="AF12" s="506">
        <f>IFERROR(RANK(AE12,$AE$8:$AE$167,0),"")</f>
        <v>17</v>
      </c>
      <c r="AG12" s="556" t="s">
        <v>279</v>
      </c>
      <c r="AH12" s="503" t="s">
        <v>330</v>
      </c>
      <c r="AJ12" s="448">
        <v>90</v>
      </c>
      <c r="AK12" s="447" t="s">
        <v>7</v>
      </c>
      <c r="AL12" s="445" t="s">
        <v>36</v>
      </c>
      <c r="AN12" s="417" t="s">
        <v>280</v>
      </c>
    </row>
    <row r="13" spans="1:40" s="8" customFormat="1" ht="15.75" thickBot="1" x14ac:dyDescent="0.25">
      <c r="A13" s="512"/>
      <c r="B13" s="517"/>
      <c r="C13" s="519"/>
      <c r="D13" s="49" t="str">
        <f>B12&amp;"B"</f>
        <v>181910011B</v>
      </c>
      <c r="E13" s="239" t="s">
        <v>260</v>
      </c>
      <c r="F13" s="253">
        <v>50</v>
      </c>
      <c r="G13" s="240">
        <v>70</v>
      </c>
      <c r="H13" s="240">
        <v>71</v>
      </c>
      <c r="I13" s="240">
        <v>70</v>
      </c>
      <c r="J13" s="240">
        <v>50</v>
      </c>
      <c r="K13" s="240">
        <v>71</v>
      </c>
      <c r="L13" s="240">
        <v>75</v>
      </c>
      <c r="M13" s="240">
        <v>58</v>
      </c>
      <c r="N13" s="240">
        <v>50</v>
      </c>
      <c r="O13" s="240">
        <v>80</v>
      </c>
      <c r="P13" s="240">
        <v>0</v>
      </c>
      <c r="Q13" s="240">
        <v>79</v>
      </c>
      <c r="R13" s="240">
        <v>75</v>
      </c>
      <c r="S13" s="240">
        <v>0</v>
      </c>
      <c r="T13" s="240">
        <v>50</v>
      </c>
      <c r="U13" s="240">
        <v>75</v>
      </c>
      <c r="V13" s="341">
        <v>65</v>
      </c>
      <c r="W13" s="527"/>
      <c r="X13" s="527"/>
      <c r="Y13" s="544"/>
      <c r="Z13" s="547"/>
      <c r="AA13" s="541"/>
      <c r="AB13" s="241" t="s">
        <v>36</v>
      </c>
      <c r="AC13" s="242" t="s">
        <v>36</v>
      </c>
      <c r="AD13" s="435">
        <f>IFERROR(AVERAGE(F13:V13),"")</f>
        <v>58.176470588235297</v>
      </c>
      <c r="AE13" s="510"/>
      <c r="AF13" s="507"/>
      <c r="AG13" s="557"/>
      <c r="AH13" s="503"/>
      <c r="AJ13" s="449"/>
      <c r="AK13" s="450"/>
      <c r="AL13" s="450"/>
      <c r="AN13" s="417" t="s">
        <v>281</v>
      </c>
    </row>
    <row r="14" spans="1:40" s="8" customFormat="1" ht="15.75" thickBot="1" x14ac:dyDescent="0.25">
      <c r="A14" s="512"/>
      <c r="B14" s="517"/>
      <c r="C14" s="519"/>
      <c r="D14" s="49" t="str">
        <f>B12&amp;"C"</f>
        <v>181910011C</v>
      </c>
      <c r="E14" s="243" t="s">
        <v>150</v>
      </c>
      <c r="F14" s="244" t="str">
        <f>IFERROR(VLOOKUP(F12,$AJ$8:$AK$12,2,TRUE),"")</f>
        <v>D</v>
      </c>
      <c r="G14" s="345" t="str">
        <f t="shared" ref="G14:V14" si="2">IFERROR(VLOOKUP(G12,$AJ$8:$AK$12,2,TRUE),"")</f>
        <v>C</v>
      </c>
      <c r="H14" s="345" t="str">
        <f t="shared" si="2"/>
        <v>C</v>
      </c>
      <c r="I14" s="345" t="str">
        <f t="shared" si="2"/>
        <v>D</v>
      </c>
      <c r="J14" s="345" t="str">
        <f t="shared" si="2"/>
        <v>D</v>
      </c>
      <c r="K14" s="345" t="str">
        <f t="shared" si="2"/>
        <v>D</v>
      </c>
      <c r="L14" s="345" t="str">
        <f t="shared" si="2"/>
        <v>C</v>
      </c>
      <c r="M14" s="345" t="str">
        <f t="shared" si="2"/>
        <v>D</v>
      </c>
      <c r="N14" s="345" t="str">
        <f t="shared" si="2"/>
        <v>D</v>
      </c>
      <c r="O14" s="345" t="str">
        <f t="shared" si="2"/>
        <v>D</v>
      </c>
      <c r="P14" s="345" t="str">
        <f t="shared" si="2"/>
        <v>D</v>
      </c>
      <c r="Q14" s="345" t="str">
        <f t="shared" si="2"/>
        <v>C</v>
      </c>
      <c r="R14" s="345" t="str">
        <f t="shared" si="2"/>
        <v>C</v>
      </c>
      <c r="S14" s="345" t="str">
        <f t="shared" si="2"/>
        <v>D</v>
      </c>
      <c r="T14" s="345" t="str">
        <f t="shared" si="2"/>
        <v>D</v>
      </c>
      <c r="U14" s="345" t="str">
        <f t="shared" si="2"/>
        <v>C</v>
      </c>
      <c r="V14" s="342" t="str">
        <f t="shared" si="2"/>
        <v>C</v>
      </c>
      <c r="W14" s="527"/>
      <c r="X14" s="527"/>
      <c r="Y14" s="544"/>
      <c r="Z14" s="547"/>
      <c r="AA14" s="541"/>
      <c r="AB14" s="241" t="s">
        <v>36</v>
      </c>
      <c r="AC14" s="242" t="s">
        <v>36</v>
      </c>
      <c r="AD14" s="553">
        <f>SUM(F12:V13)</f>
        <v>2000</v>
      </c>
      <c r="AE14" s="510"/>
      <c r="AF14" s="507"/>
      <c r="AG14" s="557"/>
      <c r="AH14" s="503"/>
      <c r="AJ14" s="213"/>
      <c r="AK14" s="212"/>
      <c r="AL14" s="212"/>
      <c r="AN14" s="417" t="s">
        <v>282</v>
      </c>
    </row>
    <row r="15" spans="1:40" s="8" customFormat="1" ht="15.75" thickBot="1" x14ac:dyDescent="0.25">
      <c r="A15" s="513"/>
      <c r="B15" s="254"/>
      <c r="C15" s="255"/>
      <c r="D15" s="49" t="str">
        <f>B12&amp;"D"</f>
        <v>181910011D</v>
      </c>
      <c r="E15" s="247" t="s">
        <v>151</v>
      </c>
      <c r="F15" s="248" t="str">
        <f>IFERROR(VLOOKUP(F13,$AJ$8:$AK$12,2,TRUE),"")</f>
        <v>D</v>
      </c>
      <c r="G15" s="344" t="str">
        <f t="shared" ref="G15:U15" si="3">IFERROR(VLOOKUP(G13,$AJ$8:$AK$12,2,TRUE),"")</f>
        <v>C</v>
      </c>
      <c r="H15" s="344" t="str">
        <f t="shared" si="3"/>
        <v>C</v>
      </c>
      <c r="I15" s="344" t="str">
        <f t="shared" si="3"/>
        <v>C</v>
      </c>
      <c r="J15" s="344" t="str">
        <f t="shared" si="3"/>
        <v>D</v>
      </c>
      <c r="K15" s="344" t="str">
        <f t="shared" si="3"/>
        <v>C</v>
      </c>
      <c r="L15" s="344" t="str">
        <f t="shared" si="3"/>
        <v>C</v>
      </c>
      <c r="M15" s="344" t="str">
        <f t="shared" si="3"/>
        <v>D</v>
      </c>
      <c r="N15" s="344" t="str">
        <f t="shared" si="3"/>
        <v>D</v>
      </c>
      <c r="O15" s="344" t="str">
        <f t="shared" si="3"/>
        <v>B</v>
      </c>
      <c r="P15" s="344" t="str">
        <f t="shared" si="3"/>
        <v/>
      </c>
      <c r="Q15" s="344" t="str">
        <f t="shared" si="3"/>
        <v>C</v>
      </c>
      <c r="R15" s="344" t="str">
        <f t="shared" si="3"/>
        <v>C</v>
      </c>
      <c r="S15" s="344" t="str">
        <f t="shared" si="3"/>
        <v/>
      </c>
      <c r="T15" s="344" t="str">
        <f t="shared" si="3"/>
        <v>D</v>
      </c>
      <c r="U15" s="344" t="str">
        <f t="shared" si="3"/>
        <v>C</v>
      </c>
      <c r="V15" s="343" t="str">
        <f>IFERROR(VLOOKUP(V13,$AJ$8:$AK$12,2,TRUE),"")</f>
        <v>D</v>
      </c>
      <c r="W15" s="528"/>
      <c r="X15" s="528"/>
      <c r="Y15" s="545"/>
      <c r="Z15" s="548"/>
      <c r="AA15" s="542"/>
      <c r="AB15" s="249" t="s">
        <v>36</v>
      </c>
      <c r="AC15" s="250" t="s">
        <v>36</v>
      </c>
      <c r="AD15" s="554"/>
      <c r="AE15" s="510"/>
      <c r="AF15" s="508"/>
      <c r="AG15" s="558"/>
      <c r="AH15" s="503"/>
      <c r="AN15" s="417" t="s">
        <v>283</v>
      </c>
    </row>
    <row r="16" spans="1:40" s="8" customFormat="1" ht="15.75" thickBot="1" x14ac:dyDescent="0.25">
      <c r="A16" s="514">
        <v>3</v>
      </c>
      <c r="B16" s="517" t="str">
        <f>VLOOKUP(A16,biononis,2,1)</f>
        <v>181910014</v>
      </c>
      <c r="C16" s="519" t="str">
        <f>VLOOKUP(A16,biononis,3,1)</f>
        <v>AGUNG BUDI PRASTAWA</v>
      </c>
      <c r="D16" s="49" t="str">
        <f>B16&amp;"A"</f>
        <v>181910014A</v>
      </c>
      <c r="E16" s="235" t="s">
        <v>259</v>
      </c>
      <c r="F16" s="251">
        <v>60</v>
      </c>
      <c r="G16" s="252">
        <v>60</v>
      </c>
      <c r="H16" s="252">
        <v>71</v>
      </c>
      <c r="I16" s="252">
        <v>54</v>
      </c>
      <c r="J16" s="252">
        <v>34</v>
      </c>
      <c r="K16" s="252">
        <v>52</v>
      </c>
      <c r="L16" s="252">
        <v>74</v>
      </c>
      <c r="M16" s="252">
        <v>55</v>
      </c>
      <c r="N16" s="252">
        <v>44</v>
      </c>
      <c r="O16" s="252">
        <v>31</v>
      </c>
      <c r="P16" s="252">
        <v>10</v>
      </c>
      <c r="Q16" s="252">
        <v>58</v>
      </c>
      <c r="R16" s="252">
        <v>70</v>
      </c>
      <c r="S16" s="252">
        <v>77</v>
      </c>
      <c r="T16" s="252">
        <v>43</v>
      </c>
      <c r="U16" s="252">
        <v>50</v>
      </c>
      <c r="V16" s="238">
        <v>70</v>
      </c>
      <c r="W16" s="526" t="s">
        <v>6</v>
      </c>
      <c r="X16" s="526" t="s">
        <v>6</v>
      </c>
      <c r="Y16" s="543">
        <v>2</v>
      </c>
      <c r="Z16" s="546" t="s">
        <v>36</v>
      </c>
      <c r="AA16" s="540">
        <v>10</v>
      </c>
      <c r="AB16" s="237" t="s">
        <v>177</v>
      </c>
      <c r="AC16" s="238" t="s">
        <v>36</v>
      </c>
      <c r="AD16" s="434">
        <f>IFERROR(AVERAGE(F16:V16),"")</f>
        <v>53.705882352941174</v>
      </c>
      <c r="AE16" s="510">
        <f>IFERROR((AD16+AD17)/2,"")</f>
        <v>54.147058823529406</v>
      </c>
      <c r="AF16" s="506">
        <f>IFERROR(RANK(AE16,$AE$8:$AE$167,0),"")</f>
        <v>23</v>
      </c>
      <c r="AG16" s="559" t="s">
        <v>280</v>
      </c>
      <c r="AH16" s="503" t="s">
        <v>330</v>
      </c>
      <c r="AN16" s="417" t="s">
        <v>284</v>
      </c>
    </row>
    <row r="17" spans="1:40" s="8" customFormat="1" ht="15.75" thickBot="1" x14ac:dyDescent="0.25">
      <c r="A17" s="512"/>
      <c r="B17" s="517"/>
      <c r="C17" s="519"/>
      <c r="D17" s="49" t="str">
        <f>B16&amp;"B"</f>
        <v>181910014B</v>
      </c>
      <c r="E17" s="239" t="s">
        <v>260</v>
      </c>
      <c r="F17" s="253">
        <v>60</v>
      </c>
      <c r="G17" s="240">
        <v>60</v>
      </c>
      <c r="H17" s="240">
        <v>71</v>
      </c>
      <c r="I17" s="240">
        <v>50</v>
      </c>
      <c r="J17" s="240">
        <v>34</v>
      </c>
      <c r="K17" s="240">
        <v>66</v>
      </c>
      <c r="L17" s="240">
        <v>73</v>
      </c>
      <c r="M17" s="240">
        <v>35</v>
      </c>
      <c r="N17" s="240">
        <v>44</v>
      </c>
      <c r="O17" s="240">
        <v>85</v>
      </c>
      <c r="P17" s="240">
        <v>0</v>
      </c>
      <c r="Q17" s="240">
        <v>60</v>
      </c>
      <c r="R17" s="240">
        <v>70</v>
      </c>
      <c r="S17" s="240">
        <v>70</v>
      </c>
      <c r="T17" s="240">
        <v>40</v>
      </c>
      <c r="U17" s="240">
        <v>50</v>
      </c>
      <c r="V17" s="341">
        <v>60</v>
      </c>
      <c r="W17" s="527"/>
      <c r="X17" s="527"/>
      <c r="Y17" s="544"/>
      <c r="Z17" s="547"/>
      <c r="AA17" s="541"/>
      <c r="AB17" s="241" t="s">
        <v>36</v>
      </c>
      <c r="AC17" s="242" t="s">
        <v>36</v>
      </c>
      <c r="AD17" s="435">
        <f>IFERROR(AVERAGE(F17:V17),"")</f>
        <v>54.588235294117645</v>
      </c>
      <c r="AE17" s="510"/>
      <c r="AF17" s="507"/>
      <c r="AG17" s="557"/>
      <c r="AH17" s="503"/>
    </row>
    <row r="18" spans="1:40" s="8" customFormat="1" ht="15.75" thickBot="1" x14ac:dyDescent="0.25">
      <c r="A18" s="512"/>
      <c r="B18" s="517"/>
      <c r="C18" s="519"/>
      <c r="D18" s="49" t="str">
        <f>B16&amp;"C"</f>
        <v>181910014C</v>
      </c>
      <c r="E18" s="243" t="s">
        <v>150</v>
      </c>
      <c r="F18" s="244" t="str">
        <f>IFERROR(VLOOKUP(F16,$AJ$8:$AK$12,2,TRUE),"")</f>
        <v>D</v>
      </c>
      <c r="G18" s="345" t="str">
        <f t="shared" ref="G18:V18" si="4">IFERROR(VLOOKUP(G16,$AJ$8:$AK$12,2,TRUE),"")</f>
        <v>D</v>
      </c>
      <c r="H18" s="345" t="str">
        <f t="shared" si="4"/>
        <v>C</v>
      </c>
      <c r="I18" s="345" t="str">
        <f t="shared" si="4"/>
        <v>D</v>
      </c>
      <c r="J18" s="345" t="str">
        <f t="shared" si="4"/>
        <v>D</v>
      </c>
      <c r="K18" s="345" t="str">
        <f t="shared" si="4"/>
        <v>D</v>
      </c>
      <c r="L18" s="345" t="str">
        <f t="shared" si="4"/>
        <v>C</v>
      </c>
      <c r="M18" s="345" t="str">
        <f t="shared" si="4"/>
        <v>D</v>
      </c>
      <c r="N18" s="345" t="str">
        <f t="shared" si="4"/>
        <v>D</v>
      </c>
      <c r="O18" s="345" t="str">
        <f t="shared" si="4"/>
        <v>D</v>
      </c>
      <c r="P18" s="345" t="str">
        <f t="shared" si="4"/>
        <v>D</v>
      </c>
      <c r="Q18" s="345" t="str">
        <f t="shared" si="4"/>
        <v>D</v>
      </c>
      <c r="R18" s="345" t="str">
        <f t="shared" si="4"/>
        <v>C</v>
      </c>
      <c r="S18" s="345" t="str">
        <f t="shared" si="4"/>
        <v>C</v>
      </c>
      <c r="T18" s="345" t="str">
        <f t="shared" si="4"/>
        <v>D</v>
      </c>
      <c r="U18" s="345" t="str">
        <f t="shared" si="4"/>
        <v>D</v>
      </c>
      <c r="V18" s="342" t="str">
        <f t="shared" si="4"/>
        <v>C</v>
      </c>
      <c r="W18" s="527"/>
      <c r="X18" s="527"/>
      <c r="Y18" s="544"/>
      <c r="Z18" s="547"/>
      <c r="AA18" s="541"/>
      <c r="AB18" s="241" t="s">
        <v>36</v>
      </c>
      <c r="AC18" s="242" t="s">
        <v>36</v>
      </c>
      <c r="AD18" s="553">
        <f>SUM(F16:V17)</f>
        <v>1841</v>
      </c>
      <c r="AE18" s="510"/>
      <c r="AF18" s="507"/>
      <c r="AG18" s="557"/>
      <c r="AH18" s="503"/>
      <c r="AN18" s="256" t="s">
        <v>296</v>
      </c>
    </row>
    <row r="19" spans="1:40" s="8" customFormat="1" ht="15.75" thickBot="1" x14ac:dyDescent="0.25">
      <c r="A19" s="515"/>
      <c r="B19" s="245"/>
      <c r="C19" s="246"/>
      <c r="D19" s="49" t="str">
        <f>B16&amp;"D"</f>
        <v>181910014D</v>
      </c>
      <c r="E19" s="247" t="s">
        <v>151</v>
      </c>
      <c r="F19" s="248" t="str">
        <f>IFERROR(VLOOKUP(F17,$AJ$8:$AK$12,2,TRUE),"")</f>
        <v>D</v>
      </c>
      <c r="G19" s="344" t="str">
        <f t="shared" ref="G19:U19" si="5">IFERROR(VLOOKUP(G17,$AJ$8:$AK$12,2,TRUE),"")</f>
        <v>D</v>
      </c>
      <c r="H19" s="344" t="str">
        <f t="shared" si="5"/>
        <v>C</v>
      </c>
      <c r="I19" s="344" t="str">
        <f t="shared" si="5"/>
        <v>D</v>
      </c>
      <c r="J19" s="344" t="str">
        <f t="shared" si="5"/>
        <v>D</v>
      </c>
      <c r="K19" s="344" t="str">
        <f t="shared" si="5"/>
        <v>D</v>
      </c>
      <c r="L19" s="344" t="str">
        <f t="shared" si="5"/>
        <v>C</v>
      </c>
      <c r="M19" s="344" t="str">
        <f t="shared" si="5"/>
        <v>D</v>
      </c>
      <c r="N19" s="344" t="str">
        <f t="shared" si="5"/>
        <v>D</v>
      </c>
      <c r="O19" s="344" t="str">
        <f t="shared" si="5"/>
        <v>B</v>
      </c>
      <c r="P19" s="344" t="str">
        <f t="shared" si="5"/>
        <v/>
      </c>
      <c r="Q19" s="344" t="str">
        <f t="shared" si="5"/>
        <v>D</v>
      </c>
      <c r="R19" s="344" t="str">
        <f t="shared" si="5"/>
        <v>C</v>
      </c>
      <c r="S19" s="344" t="str">
        <f t="shared" si="5"/>
        <v>C</v>
      </c>
      <c r="T19" s="344" t="str">
        <f t="shared" si="5"/>
        <v>D</v>
      </c>
      <c r="U19" s="344" t="str">
        <f t="shared" si="5"/>
        <v>D</v>
      </c>
      <c r="V19" s="343" t="str">
        <f>IFERROR(VLOOKUP(V17,$AJ$8:$AK$12,2,TRUE),"")</f>
        <v>D</v>
      </c>
      <c r="W19" s="528"/>
      <c r="X19" s="528"/>
      <c r="Y19" s="545"/>
      <c r="Z19" s="548"/>
      <c r="AA19" s="542"/>
      <c r="AB19" s="249" t="s">
        <v>36</v>
      </c>
      <c r="AC19" s="250" t="s">
        <v>36</v>
      </c>
      <c r="AD19" s="554"/>
      <c r="AE19" s="510"/>
      <c r="AF19" s="508"/>
      <c r="AG19" s="558"/>
      <c r="AH19" s="503"/>
      <c r="AN19" s="412" t="s">
        <v>176</v>
      </c>
    </row>
    <row r="20" spans="1:40" s="8" customFormat="1" ht="15.75" thickBot="1" x14ac:dyDescent="0.25">
      <c r="A20" s="511">
        <v>4</v>
      </c>
      <c r="B20" s="516" t="str">
        <f>VLOOKUP(A20,biononis,2,1)</f>
        <v>181910045</v>
      </c>
      <c r="C20" s="518" t="str">
        <f>VLOOKUP(A20,biononis,3,1)</f>
        <v>ARYA DYTA WIGUNA</v>
      </c>
      <c r="D20" s="49" t="str">
        <f>B20&amp;"A"</f>
        <v>181910045A</v>
      </c>
      <c r="E20" s="235" t="s">
        <v>259</v>
      </c>
      <c r="F20" s="251">
        <v>80</v>
      </c>
      <c r="G20" s="252">
        <v>82</v>
      </c>
      <c r="H20" s="252">
        <v>84</v>
      </c>
      <c r="I20" s="252">
        <v>75</v>
      </c>
      <c r="J20" s="252">
        <v>80</v>
      </c>
      <c r="K20" s="252">
        <v>71</v>
      </c>
      <c r="L20" s="252">
        <v>82</v>
      </c>
      <c r="M20" s="252">
        <v>68</v>
      </c>
      <c r="N20" s="252">
        <v>0</v>
      </c>
      <c r="O20" s="252">
        <v>83</v>
      </c>
      <c r="P20" s="252">
        <v>40</v>
      </c>
      <c r="Q20" s="252">
        <v>84</v>
      </c>
      <c r="R20" s="252">
        <v>80</v>
      </c>
      <c r="S20" s="252">
        <v>70</v>
      </c>
      <c r="T20" s="252">
        <v>70</v>
      </c>
      <c r="U20" s="252">
        <v>78</v>
      </c>
      <c r="V20" s="238">
        <v>70</v>
      </c>
      <c r="W20" s="526" t="s">
        <v>6</v>
      </c>
      <c r="X20" s="526" t="s">
        <v>285</v>
      </c>
      <c r="Y20" s="543" t="s">
        <v>36</v>
      </c>
      <c r="Z20" s="546">
        <v>1</v>
      </c>
      <c r="AA20" s="540" t="s">
        <v>36</v>
      </c>
      <c r="AB20" s="237" t="s">
        <v>177</v>
      </c>
      <c r="AC20" s="238" t="s">
        <v>36</v>
      </c>
      <c r="AD20" s="434">
        <f>IFERROR(AVERAGE(F20:V20),"")</f>
        <v>70.411764705882348</v>
      </c>
      <c r="AE20" s="510">
        <f t="shared" ref="AE20" si="6">IFERROR((AD20+AD21)/2,"")</f>
        <v>68.67647058823529</v>
      </c>
      <c r="AF20" s="506">
        <f>IFERROR(RANK(AE20,$AE$8:$AE$167,0),"")</f>
        <v>11</v>
      </c>
      <c r="AG20" s="559" t="s">
        <v>279</v>
      </c>
      <c r="AH20" s="503" t="s">
        <v>330</v>
      </c>
      <c r="AN20" s="413" t="s">
        <v>348</v>
      </c>
    </row>
    <row r="21" spans="1:40" s="8" customFormat="1" ht="15.75" thickBot="1" x14ac:dyDescent="0.25">
      <c r="A21" s="512"/>
      <c r="B21" s="517"/>
      <c r="C21" s="519"/>
      <c r="D21" s="49" t="str">
        <f>B20&amp;"B"</f>
        <v>181910045B</v>
      </c>
      <c r="E21" s="239" t="s">
        <v>260</v>
      </c>
      <c r="F21" s="253">
        <v>80</v>
      </c>
      <c r="G21" s="240">
        <v>80</v>
      </c>
      <c r="H21" s="240">
        <v>75</v>
      </c>
      <c r="I21" s="240">
        <v>80</v>
      </c>
      <c r="J21" s="240">
        <v>75</v>
      </c>
      <c r="K21" s="240">
        <v>73</v>
      </c>
      <c r="L21" s="240">
        <v>76</v>
      </c>
      <c r="M21" s="240">
        <v>57</v>
      </c>
      <c r="N21" s="240">
        <v>0</v>
      </c>
      <c r="O21" s="240">
        <v>87</v>
      </c>
      <c r="P21" s="240">
        <v>0</v>
      </c>
      <c r="Q21" s="240">
        <v>85</v>
      </c>
      <c r="R21" s="240">
        <v>80</v>
      </c>
      <c r="S21" s="240">
        <v>75</v>
      </c>
      <c r="T21" s="240">
        <v>72</v>
      </c>
      <c r="U21" s="240">
        <v>83</v>
      </c>
      <c r="V21" s="341">
        <v>60</v>
      </c>
      <c r="W21" s="527"/>
      <c r="X21" s="527"/>
      <c r="Y21" s="544"/>
      <c r="Z21" s="547"/>
      <c r="AA21" s="541"/>
      <c r="AB21" s="241" t="s">
        <v>438</v>
      </c>
      <c r="AC21" s="242" t="s">
        <v>6</v>
      </c>
      <c r="AD21" s="435">
        <f>IFERROR(AVERAGE(F21:V21),"")</f>
        <v>66.941176470588232</v>
      </c>
      <c r="AE21" s="510"/>
      <c r="AF21" s="507"/>
      <c r="AG21" s="557"/>
      <c r="AH21" s="503"/>
      <c r="AN21" s="413" t="s">
        <v>329</v>
      </c>
    </row>
    <row r="22" spans="1:40" s="8" customFormat="1" ht="15.75" thickBot="1" x14ac:dyDescent="0.25">
      <c r="A22" s="512"/>
      <c r="B22" s="517"/>
      <c r="C22" s="519"/>
      <c r="D22" s="49" t="str">
        <f>B20&amp;"C"</f>
        <v>181910045C</v>
      </c>
      <c r="E22" s="243" t="s">
        <v>150</v>
      </c>
      <c r="F22" s="244" t="str">
        <f>IFERROR(VLOOKUP(F20,$AJ$8:$AK$12,2,TRUE),"")</f>
        <v>B</v>
      </c>
      <c r="G22" s="345" t="str">
        <f t="shared" ref="G22:V22" si="7">IFERROR(VLOOKUP(G20,$AJ$8:$AK$12,2,TRUE),"")</f>
        <v>B</v>
      </c>
      <c r="H22" s="345" t="str">
        <f t="shared" si="7"/>
        <v>B</v>
      </c>
      <c r="I22" s="345" t="str">
        <f t="shared" si="7"/>
        <v>C</v>
      </c>
      <c r="J22" s="345" t="str">
        <f t="shared" si="7"/>
        <v>B</v>
      </c>
      <c r="K22" s="345" t="str">
        <f t="shared" si="7"/>
        <v>C</v>
      </c>
      <c r="L22" s="345" t="str">
        <f t="shared" si="7"/>
        <v>B</v>
      </c>
      <c r="M22" s="345" t="str">
        <f t="shared" si="7"/>
        <v>D</v>
      </c>
      <c r="N22" s="345" t="str">
        <f t="shared" si="7"/>
        <v/>
      </c>
      <c r="O22" s="345" t="str">
        <f t="shared" si="7"/>
        <v>B</v>
      </c>
      <c r="P22" s="345" t="str">
        <f t="shared" si="7"/>
        <v>D</v>
      </c>
      <c r="Q22" s="345" t="str">
        <f t="shared" si="7"/>
        <v>B</v>
      </c>
      <c r="R22" s="345" t="str">
        <f t="shared" si="7"/>
        <v>B</v>
      </c>
      <c r="S22" s="345" t="str">
        <f t="shared" si="7"/>
        <v>C</v>
      </c>
      <c r="T22" s="345" t="str">
        <f t="shared" si="7"/>
        <v>C</v>
      </c>
      <c r="U22" s="345" t="str">
        <f t="shared" si="7"/>
        <v>C</v>
      </c>
      <c r="V22" s="342" t="str">
        <f t="shared" si="7"/>
        <v>C</v>
      </c>
      <c r="W22" s="527"/>
      <c r="X22" s="527"/>
      <c r="Y22" s="544"/>
      <c r="Z22" s="547"/>
      <c r="AA22" s="541"/>
      <c r="AB22" s="241" t="s">
        <v>36</v>
      </c>
      <c r="AC22" s="242" t="s">
        <v>36</v>
      </c>
      <c r="AD22" s="553">
        <f>SUM(F20:V21)</f>
        <v>2335</v>
      </c>
      <c r="AE22" s="510"/>
      <c r="AF22" s="507"/>
      <c r="AG22" s="557"/>
      <c r="AH22" s="503"/>
      <c r="AN22" s="414" t="s">
        <v>330</v>
      </c>
    </row>
    <row r="23" spans="1:40" s="8" customFormat="1" ht="15.75" thickBot="1" x14ac:dyDescent="0.25">
      <c r="A23" s="513"/>
      <c r="B23" s="254"/>
      <c r="C23" s="255"/>
      <c r="D23" s="49" t="str">
        <f>B20&amp;"D"</f>
        <v>181910045D</v>
      </c>
      <c r="E23" s="247" t="s">
        <v>151</v>
      </c>
      <c r="F23" s="248" t="str">
        <f>IFERROR(VLOOKUP(F21,$AJ$8:$AK$12,2,TRUE),"")</f>
        <v>B</v>
      </c>
      <c r="G23" s="344" t="str">
        <f t="shared" ref="G23:U23" si="8">IFERROR(VLOOKUP(G21,$AJ$8:$AK$12,2,TRUE),"")</f>
        <v>B</v>
      </c>
      <c r="H23" s="344" t="str">
        <f t="shared" si="8"/>
        <v>C</v>
      </c>
      <c r="I23" s="344" t="str">
        <f t="shared" si="8"/>
        <v>B</v>
      </c>
      <c r="J23" s="344" t="str">
        <f t="shared" si="8"/>
        <v>C</v>
      </c>
      <c r="K23" s="344" t="str">
        <f t="shared" si="8"/>
        <v>C</v>
      </c>
      <c r="L23" s="344" t="str">
        <f t="shared" si="8"/>
        <v>C</v>
      </c>
      <c r="M23" s="344" t="str">
        <f t="shared" si="8"/>
        <v>D</v>
      </c>
      <c r="N23" s="344" t="str">
        <f t="shared" si="8"/>
        <v/>
      </c>
      <c r="O23" s="344" t="str">
        <f t="shared" si="8"/>
        <v>B</v>
      </c>
      <c r="P23" s="344" t="str">
        <f t="shared" si="8"/>
        <v/>
      </c>
      <c r="Q23" s="344" t="str">
        <f t="shared" si="8"/>
        <v>B</v>
      </c>
      <c r="R23" s="344" t="str">
        <f t="shared" si="8"/>
        <v>B</v>
      </c>
      <c r="S23" s="344" t="str">
        <f t="shared" si="8"/>
        <v>C</v>
      </c>
      <c r="T23" s="344" t="str">
        <f t="shared" si="8"/>
        <v>C</v>
      </c>
      <c r="U23" s="344" t="str">
        <f t="shared" si="8"/>
        <v>B</v>
      </c>
      <c r="V23" s="343" t="str">
        <f>IFERROR(VLOOKUP(V21,$AJ$8:$AK$12,2,TRUE),"")</f>
        <v>D</v>
      </c>
      <c r="W23" s="528"/>
      <c r="X23" s="528"/>
      <c r="Y23" s="545"/>
      <c r="Z23" s="548"/>
      <c r="AA23" s="542"/>
      <c r="AB23" s="249" t="s">
        <v>36</v>
      </c>
      <c r="AC23" s="250" t="s">
        <v>36</v>
      </c>
      <c r="AD23" s="554"/>
      <c r="AE23" s="510"/>
      <c r="AF23" s="508"/>
      <c r="AG23" s="558"/>
      <c r="AH23" s="503"/>
      <c r="AN23" s="415" t="s">
        <v>176</v>
      </c>
    </row>
    <row r="24" spans="1:40" s="8" customFormat="1" ht="15.75" thickBot="1" x14ac:dyDescent="0.25">
      <c r="A24" s="514">
        <v>5</v>
      </c>
      <c r="B24" s="517" t="str">
        <f>VLOOKUP(A24,biononis,2,1)</f>
        <v>181910054</v>
      </c>
      <c r="C24" s="519" t="str">
        <f>VLOOKUP(A24,biononis,3,1)</f>
        <v>AZRIEL TAMA SANTIAJI</v>
      </c>
      <c r="D24" s="49" t="str">
        <f>B24&amp;"A"</f>
        <v>181910054A</v>
      </c>
      <c r="E24" s="235" t="s">
        <v>259</v>
      </c>
      <c r="F24" s="251">
        <v>50</v>
      </c>
      <c r="G24" s="252">
        <v>50</v>
      </c>
      <c r="H24" s="252">
        <v>60</v>
      </c>
      <c r="I24" s="252">
        <v>34</v>
      </c>
      <c r="J24" s="252">
        <v>34</v>
      </c>
      <c r="K24" s="252">
        <v>58</v>
      </c>
      <c r="L24" s="252">
        <v>76</v>
      </c>
      <c r="M24" s="252">
        <v>50</v>
      </c>
      <c r="N24" s="252">
        <v>55</v>
      </c>
      <c r="O24" s="252">
        <v>22</v>
      </c>
      <c r="P24" s="252">
        <v>10</v>
      </c>
      <c r="Q24" s="252">
        <v>55</v>
      </c>
      <c r="R24" s="252">
        <v>60</v>
      </c>
      <c r="S24" s="252">
        <v>67</v>
      </c>
      <c r="T24" s="252">
        <v>20</v>
      </c>
      <c r="U24" s="252">
        <v>65</v>
      </c>
      <c r="V24" s="238">
        <v>72</v>
      </c>
      <c r="W24" s="526" t="s">
        <v>6</v>
      </c>
      <c r="X24" s="526" t="s">
        <v>6</v>
      </c>
      <c r="Y24" s="543" t="s">
        <v>36</v>
      </c>
      <c r="Z24" s="546" t="s">
        <v>36</v>
      </c>
      <c r="AA24" s="540">
        <v>35</v>
      </c>
      <c r="AB24" s="237" t="s">
        <v>177</v>
      </c>
      <c r="AC24" s="238" t="s">
        <v>36</v>
      </c>
      <c r="AD24" s="434">
        <f>IFERROR(AVERAGE(F24:V24),"")</f>
        <v>49.294117647058826</v>
      </c>
      <c r="AE24" s="510">
        <f t="shared" ref="AE24" si="9">IFERROR((AD24+AD25)/2,"")</f>
        <v>49.676470588235297</v>
      </c>
      <c r="AF24" s="506">
        <f>IFERROR(RANK(AE24,$AE$8:$AE$167,0),"")</f>
        <v>26</v>
      </c>
      <c r="AG24" s="559" t="s">
        <v>280</v>
      </c>
      <c r="AH24" s="503" t="s">
        <v>330</v>
      </c>
      <c r="AN24" s="415" t="s">
        <v>176</v>
      </c>
    </row>
    <row r="25" spans="1:40" s="8" customFormat="1" ht="15.75" thickBot="1" x14ac:dyDescent="0.25">
      <c r="A25" s="512"/>
      <c r="B25" s="517"/>
      <c r="C25" s="519"/>
      <c r="D25" s="49" t="str">
        <f>B24&amp;"B"</f>
        <v>181910054B</v>
      </c>
      <c r="E25" s="239" t="s">
        <v>260</v>
      </c>
      <c r="F25" s="253">
        <v>50</v>
      </c>
      <c r="G25" s="240">
        <v>60</v>
      </c>
      <c r="H25" s="240">
        <v>60</v>
      </c>
      <c r="I25" s="240">
        <v>56</v>
      </c>
      <c r="J25" s="240">
        <v>34</v>
      </c>
      <c r="K25" s="240">
        <v>66</v>
      </c>
      <c r="L25" s="240">
        <v>75</v>
      </c>
      <c r="M25" s="240">
        <v>40</v>
      </c>
      <c r="N25" s="240">
        <v>55</v>
      </c>
      <c r="O25" s="240">
        <v>75</v>
      </c>
      <c r="P25" s="240">
        <v>0</v>
      </c>
      <c r="Q25" s="240">
        <v>60</v>
      </c>
      <c r="R25" s="240">
        <v>60</v>
      </c>
      <c r="S25" s="240">
        <v>0</v>
      </c>
      <c r="T25" s="240">
        <v>30</v>
      </c>
      <c r="U25" s="240">
        <v>70</v>
      </c>
      <c r="V25" s="341">
        <v>60</v>
      </c>
      <c r="W25" s="527"/>
      <c r="X25" s="527"/>
      <c r="Y25" s="544"/>
      <c r="Z25" s="547"/>
      <c r="AA25" s="541"/>
      <c r="AB25" s="241" t="s">
        <v>36</v>
      </c>
      <c r="AC25" s="242" t="s">
        <v>36</v>
      </c>
      <c r="AD25" s="435">
        <f>IFERROR(AVERAGE(F25:V25),"")</f>
        <v>50.058823529411768</v>
      </c>
      <c r="AE25" s="510"/>
      <c r="AF25" s="507"/>
      <c r="AG25" s="557"/>
      <c r="AH25" s="503"/>
    </row>
    <row r="26" spans="1:40" s="8" customFormat="1" ht="15.75" thickBot="1" x14ac:dyDescent="0.25">
      <c r="A26" s="512"/>
      <c r="B26" s="517"/>
      <c r="C26" s="519"/>
      <c r="D26" s="49" t="str">
        <f>B24&amp;"C"</f>
        <v>181910054C</v>
      </c>
      <c r="E26" s="243" t="s">
        <v>150</v>
      </c>
      <c r="F26" s="244" t="str">
        <f>IFERROR(VLOOKUP(F24,$AJ$8:$AK$12,2,TRUE),"")</f>
        <v>D</v>
      </c>
      <c r="G26" s="345" t="str">
        <f t="shared" ref="G26:V26" si="10">IFERROR(VLOOKUP(G24,$AJ$8:$AK$12,2,TRUE),"")</f>
        <v>D</v>
      </c>
      <c r="H26" s="345" t="str">
        <f t="shared" si="10"/>
        <v>D</v>
      </c>
      <c r="I26" s="345" t="str">
        <f t="shared" si="10"/>
        <v>D</v>
      </c>
      <c r="J26" s="345" t="str">
        <f t="shared" si="10"/>
        <v>D</v>
      </c>
      <c r="K26" s="345" t="str">
        <f t="shared" si="10"/>
        <v>D</v>
      </c>
      <c r="L26" s="345" t="str">
        <f t="shared" si="10"/>
        <v>C</v>
      </c>
      <c r="M26" s="345" t="str">
        <f t="shared" si="10"/>
        <v>D</v>
      </c>
      <c r="N26" s="345" t="str">
        <f t="shared" si="10"/>
        <v>D</v>
      </c>
      <c r="O26" s="345" t="str">
        <f t="shared" si="10"/>
        <v>D</v>
      </c>
      <c r="P26" s="345" t="str">
        <f t="shared" si="10"/>
        <v>D</v>
      </c>
      <c r="Q26" s="345" t="str">
        <f t="shared" si="10"/>
        <v>D</v>
      </c>
      <c r="R26" s="345" t="str">
        <f t="shared" si="10"/>
        <v>D</v>
      </c>
      <c r="S26" s="345" t="str">
        <f t="shared" si="10"/>
        <v>D</v>
      </c>
      <c r="T26" s="345" t="str">
        <f t="shared" si="10"/>
        <v>D</v>
      </c>
      <c r="U26" s="345" t="str">
        <f t="shared" si="10"/>
        <v>D</v>
      </c>
      <c r="V26" s="342" t="str">
        <f t="shared" si="10"/>
        <v>C</v>
      </c>
      <c r="W26" s="527"/>
      <c r="X26" s="527"/>
      <c r="Y26" s="544"/>
      <c r="Z26" s="547"/>
      <c r="AA26" s="541"/>
      <c r="AB26" s="241" t="s">
        <v>36</v>
      </c>
      <c r="AC26" s="242" t="s">
        <v>36</v>
      </c>
      <c r="AD26" s="553">
        <f>SUM(F24:V25)</f>
        <v>1689</v>
      </c>
      <c r="AE26" s="510"/>
      <c r="AF26" s="507"/>
      <c r="AG26" s="557"/>
      <c r="AH26" s="503"/>
    </row>
    <row r="27" spans="1:40" s="8" customFormat="1" ht="15.75" thickBot="1" x14ac:dyDescent="0.25">
      <c r="A27" s="515"/>
      <c r="B27" s="245"/>
      <c r="C27" s="246"/>
      <c r="D27" s="49" t="str">
        <f>B24&amp;"D"</f>
        <v>181910054D</v>
      </c>
      <c r="E27" s="247" t="s">
        <v>151</v>
      </c>
      <c r="F27" s="248" t="str">
        <f>IFERROR(VLOOKUP(F25,$AJ$8:$AK$12,2,TRUE),"")</f>
        <v>D</v>
      </c>
      <c r="G27" s="344" t="str">
        <f t="shared" ref="G27:U27" si="11">IFERROR(VLOOKUP(G25,$AJ$8:$AK$12,2,TRUE),"")</f>
        <v>D</v>
      </c>
      <c r="H27" s="344" t="str">
        <f t="shared" si="11"/>
        <v>D</v>
      </c>
      <c r="I27" s="344" t="str">
        <f t="shared" si="11"/>
        <v>D</v>
      </c>
      <c r="J27" s="344" t="str">
        <f t="shared" si="11"/>
        <v>D</v>
      </c>
      <c r="K27" s="344" t="str">
        <f t="shared" si="11"/>
        <v>D</v>
      </c>
      <c r="L27" s="344" t="str">
        <f t="shared" si="11"/>
        <v>C</v>
      </c>
      <c r="M27" s="344" t="str">
        <f t="shared" si="11"/>
        <v>D</v>
      </c>
      <c r="N27" s="344" t="str">
        <f t="shared" si="11"/>
        <v>D</v>
      </c>
      <c r="O27" s="344" t="str">
        <f t="shared" si="11"/>
        <v>C</v>
      </c>
      <c r="P27" s="344" t="str">
        <f t="shared" si="11"/>
        <v/>
      </c>
      <c r="Q27" s="344" t="str">
        <f t="shared" si="11"/>
        <v>D</v>
      </c>
      <c r="R27" s="344" t="str">
        <f t="shared" si="11"/>
        <v>D</v>
      </c>
      <c r="S27" s="344" t="str">
        <f t="shared" si="11"/>
        <v/>
      </c>
      <c r="T27" s="344" t="str">
        <f t="shared" si="11"/>
        <v>D</v>
      </c>
      <c r="U27" s="344" t="str">
        <f t="shared" si="11"/>
        <v>C</v>
      </c>
      <c r="V27" s="343" t="str">
        <f>IFERROR(VLOOKUP(V25,$AJ$8:$AK$12,2,TRUE),"")</f>
        <v>D</v>
      </c>
      <c r="W27" s="528"/>
      <c r="X27" s="528"/>
      <c r="Y27" s="545"/>
      <c r="Z27" s="548"/>
      <c r="AA27" s="542"/>
      <c r="AB27" s="249" t="s">
        <v>36</v>
      </c>
      <c r="AC27" s="250" t="s">
        <v>36</v>
      </c>
      <c r="AD27" s="554"/>
      <c r="AE27" s="510"/>
      <c r="AF27" s="508"/>
      <c r="AG27" s="558"/>
      <c r="AH27" s="503"/>
    </row>
    <row r="28" spans="1:40" s="8" customFormat="1" ht="15.75" thickBot="1" x14ac:dyDescent="0.25">
      <c r="A28" s="511">
        <v>6</v>
      </c>
      <c r="B28" s="516" t="str">
        <f>VLOOKUP(A28,biononis,2,1)</f>
        <v>181910055</v>
      </c>
      <c r="C28" s="518" t="str">
        <f>VLOOKUP(A28,biononis,3,1)</f>
        <v>AZZUHRI HAUDI</v>
      </c>
      <c r="D28" s="49" t="str">
        <f>B28&amp;"A"</f>
        <v>181910055A</v>
      </c>
      <c r="E28" s="235" t="s">
        <v>259</v>
      </c>
      <c r="F28" s="251">
        <v>60</v>
      </c>
      <c r="G28" s="252">
        <v>75</v>
      </c>
      <c r="H28" s="252">
        <v>77</v>
      </c>
      <c r="I28" s="252">
        <v>66</v>
      </c>
      <c r="J28" s="252">
        <v>51</v>
      </c>
      <c r="K28" s="252">
        <v>57</v>
      </c>
      <c r="L28" s="252"/>
      <c r="M28" s="252">
        <v>80</v>
      </c>
      <c r="N28" s="252">
        <v>60</v>
      </c>
      <c r="O28" s="252">
        <v>75</v>
      </c>
      <c r="P28" s="252">
        <v>15</v>
      </c>
      <c r="Q28" s="252">
        <v>77</v>
      </c>
      <c r="R28" s="252">
        <v>74</v>
      </c>
      <c r="S28" s="252">
        <v>67</v>
      </c>
      <c r="T28" s="252">
        <v>60</v>
      </c>
      <c r="U28" s="252">
        <v>73</v>
      </c>
      <c r="V28" s="238">
        <v>75</v>
      </c>
      <c r="W28" s="526" t="s">
        <v>6</v>
      </c>
      <c r="X28" s="526" t="s">
        <v>6</v>
      </c>
      <c r="Y28" s="543">
        <v>1</v>
      </c>
      <c r="Z28" s="546" t="s">
        <v>36</v>
      </c>
      <c r="AA28" s="540">
        <v>15</v>
      </c>
      <c r="AB28" s="237" t="s">
        <v>177</v>
      </c>
      <c r="AC28" s="238" t="s">
        <v>36</v>
      </c>
      <c r="AD28" s="434">
        <f>IFERROR(AVERAGE(F28:V28),"")</f>
        <v>65.125</v>
      </c>
      <c r="AE28" s="510">
        <f t="shared" ref="AE28" si="12">IFERROR((AD28+AD29)/2,"")</f>
        <v>62.46875</v>
      </c>
      <c r="AF28" s="506">
        <f>IFERROR(RANK(AE28,$AE$8:$AE$167,0),"")</f>
        <v>14</v>
      </c>
      <c r="AG28" s="559" t="s">
        <v>279</v>
      </c>
      <c r="AH28" s="503" t="s">
        <v>330</v>
      </c>
    </row>
    <row r="29" spans="1:40" s="8" customFormat="1" ht="15.75" thickBot="1" x14ac:dyDescent="0.25">
      <c r="A29" s="512"/>
      <c r="B29" s="517"/>
      <c r="C29" s="519"/>
      <c r="D29" s="49" t="str">
        <f>B28&amp;"B"</f>
        <v>181910055B</v>
      </c>
      <c r="E29" s="239" t="s">
        <v>260</v>
      </c>
      <c r="F29" s="253">
        <v>60</v>
      </c>
      <c r="G29" s="240">
        <v>80</v>
      </c>
      <c r="H29" s="240">
        <v>75</v>
      </c>
      <c r="I29" s="240">
        <v>65</v>
      </c>
      <c r="J29" s="240">
        <v>51</v>
      </c>
      <c r="K29" s="240">
        <v>66</v>
      </c>
      <c r="L29" s="240"/>
      <c r="M29" s="240">
        <v>63</v>
      </c>
      <c r="N29" s="240">
        <v>60</v>
      </c>
      <c r="O29" s="240">
        <v>75</v>
      </c>
      <c r="P29" s="240">
        <v>0</v>
      </c>
      <c r="Q29" s="240">
        <v>74</v>
      </c>
      <c r="R29" s="240">
        <v>74</v>
      </c>
      <c r="S29" s="240">
        <v>0</v>
      </c>
      <c r="T29" s="240">
        <v>74</v>
      </c>
      <c r="U29" s="240">
        <v>75</v>
      </c>
      <c r="V29" s="341">
        <v>65</v>
      </c>
      <c r="W29" s="527"/>
      <c r="X29" s="527"/>
      <c r="Y29" s="544"/>
      <c r="Z29" s="547"/>
      <c r="AA29" s="541"/>
      <c r="AB29" s="241" t="s">
        <v>36</v>
      </c>
      <c r="AC29" s="242" t="s">
        <v>36</v>
      </c>
      <c r="AD29" s="435">
        <f>IFERROR(AVERAGE(F29:V29),"")</f>
        <v>59.8125</v>
      </c>
      <c r="AE29" s="510"/>
      <c r="AF29" s="507"/>
      <c r="AG29" s="557"/>
      <c r="AH29" s="503"/>
    </row>
    <row r="30" spans="1:40" s="8" customFormat="1" ht="15.75" thickBot="1" x14ac:dyDescent="0.25">
      <c r="A30" s="512"/>
      <c r="B30" s="517"/>
      <c r="C30" s="519"/>
      <c r="D30" s="49" t="str">
        <f>B28&amp;"C"</f>
        <v>181910055C</v>
      </c>
      <c r="E30" s="243" t="s">
        <v>150</v>
      </c>
      <c r="F30" s="244" t="str">
        <f>IFERROR(VLOOKUP(F28,$AJ$8:$AK$12,2,TRUE),"")</f>
        <v>D</v>
      </c>
      <c r="G30" s="345" t="str">
        <f t="shared" ref="G30:V30" si="13">IFERROR(VLOOKUP(G28,$AJ$8:$AK$12,2,TRUE),"")</f>
        <v>C</v>
      </c>
      <c r="H30" s="345" t="str">
        <f t="shared" si="13"/>
        <v>C</v>
      </c>
      <c r="I30" s="345" t="str">
        <f t="shared" si="13"/>
        <v>D</v>
      </c>
      <c r="J30" s="345" t="str">
        <f t="shared" si="13"/>
        <v>D</v>
      </c>
      <c r="K30" s="345" t="str">
        <f t="shared" si="13"/>
        <v>D</v>
      </c>
      <c r="L30" s="345" t="str">
        <f t="shared" si="13"/>
        <v/>
      </c>
      <c r="M30" s="345" t="str">
        <f t="shared" si="13"/>
        <v>B</v>
      </c>
      <c r="N30" s="345" t="str">
        <f t="shared" si="13"/>
        <v>D</v>
      </c>
      <c r="O30" s="345" t="str">
        <f t="shared" si="13"/>
        <v>C</v>
      </c>
      <c r="P30" s="345" t="str">
        <f t="shared" si="13"/>
        <v>D</v>
      </c>
      <c r="Q30" s="345" t="str">
        <f t="shared" si="13"/>
        <v>C</v>
      </c>
      <c r="R30" s="345" t="str">
        <f t="shared" si="13"/>
        <v>C</v>
      </c>
      <c r="S30" s="345" t="str">
        <f t="shared" si="13"/>
        <v>D</v>
      </c>
      <c r="T30" s="345" t="str">
        <f t="shared" si="13"/>
        <v>D</v>
      </c>
      <c r="U30" s="345" t="str">
        <f t="shared" si="13"/>
        <v>C</v>
      </c>
      <c r="V30" s="342" t="str">
        <f t="shared" si="13"/>
        <v>C</v>
      </c>
      <c r="W30" s="527"/>
      <c r="X30" s="527"/>
      <c r="Y30" s="544"/>
      <c r="Z30" s="547"/>
      <c r="AA30" s="541"/>
      <c r="AB30" s="241" t="s">
        <v>36</v>
      </c>
      <c r="AC30" s="242" t="s">
        <v>36</v>
      </c>
      <c r="AD30" s="553">
        <f>SUM(F28:V29)</f>
        <v>1999</v>
      </c>
      <c r="AE30" s="510"/>
      <c r="AF30" s="507"/>
      <c r="AG30" s="557"/>
      <c r="AH30" s="503"/>
    </row>
    <row r="31" spans="1:40" s="8" customFormat="1" ht="15.75" thickBot="1" x14ac:dyDescent="0.25">
      <c r="A31" s="513"/>
      <c r="B31" s="254"/>
      <c r="C31" s="255"/>
      <c r="D31" s="49" t="str">
        <f>B28&amp;"D"</f>
        <v>181910055D</v>
      </c>
      <c r="E31" s="247" t="s">
        <v>151</v>
      </c>
      <c r="F31" s="248" t="str">
        <f>IFERROR(VLOOKUP(F29,$AJ$8:$AK$12,2,TRUE),"")</f>
        <v>D</v>
      </c>
      <c r="G31" s="344" t="str">
        <f t="shared" ref="G31:U31" si="14">IFERROR(VLOOKUP(G29,$AJ$8:$AK$12,2,TRUE),"")</f>
        <v>B</v>
      </c>
      <c r="H31" s="344" t="str">
        <f t="shared" si="14"/>
        <v>C</v>
      </c>
      <c r="I31" s="344" t="str">
        <f t="shared" si="14"/>
        <v>D</v>
      </c>
      <c r="J31" s="344" t="str">
        <f t="shared" si="14"/>
        <v>D</v>
      </c>
      <c r="K31" s="344" t="str">
        <f t="shared" si="14"/>
        <v>D</v>
      </c>
      <c r="L31" s="344" t="str">
        <f t="shared" si="14"/>
        <v/>
      </c>
      <c r="M31" s="344" t="str">
        <f t="shared" si="14"/>
        <v>D</v>
      </c>
      <c r="N31" s="344" t="str">
        <f t="shared" si="14"/>
        <v>D</v>
      </c>
      <c r="O31" s="344" t="str">
        <f t="shared" si="14"/>
        <v>C</v>
      </c>
      <c r="P31" s="344" t="str">
        <f t="shared" si="14"/>
        <v/>
      </c>
      <c r="Q31" s="344" t="str">
        <f t="shared" si="14"/>
        <v>C</v>
      </c>
      <c r="R31" s="344" t="str">
        <f t="shared" si="14"/>
        <v>C</v>
      </c>
      <c r="S31" s="344" t="str">
        <f t="shared" si="14"/>
        <v/>
      </c>
      <c r="T31" s="344" t="str">
        <f t="shared" si="14"/>
        <v>C</v>
      </c>
      <c r="U31" s="344" t="str">
        <f t="shared" si="14"/>
        <v>C</v>
      </c>
      <c r="V31" s="343" t="str">
        <f>IFERROR(VLOOKUP(V29,$AJ$8:$AK$12,2,TRUE),"")</f>
        <v>D</v>
      </c>
      <c r="W31" s="528"/>
      <c r="X31" s="528"/>
      <c r="Y31" s="545"/>
      <c r="Z31" s="548"/>
      <c r="AA31" s="542"/>
      <c r="AB31" s="249" t="s">
        <v>36</v>
      </c>
      <c r="AC31" s="250" t="s">
        <v>36</v>
      </c>
      <c r="AD31" s="554"/>
      <c r="AE31" s="510"/>
      <c r="AF31" s="508"/>
      <c r="AG31" s="558"/>
      <c r="AH31" s="503"/>
    </row>
    <row r="32" spans="1:40" s="8" customFormat="1" ht="15.75" thickBot="1" x14ac:dyDescent="0.25">
      <c r="A32" s="514">
        <v>7</v>
      </c>
      <c r="B32" s="517" t="str">
        <f>VLOOKUP(A32,biononis,2,1)</f>
        <v>181910056</v>
      </c>
      <c r="C32" s="519" t="str">
        <f>VLOOKUP(A32,biononis,3,1)</f>
        <v>BAYU BATARA SURYA PUTRA</v>
      </c>
      <c r="D32" s="49" t="str">
        <f>B32&amp;"A"</f>
        <v>181910056A</v>
      </c>
      <c r="E32" s="235" t="s">
        <v>259</v>
      </c>
      <c r="F32" s="251">
        <v>60</v>
      </c>
      <c r="G32" s="252">
        <v>70</v>
      </c>
      <c r="H32" s="252">
        <v>71</v>
      </c>
      <c r="I32" s="252">
        <v>65</v>
      </c>
      <c r="J32" s="252">
        <v>42</v>
      </c>
      <c r="K32" s="252">
        <v>55</v>
      </c>
      <c r="L32" s="252">
        <v>74</v>
      </c>
      <c r="M32" s="252">
        <v>68</v>
      </c>
      <c r="N32" s="252">
        <v>56</v>
      </c>
      <c r="O32" s="252">
        <v>23</v>
      </c>
      <c r="P32" s="252">
        <v>40</v>
      </c>
      <c r="Q32" s="252">
        <v>77</v>
      </c>
      <c r="R32" s="252">
        <v>70</v>
      </c>
      <c r="S32" s="252">
        <v>70</v>
      </c>
      <c r="T32" s="252">
        <v>10</v>
      </c>
      <c r="U32" s="252">
        <v>70</v>
      </c>
      <c r="V32" s="238">
        <v>72</v>
      </c>
      <c r="W32" s="526" t="s">
        <v>6</v>
      </c>
      <c r="X32" s="526" t="s">
        <v>6</v>
      </c>
      <c r="Y32" s="543">
        <v>1</v>
      </c>
      <c r="Z32" s="546" t="s">
        <v>36</v>
      </c>
      <c r="AA32" s="540">
        <v>20</v>
      </c>
      <c r="AB32" s="237" t="s">
        <v>177</v>
      </c>
      <c r="AC32" s="238" t="s">
        <v>36</v>
      </c>
      <c r="AD32" s="434">
        <f>IFERROR(AVERAGE(F32:V32),"")</f>
        <v>58.411764705882355</v>
      </c>
      <c r="AE32" s="510">
        <f t="shared" ref="AE32" si="15">IFERROR((AD32+AD33)/2,"")</f>
        <v>57.470588235294116</v>
      </c>
      <c r="AF32" s="506">
        <f>IFERROR(RANK(AE32,$AE$8:$AE$167,0),"")</f>
        <v>19</v>
      </c>
      <c r="AG32" s="559" t="s">
        <v>279</v>
      </c>
      <c r="AH32" s="503" t="s">
        <v>330</v>
      </c>
    </row>
    <row r="33" spans="1:34" s="8" customFormat="1" ht="15.75" thickBot="1" x14ac:dyDescent="0.25">
      <c r="A33" s="512"/>
      <c r="B33" s="517"/>
      <c r="C33" s="519"/>
      <c r="D33" s="49" t="str">
        <f>B32&amp;"B"</f>
        <v>181910056B</v>
      </c>
      <c r="E33" s="239" t="s">
        <v>260</v>
      </c>
      <c r="F33" s="253">
        <v>60</v>
      </c>
      <c r="G33" s="240">
        <v>70</v>
      </c>
      <c r="H33" s="240">
        <v>71</v>
      </c>
      <c r="I33" s="240">
        <v>65</v>
      </c>
      <c r="J33" s="240">
        <v>42</v>
      </c>
      <c r="K33" s="240">
        <v>73</v>
      </c>
      <c r="L33" s="240">
        <v>75</v>
      </c>
      <c r="M33" s="240">
        <v>60</v>
      </c>
      <c r="N33" s="240">
        <v>56</v>
      </c>
      <c r="O33" s="240">
        <v>80</v>
      </c>
      <c r="P33" s="240">
        <v>0</v>
      </c>
      <c r="Q33" s="240">
        <v>74</v>
      </c>
      <c r="R33" s="240">
        <v>70</v>
      </c>
      <c r="S33" s="240">
        <v>0</v>
      </c>
      <c r="T33" s="240">
        <v>35</v>
      </c>
      <c r="U33" s="240">
        <v>70</v>
      </c>
      <c r="V33" s="341">
        <v>60</v>
      </c>
      <c r="W33" s="527"/>
      <c r="X33" s="527"/>
      <c r="Y33" s="544"/>
      <c r="Z33" s="547"/>
      <c r="AA33" s="541"/>
      <c r="AB33" s="241" t="s">
        <v>36</v>
      </c>
      <c r="AC33" s="242" t="s">
        <v>36</v>
      </c>
      <c r="AD33" s="435">
        <f>IFERROR(AVERAGE(F33:V33),"")</f>
        <v>56.529411764705884</v>
      </c>
      <c r="AE33" s="510"/>
      <c r="AF33" s="507"/>
      <c r="AG33" s="557"/>
      <c r="AH33" s="503"/>
    </row>
    <row r="34" spans="1:34" s="8" customFormat="1" ht="15.75" thickBot="1" x14ac:dyDescent="0.25">
      <c r="A34" s="512"/>
      <c r="B34" s="517"/>
      <c r="C34" s="519"/>
      <c r="D34" s="49" t="str">
        <f>B32&amp;"C"</f>
        <v>181910056C</v>
      </c>
      <c r="E34" s="243" t="s">
        <v>150</v>
      </c>
      <c r="F34" s="244" t="str">
        <f>IFERROR(VLOOKUP(F32,$AJ$8:$AK$12,2,TRUE),"")</f>
        <v>D</v>
      </c>
      <c r="G34" s="345" t="str">
        <f t="shared" ref="G34:V34" si="16">IFERROR(VLOOKUP(G32,$AJ$8:$AK$12,2,TRUE),"")</f>
        <v>C</v>
      </c>
      <c r="H34" s="345" t="str">
        <f t="shared" si="16"/>
        <v>C</v>
      </c>
      <c r="I34" s="345" t="str">
        <f t="shared" si="16"/>
        <v>D</v>
      </c>
      <c r="J34" s="345" t="str">
        <f t="shared" si="16"/>
        <v>D</v>
      </c>
      <c r="K34" s="345" t="str">
        <f t="shared" si="16"/>
        <v>D</v>
      </c>
      <c r="L34" s="345" t="str">
        <f t="shared" si="16"/>
        <v>C</v>
      </c>
      <c r="M34" s="345" t="str">
        <f t="shared" si="16"/>
        <v>D</v>
      </c>
      <c r="N34" s="345" t="str">
        <f t="shared" si="16"/>
        <v>D</v>
      </c>
      <c r="O34" s="345" t="str">
        <f t="shared" si="16"/>
        <v>D</v>
      </c>
      <c r="P34" s="345" t="str">
        <f t="shared" si="16"/>
        <v>D</v>
      </c>
      <c r="Q34" s="345" t="str">
        <f t="shared" si="16"/>
        <v>C</v>
      </c>
      <c r="R34" s="345" t="str">
        <f t="shared" si="16"/>
        <v>C</v>
      </c>
      <c r="S34" s="345" t="str">
        <f t="shared" si="16"/>
        <v>C</v>
      </c>
      <c r="T34" s="345" t="str">
        <f t="shared" si="16"/>
        <v>D</v>
      </c>
      <c r="U34" s="345" t="str">
        <f t="shared" si="16"/>
        <v>C</v>
      </c>
      <c r="V34" s="342" t="str">
        <f t="shared" si="16"/>
        <v>C</v>
      </c>
      <c r="W34" s="527"/>
      <c r="X34" s="527"/>
      <c r="Y34" s="544"/>
      <c r="Z34" s="547"/>
      <c r="AA34" s="541"/>
      <c r="AB34" s="241" t="s">
        <v>36</v>
      </c>
      <c r="AC34" s="242" t="s">
        <v>36</v>
      </c>
      <c r="AD34" s="553">
        <f>SUM(F32:V33)</f>
        <v>1954</v>
      </c>
      <c r="AE34" s="510"/>
      <c r="AF34" s="507"/>
      <c r="AG34" s="557"/>
      <c r="AH34" s="503"/>
    </row>
    <row r="35" spans="1:34" s="8" customFormat="1" ht="15.75" thickBot="1" x14ac:dyDescent="0.25">
      <c r="A35" s="515"/>
      <c r="B35" s="245"/>
      <c r="C35" s="246"/>
      <c r="D35" s="49" t="str">
        <f>B32&amp;"D"</f>
        <v>181910056D</v>
      </c>
      <c r="E35" s="247" t="s">
        <v>151</v>
      </c>
      <c r="F35" s="248" t="str">
        <f>IFERROR(VLOOKUP(F33,$AJ$8:$AK$12,2,TRUE),"")</f>
        <v>D</v>
      </c>
      <c r="G35" s="344" t="str">
        <f t="shared" ref="G35:U35" si="17">IFERROR(VLOOKUP(G33,$AJ$8:$AK$12,2,TRUE),"")</f>
        <v>C</v>
      </c>
      <c r="H35" s="344" t="str">
        <f t="shared" si="17"/>
        <v>C</v>
      </c>
      <c r="I35" s="344" t="str">
        <f t="shared" si="17"/>
        <v>D</v>
      </c>
      <c r="J35" s="344" t="str">
        <f t="shared" si="17"/>
        <v>D</v>
      </c>
      <c r="K35" s="344" t="str">
        <f t="shared" si="17"/>
        <v>C</v>
      </c>
      <c r="L35" s="344" t="str">
        <f t="shared" si="17"/>
        <v>C</v>
      </c>
      <c r="M35" s="344" t="str">
        <f t="shared" si="17"/>
        <v>D</v>
      </c>
      <c r="N35" s="344" t="str">
        <f t="shared" si="17"/>
        <v>D</v>
      </c>
      <c r="O35" s="344" t="str">
        <f t="shared" si="17"/>
        <v>B</v>
      </c>
      <c r="P35" s="344" t="str">
        <f t="shared" si="17"/>
        <v/>
      </c>
      <c r="Q35" s="344" t="str">
        <f t="shared" si="17"/>
        <v>C</v>
      </c>
      <c r="R35" s="344" t="str">
        <f t="shared" si="17"/>
        <v>C</v>
      </c>
      <c r="S35" s="344" t="str">
        <f t="shared" si="17"/>
        <v/>
      </c>
      <c r="T35" s="344" t="str">
        <f t="shared" si="17"/>
        <v>D</v>
      </c>
      <c r="U35" s="344" t="str">
        <f t="shared" si="17"/>
        <v>C</v>
      </c>
      <c r="V35" s="343" t="str">
        <f>IFERROR(VLOOKUP(V33,$AJ$8:$AK$12,2,TRUE),"")</f>
        <v>D</v>
      </c>
      <c r="W35" s="528"/>
      <c r="X35" s="528"/>
      <c r="Y35" s="545"/>
      <c r="Z35" s="548"/>
      <c r="AA35" s="542"/>
      <c r="AB35" s="249" t="s">
        <v>36</v>
      </c>
      <c r="AC35" s="250" t="s">
        <v>36</v>
      </c>
      <c r="AD35" s="554"/>
      <c r="AE35" s="510"/>
      <c r="AF35" s="508"/>
      <c r="AG35" s="558"/>
      <c r="AH35" s="503"/>
    </row>
    <row r="36" spans="1:34" s="8" customFormat="1" ht="15.75" thickBot="1" x14ac:dyDescent="0.25">
      <c r="A36" s="511">
        <v>8</v>
      </c>
      <c r="B36" s="516" t="str">
        <f>VLOOKUP(A36,biononis,2,1)</f>
        <v>181910069</v>
      </c>
      <c r="C36" s="518" t="str">
        <f>VLOOKUP(A36,biononis,3,1)</f>
        <v>DANDY ERVAN PRATAMA</v>
      </c>
      <c r="D36" s="49" t="str">
        <f>B36&amp;"A"</f>
        <v>181910069A</v>
      </c>
      <c r="E36" s="235" t="s">
        <v>259</v>
      </c>
      <c r="F36" s="251">
        <v>55</v>
      </c>
      <c r="G36" s="252">
        <v>40</v>
      </c>
      <c r="H36" s="252">
        <v>56</v>
      </c>
      <c r="I36" s="252">
        <v>35</v>
      </c>
      <c r="J36" s="252">
        <v>29</v>
      </c>
      <c r="K36" s="252">
        <v>46</v>
      </c>
      <c r="L36" s="252">
        <v>72</v>
      </c>
      <c r="M36" s="252">
        <v>50</v>
      </c>
      <c r="N36" s="252">
        <v>45</v>
      </c>
      <c r="O36" s="252">
        <v>22</v>
      </c>
      <c r="P36" s="252">
        <v>10</v>
      </c>
      <c r="Q36" s="252">
        <v>60</v>
      </c>
      <c r="R36" s="252">
        <v>40</v>
      </c>
      <c r="S36" s="252">
        <v>73</v>
      </c>
      <c r="T36" s="252">
        <v>25</v>
      </c>
      <c r="U36" s="252">
        <v>30</v>
      </c>
      <c r="V36" s="238">
        <v>70</v>
      </c>
      <c r="W36" s="526" t="s">
        <v>6</v>
      </c>
      <c r="X36" s="526" t="s">
        <v>6</v>
      </c>
      <c r="Y36" s="543" t="s">
        <v>36</v>
      </c>
      <c r="Z36" s="546" t="s">
        <v>36</v>
      </c>
      <c r="AA36" s="540">
        <v>35</v>
      </c>
      <c r="AB36" s="237" t="s">
        <v>177</v>
      </c>
      <c r="AC36" s="238" t="s">
        <v>36</v>
      </c>
      <c r="AD36" s="434">
        <f>IFERROR(AVERAGE(F36:V36),"")</f>
        <v>44.588235294117645</v>
      </c>
      <c r="AE36" s="510">
        <f t="shared" ref="AE36" si="18">IFERROR((AD36+AD37)/2,"")</f>
        <v>42.705882352941174</v>
      </c>
      <c r="AF36" s="506">
        <f>IFERROR(RANK(AE36,$AE$8:$AE$167,0),"")</f>
        <v>30</v>
      </c>
      <c r="AG36" s="559" t="s">
        <v>280</v>
      </c>
      <c r="AH36" s="503" t="s">
        <v>330</v>
      </c>
    </row>
    <row r="37" spans="1:34" s="8" customFormat="1" ht="15.75" thickBot="1" x14ac:dyDescent="0.25">
      <c r="A37" s="512"/>
      <c r="B37" s="517"/>
      <c r="C37" s="519"/>
      <c r="D37" s="49" t="str">
        <f>B36&amp;"B"</f>
        <v>181910069B</v>
      </c>
      <c r="E37" s="239" t="s">
        <v>260</v>
      </c>
      <c r="F37" s="253">
        <v>55</v>
      </c>
      <c r="G37" s="240">
        <v>50</v>
      </c>
      <c r="H37" s="240">
        <v>55</v>
      </c>
      <c r="I37" s="240">
        <v>45</v>
      </c>
      <c r="J37" s="240">
        <v>29</v>
      </c>
      <c r="K37" s="240">
        <v>66</v>
      </c>
      <c r="L37" s="240">
        <v>72</v>
      </c>
      <c r="M37" s="240">
        <v>25</v>
      </c>
      <c r="N37" s="240">
        <v>45</v>
      </c>
      <c r="O37" s="240">
        <v>27</v>
      </c>
      <c r="P37" s="240">
        <v>0</v>
      </c>
      <c r="Q37" s="240">
        <v>60</v>
      </c>
      <c r="R37" s="240">
        <v>40</v>
      </c>
      <c r="S37" s="240">
        <v>0</v>
      </c>
      <c r="T37" s="240">
        <v>10</v>
      </c>
      <c r="U37" s="240">
        <v>55</v>
      </c>
      <c r="V37" s="341">
        <v>60</v>
      </c>
      <c r="W37" s="527"/>
      <c r="X37" s="527"/>
      <c r="Y37" s="544"/>
      <c r="Z37" s="547"/>
      <c r="AA37" s="541"/>
      <c r="AB37" s="241" t="s">
        <v>36</v>
      </c>
      <c r="AC37" s="242" t="s">
        <v>36</v>
      </c>
      <c r="AD37" s="435">
        <f>IFERROR(AVERAGE(F37:V37),"")</f>
        <v>40.823529411764703</v>
      </c>
      <c r="AE37" s="510"/>
      <c r="AF37" s="507"/>
      <c r="AG37" s="557"/>
      <c r="AH37" s="503"/>
    </row>
    <row r="38" spans="1:34" s="8" customFormat="1" ht="15.75" thickBot="1" x14ac:dyDescent="0.25">
      <c r="A38" s="512"/>
      <c r="B38" s="517"/>
      <c r="C38" s="519"/>
      <c r="D38" s="49" t="str">
        <f>B36&amp;"C"</f>
        <v>181910069C</v>
      </c>
      <c r="E38" s="243" t="s">
        <v>150</v>
      </c>
      <c r="F38" s="244" t="str">
        <f>IFERROR(VLOOKUP(F36,$AJ$8:$AK$12,2,TRUE),"")</f>
        <v>D</v>
      </c>
      <c r="G38" s="345" t="str">
        <f t="shared" ref="G38:V38" si="19">IFERROR(VLOOKUP(G36,$AJ$8:$AK$12,2,TRUE),"")</f>
        <v>D</v>
      </c>
      <c r="H38" s="345" t="str">
        <f t="shared" si="19"/>
        <v>D</v>
      </c>
      <c r="I38" s="345" t="str">
        <f t="shared" si="19"/>
        <v>D</v>
      </c>
      <c r="J38" s="345" t="str">
        <f t="shared" si="19"/>
        <v>D</v>
      </c>
      <c r="K38" s="345" t="str">
        <f t="shared" si="19"/>
        <v>D</v>
      </c>
      <c r="L38" s="345" t="str">
        <f t="shared" si="19"/>
        <v>C</v>
      </c>
      <c r="M38" s="345" t="str">
        <f t="shared" si="19"/>
        <v>D</v>
      </c>
      <c r="N38" s="345" t="str">
        <f t="shared" si="19"/>
        <v>D</v>
      </c>
      <c r="O38" s="345" t="str">
        <f t="shared" si="19"/>
        <v>D</v>
      </c>
      <c r="P38" s="345" t="str">
        <f t="shared" si="19"/>
        <v>D</v>
      </c>
      <c r="Q38" s="345" t="str">
        <f t="shared" si="19"/>
        <v>D</v>
      </c>
      <c r="R38" s="345" t="str">
        <f t="shared" si="19"/>
        <v>D</v>
      </c>
      <c r="S38" s="345" t="str">
        <f t="shared" si="19"/>
        <v>C</v>
      </c>
      <c r="T38" s="345" t="str">
        <f t="shared" si="19"/>
        <v>D</v>
      </c>
      <c r="U38" s="345" t="str">
        <f t="shared" si="19"/>
        <v>D</v>
      </c>
      <c r="V38" s="342" t="str">
        <f t="shared" si="19"/>
        <v>C</v>
      </c>
      <c r="W38" s="527"/>
      <c r="X38" s="527"/>
      <c r="Y38" s="544"/>
      <c r="Z38" s="547"/>
      <c r="AA38" s="541"/>
      <c r="AB38" s="241" t="s">
        <v>36</v>
      </c>
      <c r="AC38" s="242" t="s">
        <v>36</v>
      </c>
      <c r="AD38" s="553">
        <f>SUM(F36:V37)</f>
        <v>1452</v>
      </c>
      <c r="AE38" s="510"/>
      <c r="AF38" s="507"/>
      <c r="AG38" s="557"/>
      <c r="AH38" s="503"/>
    </row>
    <row r="39" spans="1:34" s="8" customFormat="1" ht="15.75" thickBot="1" x14ac:dyDescent="0.25">
      <c r="A39" s="513"/>
      <c r="B39" s="254"/>
      <c r="C39" s="255"/>
      <c r="D39" s="49" t="str">
        <f>B36&amp;"D"</f>
        <v>181910069D</v>
      </c>
      <c r="E39" s="247" t="s">
        <v>151</v>
      </c>
      <c r="F39" s="248" t="str">
        <f>IFERROR(VLOOKUP(F37,$AJ$8:$AK$12,2,TRUE),"")</f>
        <v>D</v>
      </c>
      <c r="G39" s="344" t="str">
        <f t="shared" ref="G39:U39" si="20">IFERROR(VLOOKUP(G37,$AJ$8:$AK$12,2,TRUE),"")</f>
        <v>D</v>
      </c>
      <c r="H39" s="344" t="str">
        <f t="shared" si="20"/>
        <v>D</v>
      </c>
      <c r="I39" s="344" t="str">
        <f t="shared" si="20"/>
        <v>D</v>
      </c>
      <c r="J39" s="344" t="str">
        <f t="shared" si="20"/>
        <v>D</v>
      </c>
      <c r="K39" s="344" t="str">
        <f t="shared" si="20"/>
        <v>D</v>
      </c>
      <c r="L39" s="344" t="str">
        <f t="shared" si="20"/>
        <v>C</v>
      </c>
      <c r="M39" s="344" t="str">
        <f t="shared" si="20"/>
        <v>D</v>
      </c>
      <c r="N39" s="344" t="str">
        <f t="shared" si="20"/>
        <v>D</v>
      </c>
      <c r="O39" s="344" t="str">
        <f t="shared" si="20"/>
        <v>D</v>
      </c>
      <c r="P39" s="344" t="str">
        <f t="shared" si="20"/>
        <v/>
      </c>
      <c r="Q39" s="344" t="str">
        <f t="shared" si="20"/>
        <v>D</v>
      </c>
      <c r="R39" s="344" t="str">
        <f t="shared" si="20"/>
        <v>D</v>
      </c>
      <c r="S39" s="344" t="str">
        <f t="shared" si="20"/>
        <v/>
      </c>
      <c r="T39" s="344" t="str">
        <f t="shared" si="20"/>
        <v>D</v>
      </c>
      <c r="U39" s="344" t="str">
        <f t="shared" si="20"/>
        <v>D</v>
      </c>
      <c r="V39" s="343" t="str">
        <f>IFERROR(VLOOKUP(V37,$AJ$8:$AK$12,2,TRUE),"")</f>
        <v>D</v>
      </c>
      <c r="W39" s="528"/>
      <c r="X39" s="528"/>
      <c r="Y39" s="545"/>
      <c r="Z39" s="548"/>
      <c r="AA39" s="542"/>
      <c r="AB39" s="249" t="s">
        <v>36</v>
      </c>
      <c r="AC39" s="250" t="s">
        <v>36</v>
      </c>
      <c r="AD39" s="554"/>
      <c r="AE39" s="510"/>
      <c r="AF39" s="508"/>
      <c r="AG39" s="558"/>
      <c r="AH39" s="503"/>
    </row>
    <row r="40" spans="1:34" s="8" customFormat="1" ht="15.75" thickBot="1" x14ac:dyDescent="0.25">
      <c r="A40" s="514">
        <v>9</v>
      </c>
      <c r="B40" s="517" t="str">
        <f>VLOOKUP(A40,biononis,2,1)</f>
        <v>181910085</v>
      </c>
      <c r="C40" s="519" t="str">
        <f>VLOOKUP(A40,biononis,3,1)</f>
        <v>DENISA ASTI RAHMAWATI</v>
      </c>
      <c r="D40" s="49" t="str">
        <f>B40&amp;"A"</f>
        <v>181910085A</v>
      </c>
      <c r="E40" s="235" t="s">
        <v>259</v>
      </c>
      <c r="F40" s="251">
        <v>70</v>
      </c>
      <c r="G40" s="252">
        <v>75</v>
      </c>
      <c r="H40" s="252">
        <v>75</v>
      </c>
      <c r="I40" s="252">
        <v>68</v>
      </c>
      <c r="J40" s="252">
        <v>27</v>
      </c>
      <c r="K40" s="252">
        <v>70</v>
      </c>
      <c r="L40" s="252">
        <v>76</v>
      </c>
      <c r="M40" s="252">
        <v>67</v>
      </c>
      <c r="N40" s="252">
        <v>55</v>
      </c>
      <c r="O40" s="252">
        <v>28</v>
      </c>
      <c r="P40" s="252">
        <v>10</v>
      </c>
      <c r="Q40" s="252">
        <v>78</v>
      </c>
      <c r="R40" s="252">
        <v>70</v>
      </c>
      <c r="S40" s="252">
        <v>60</v>
      </c>
      <c r="T40" s="252">
        <v>40</v>
      </c>
      <c r="U40" s="252">
        <v>72</v>
      </c>
      <c r="V40" s="238">
        <v>70</v>
      </c>
      <c r="W40" s="526" t="s">
        <v>6</v>
      </c>
      <c r="X40" s="526" t="s">
        <v>6</v>
      </c>
      <c r="Y40" s="543" t="s">
        <v>36</v>
      </c>
      <c r="Z40" s="546" t="s">
        <v>36</v>
      </c>
      <c r="AA40" s="540">
        <v>20</v>
      </c>
      <c r="AB40" s="237" t="s">
        <v>177</v>
      </c>
      <c r="AC40" s="238" t="s">
        <v>36</v>
      </c>
      <c r="AD40" s="434">
        <f>IFERROR(AVERAGE(F40:V40),"")</f>
        <v>59.470588235294116</v>
      </c>
      <c r="AE40" s="510">
        <f t="shared" ref="AE40" si="21">IFERROR((AD40+AD41)/2,"")</f>
        <v>58.67647058823529</v>
      </c>
      <c r="AF40" s="506">
        <f>IFERROR(RANK(AE40,$AE$8:$AE$167,0),"")</f>
        <v>18</v>
      </c>
      <c r="AG40" s="559" t="s">
        <v>279</v>
      </c>
      <c r="AH40" s="503" t="s">
        <v>330</v>
      </c>
    </row>
    <row r="41" spans="1:34" s="8" customFormat="1" ht="15.75" thickBot="1" x14ac:dyDescent="0.25">
      <c r="A41" s="512"/>
      <c r="B41" s="517"/>
      <c r="C41" s="519"/>
      <c r="D41" s="49" t="str">
        <f>B40&amp;"B"</f>
        <v>181910085B</v>
      </c>
      <c r="E41" s="239" t="s">
        <v>260</v>
      </c>
      <c r="F41" s="253">
        <v>70</v>
      </c>
      <c r="G41" s="240">
        <v>70</v>
      </c>
      <c r="H41" s="240">
        <v>74</v>
      </c>
      <c r="I41" s="240">
        <v>74</v>
      </c>
      <c r="J41" s="240">
        <v>27</v>
      </c>
      <c r="K41" s="240">
        <v>70</v>
      </c>
      <c r="L41" s="240">
        <v>77</v>
      </c>
      <c r="M41" s="240">
        <v>58</v>
      </c>
      <c r="N41" s="240">
        <v>55</v>
      </c>
      <c r="O41" s="240">
        <v>80</v>
      </c>
      <c r="P41" s="240">
        <v>0</v>
      </c>
      <c r="Q41" s="240">
        <v>79</v>
      </c>
      <c r="R41" s="240">
        <v>70</v>
      </c>
      <c r="S41" s="240">
        <v>0</v>
      </c>
      <c r="T41" s="240">
        <v>45</v>
      </c>
      <c r="U41" s="240">
        <v>75</v>
      </c>
      <c r="V41" s="341">
        <v>60</v>
      </c>
      <c r="W41" s="527"/>
      <c r="X41" s="527"/>
      <c r="Y41" s="544"/>
      <c r="Z41" s="547"/>
      <c r="AA41" s="541"/>
      <c r="AB41" s="241" t="s">
        <v>36</v>
      </c>
      <c r="AC41" s="242" t="s">
        <v>36</v>
      </c>
      <c r="AD41" s="435">
        <f>IFERROR(AVERAGE(F41:V41),"")</f>
        <v>57.882352941176471</v>
      </c>
      <c r="AE41" s="510"/>
      <c r="AF41" s="507"/>
      <c r="AG41" s="557"/>
      <c r="AH41" s="503"/>
    </row>
    <row r="42" spans="1:34" s="8" customFormat="1" ht="15.75" thickBot="1" x14ac:dyDescent="0.25">
      <c r="A42" s="512"/>
      <c r="B42" s="517"/>
      <c r="C42" s="519"/>
      <c r="D42" s="49" t="str">
        <f>B40&amp;"C"</f>
        <v>181910085C</v>
      </c>
      <c r="E42" s="243" t="s">
        <v>150</v>
      </c>
      <c r="F42" s="244" t="str">
        <f>IFERROR(VLOOKUP(F40,$AJ$8:$AK$12,2,TRUE),"")</f>
        <v>C</v>
      </c>
      <c r="G42" s="345" t="str">
        <f t="shared" ref="G42:V42" si="22">IFERROR(VLOOKUP(G40,$AJ$8:$AK$12,2,TRUE),"")</f>
        <v>C</v>
      </c>
      <c r="H42" s="345" t="str">
        <f t="shared" si="22"/>
        <v>C</v>
      </c>
      <c r="I42" s="345" t="str">
        <f t="shared" si="22"/>
        <v>D</v>
      </c>
      <c r="J42" s="345" t="str">
        <f t="shared" si="22"/>
        <v>D</v>
      </c>
      <c r="K42" s="345" t="str">
        <f t="shared" si="22"/>
        <v>C</v>
      </c>
      <c r="L42" s="345" t="str">
        <f t="shared" si="22"/>
        <v>C</v>
      </c>
      <c r="M42" s="345" t="str">
        <f t="shared" si="22"/>
        <v>D</v>
      </c>
      <c r="N42" s="345" t="str">
        <f t="shared" si="22"/>
        <v>D</v>
      </c>
      <c r="O42" s="345" t="str">
        <f t="shared" si="22"/>
        <v>D</v>
      </c>
      <c r="P42" s="345" t="str">
        <f t="shared" si="22"/>
        <v>D</v>
      </c>
      <c r="Q42" s="345" t="str">
        <f t="shared" si="22"/>
        <v>C</v>
      </c>
      <c r="R42" s="345" t="str">
        <f t="shared" si="22"/>
        <v>C</v>
      </c>
      <c r="S42" s="345" t="str">
        <f t="shared" si="22"/>
        <v>D</v>
      </c>
      <c r="T42" s="345" t="str">
        <f t="shared" si="22"/>
        <v>D</v>
      </c>
      <c r="U42" s="345" t="str">
        <f t="shared" si="22"/>
        <v>C</v>
      </c>
      <c r="V42" s="342" t="str">
        <f t="shared" si="22"/>
        <v>C</v>
      </c>
      <c r="W42" s="527"/>
      <c r="X42" s="527"/>
      <c r="Y42" s="544"/>
      <c r="Z42" s="547"/>
      <c r="AA42" s="541"/>
      <c r="AB42" s="241" t="s">
        <v>36</v>
      </c>
      <c r="AC42" s="242" t="s">
        <v>36</v>
      </c>
      <c r="AD42" s="553">
        <f>SUM(F40:V41)</f>
        <v>1995</v>
      </c>
      <c r="AE42" s="510"/>
      <c r="AF42" s="507"/>
      <c r="AG42" s="557"/>
      <c r="AH42" s="503"/>
    </row>
    <row r="43" spans="1:34" s="8" customFormat="1" ht="15.75" thickBot="1" x14ac:dyDescent="0.25">
      <c r="A43" s="515"/>
      <c r="B43" s="245"/>
      <c r="C43" s="246"/>
      <c r="D43" s="49" t="str">
        <f>B40&amp;"D"</f>
        <v>181910085D</v>
      </c>
      <c r="E43" s="247" t="s">
        <v>151</v>
      </c>
      <c r="F43" s="248" t="str">
        <f>IFERROR(VLOOKUP(F41,$AJ$8:$AK$12,2,TRUE),"")</f>
        <v>C</v>
      </c>
      <c r="G43" s="344" t="str">
        <f t="shared" ref="G43:U43" si="23">IFERROR(VLOOKUP(G41,$AJ$8:$AK$12,2,TRUE),"")</f>
        <v>C</v>
      </c>
      <c r="H43" s="344" t="str">
        <f t="shared" si="23"/>
        <v>C</v>
      </c>
      <c r="I43" s="344" t="str">
        <f t="shared" si="23"/>
        <v>C</v>
      </c>
      <c r="J43" s="344" t="str">
        <f t="shared" si="23"/>
        <v>D</v>
      </c>
      <c r="K43" s="344" t="str">
        <f t="shared" si="23"/>
        <v>C</v>
      </c>
      <c r="L43" s="344" t="str">
        <f t="shared" si="23"/>
        <v>C</v>
      </c>
      <c r="M43" s="344" t="str">
        <f t="shared" si="23"/>
        <v>D</v>
      </c>
      <c r="N43" s="344" t="str">
        <f t="shared" si="23"/>
        <v>D</v>
      </c>
      <c r="O43" s="344" t="str">
        <f t="shared" si="23"/>
        <v>B</v>
      </c>
      <c r="P43" s="344" t="str">
        <f t="shared" si="23"/>
        <v/>
      </c>
      <c r="Q43" s="344" t="str">
        <f t="shared" si="23"/>
        <v>C</v>
      </c>
      <c r="R43" s="344" t="str">
        <f t="shared" si="23"/>
        <v>C</v>
      </c>
      <c r="S43" s="344" t="str">
        <f t="shared" si="23"/>
        <v/>
      </c>
      <c r="T43" s="344" t="str">
        <f t="shared" si="23"/>
        <v>D</v>
      </c>
      <c r="U43" s="344" t="str">
        <f t="shared" si="23"/>
        <v>C</v>
      </c>
      <c r="V43" s="343" t="str">
        <f>IFERROR(VLOOKUP(V41,$AJ$8:$AK$12,2,TRUE),"")</f>
        <v>D</v>
      </c>
      <c r="W43" s="528"/>
      <c r="X43" s="528"/>
      <c r="Y43" s="545"/>
      <c r="Z43" s="548"/>
      <c r="AA43" s="542"/>
      <c r="AB43" s="249" t="s">
        <v>36</v>
      </c>
      <c r="AC43" s="250" t="s">
        <v>36</v>
      </c>
      <c r="AD43" s="554"/>
      <c r="AE43" s="510"/>
      <c r="AF43" s="508"/>
      <c r="AG43" s="558"/>
      <c r="AH43" s="503"/>
    </row>
    <row r="44" spans="1:34" s="8" customFormat="1" ht="15.75" thickBot="1" x14ac:dyDescent="0.25">
      <c r="A44" s="511">
        <v>10</v>
      </c>
      <c r="B44" s="516" t="str">
        <f>VLOOKUP(A44,biononis,2,1)</f>
        <v>181910093</v>
      </c>
      <c r="C44" s="518" t="str">
        <f>VLOOKUP(A44,biononis,3,1)</f>
        <v>DIAN RAMDHAN SAPTIAN</v>
      </c>
      <c r="D44" s="49" t="str">
        <f>B44&amp;"A"</f>
        <v>181910093A</v>
      </c>
      <c r="E44" s="235" t="s">
        <v>259</v>
      </c>
      <c r="F44" s="251">
        <v>55</v>
      </c>
      <c r="G44" s="252">
        <v>40</v>
      </c>
      <c r="H44" s="252">
        <v>70</v>
      </c>
      <c r="I44" s="252">
        <v>57</v>
      </c>
      <c r="J44" s="252">
        <v>28</v>
      </c>
      <c r="K44" s="252">
        <v>52</v>
      </c>
      <c r="L44" s="252">
        <v>75</v>
      </c>
      <c r="M44" s="252">
        <v>68</v>
      </c>
      <c r="N44" s="252">
        <v>52</v>
      </c>
      <c r="O44" s="252">
        <v>22</v>
      </c>
      <c r="P44" s="252">
        <v>10</v>
      </c>
      <c r="Q44" s="252">
        <v>77</v>
      </c>
      <c r="R44" s="252">
        <v>70</v>
      </c>
      <c r="S44" s="252">
        <v>77</v>
      </c>
      <c r="T44" s="252">
        <v>40</v>
      </c>
      <c r="U44" s="252">
        <v>75</v>
      </c>
      <c r="V44" s="238">
        <v>70</v>
      </c>
      <c r="W44" s="526" t="s">
        <v>6</v>
      </c>
      <c r="X44" s="526" t="s">
        <v>6</v>
      </c>
      <c r="Y44" s="543" t="s">
        <v>36</v>
      </c>
      <c r="Z44" s="546" t="s">
        <v>36</v>
      </c>
      <c r="AA44" s="540">
        <v>25</v>
      </c>
      <c r="AB44" s="237" t="s">
        <v>177</v>
      </c>
      <c r="AC44" s="238" t="s">
        <v>36</v>
      </c>
      <c r="AD44" s="434">
        <f>IFERROR(AVERAGE(F44:V44),"")</f>
        <v>55.176470588235297</v>
      </c>
      <c r="AE44" s="510">
        <f t="shared" ref="AE44" si="24">IFERROR((AD44+AD45)/2,"")</f>
        <v>55.147058823529413</v>
      </c>
      <c r="AF44" s="506">
        <f>IFERROR(RANK(AE44,$AE$8:$AE$167,0),"")</f>
        <v>22</v>
      </c>
      <c r="AG44" s="559" t="s">
        <v>280</v>
      </c>
      <c r="AH44" s="503" t="s">
        <v>330</v>
      </c>
    </row>
    <row r="45" spans="1:34" s="8" customFormat="1" ht="15.75" thickBot="1" x14ac:dyDescent="0.25">
      <c r="A45" s="512"/>
      <c r="B45" s="517"/>
      <c r="C45" s="519"/>
      <c r="D45" s="49" t="str">
        <f>B44&amp;"B"</f>
        <v>181910093B</v>
      </c>
      <c r="E45" s="239" t="s">
        <v>260</v>
      </c>
      <c r="F45" s="253">
        <v>55</v>
      </c>
      <c r="G45" s="240">
        <v>50</v>
      </c>
      <c r="H45" s="240">
        <v>70</v>
      </c>
      <c r="I45" s="240">
        <v>67</v>
      </c>
      <c r="J45" s="240">
        <v>28</v>
      </c>
      <c r="K45" s="240">
        <v>66</v>
      </c>
      <c r="L45" s="240">
        <v>75</v>
      </c>
      <c r="M45" s="240">
        <v>55</v>
      </c>
      <c r="N45" s="240">
        <v>52</v>
      </c>
      <c r="O45" s="240">
        <v>75</v>
      </c>
      <c r="P45" s="240">
        <v>0</v>
      </c>
      <c r="Q45" s="240">
        <v>79</v>
      </c>
      <c r="R45" s="240">
        <v>70</v>
      </c>
      <c r="S45" s="240">
        <v>0</v>
      </c>
      <c r="T45" s="240">
        <v>47</v>
      </c>
      <c r="U45" s="240">
        <v>78</v>
      </c>
      <c r="V45" s="341">
        <v>70</v>
      </c>
      <c r="W45" s="527"/>
      <c r="X45" s="527"/>
      <c r="Y45" s="544"/>
      <c r="Z45" s="547"/>
      <c r="AA45" s="541"/>
      <c r="AB45" s="241" t="s">
        <v>36</v>
      </c>
      <c r="AC45" s="242" t="s">
        <v>36</v>
      </c>
      <c r="AD45" s="435">
        <f>IFERROR(AVERAGE(F45:V45),"")</f>
        <v>55.117647058823529</v>
      </c>
      <c r="AE45" s="510"/>
      <c r="AF45" s="507"/>
      <c r="AG45" s="557"/>
      <c r="AH45" s="503"/>
    </row>
    <row r="46" spans="1:34" s="8" customFormat="1" ht="15.75" thickBot="1" x14ac:dyDescent="0.25">
      <c r="A46" s="512"/>
      <c r="B46" s="517"/>
      <c r="C46" s="519"/>
      <c r="D46" s="49" t="str">
        <f>B44&amp;"C"</f>
        <v>181910093C</v>
      </c>
      <c r="E46" s="243" t="s">
        <v>150</v>
      </c>
      <c r="F46" s="244" t="str">
        <f>IFERROR(VLOOKUP(F44,$AJ$8:$AK$12,2,TRUE),"")</f>
        <v>D</v>
      </c>
      <c r="G46" s="345" t="str">
        <f t="shared" ref="G46:V46" si="25">IFERROR(VLOOKUP(G44,$AJ$8:$AK$12,2,TRUE),"")</f>
        <v>D</v>
      </c>
      <c r="H46" s="345" t="str">
        <f t="shared" si="25"/>
        <v>C</v>
      </c>
      <c r="I46" s="345" t="str">
        <f t="shared" si="25"/>
        <v>D</v>
      </c>
      <c r="J46" s="345" t="str">
        <f t="shared" si="25"/>
        <v>D</v>
      </c>
      <c r="K46" s="345" t="str">
        <f t="shared" si="25"/>
        <v>D</v>
      </c>
      <c r="L46" s="345" t="str">
        <f t="shared" si="25"/>
        <v>C</v>
      </c>
      <c r="M46" s="345" t="str">
        <f t="shared" si="25"/>
        <v>D</v>
      </c>
      <c r="N46" s="345" t="str">
        <f t="shared" si="25"/>
        <v>D</v>
      </c>
      <c r="O46" s="345" t="str">
        <f t="shared" si="25"/>
        <v>D</v>
      </c>
      <c r="P46" s="345" t="str">
        <f t="shared" si="25"/>
        <v>D</v>
      </c>
      <c r="Q46" s="345" t="str">
        <f t="shared" si="25"/>
        <v>C</v>
      </c>
      <c r="R46" s="345" t="str">
        <f t="shared" si="25"/>
        <v>C</v>
      </c>
      <c r="S46" s="345" t="str">
        <f t="shared" si="25"/>
        <v>C</v>
      </c>
      <c r="T46" s="345" t="str">
        <f t="shared" si="25"/>
        <v>D</v>
      </c>
      <c r="U46" s="345" t="str">
        <f t="shared" si="25"/>
        <v>C</v>
      </c>
      <c r="V46" s="342" t="str">
        <f t="shared" si="25"/>
        <v>C</v>
      </c>
      <c r="W46" s="527"/>
      <c r="X46" s="527"/>
      <c r="Y46" s="544"/>
      <c r="Z46" s="547"/>
      <c r="AA46" s="541"/>
      <c r="AB46" s="241" t="s">
        <v>36</v>
      </c>
      <c r="AC46" s="242" t="s">
        <v>36</v>
      </c>
      <c r="AD46" s="553">
        <f>SUM(F44:V45)</f>
        <v>1875</v>
      </c>
      <c r="AE46" s="510"/>
      <c r="AF46" s="507"/>
      <c r="AG46" s="557"/>
      <c r="AH46" s="503"/>
    </row>
    <row r="47" spans="1:34" s="8" customFormat="1" ht="15.75" thickBot="1" x14ac:dyDescent="0.25">
      <c r="A47" s="513"/>
      <c r="B47" s="254"/>
      <c r="C47" s="255"/>
      <c r="D47" s="49" t="str">
        <f>B44&amp;"D"</f>
        <v>181910093D</v>
      </c>
      <c r="E47" s="247" t="s">
        <v>151</v>
      </c>
      <c r="F47" s="248" t="str">
        <f>IFERROR(VLOOKUP(F45,$AJ$8:$AK$12,2,TRUE),"")</f>
        <v>D</v>
      </c>
      <c r="G47" s="344" t="str">
        <f t="shared" ref="G47:U47" si="26">IFERROR(VLOOKUP(G45,$AJ$8:$AK$12,2,TRUE),"")</f>
        <v>D</v>
      </c>
      <c r="H47" s="344" t="str">
        <f t="shared" si="26"/>
        <v>C</v>
      </c>
      <c r="I47" s="344" t="str">
        <f t="shared" si="26"/>
        <v>D</v>
      </c>
      <c r="J47" s="344" t="str">
        <f t="shared" si="26"/>
        <v>D</v>
      </c>
      <c r="K47" s="344" t="str">
        <f t="shared" si="26"/>
        <v>D</v>
      </c>
      <c r="L47" s="344" t="str">
        <f t="shared" si="26"/>
        <v>C</v>
      </c>
      <c r="M47" s="344" t="str">
        <f t="shared" si="26"/>
        <v>D</v>
      </c>
      <c r="N47" s="344" t="str">
        <f t="shared" si="26"/>
        <v>D</v>
      </c>
      <c r="O47" s="344" t="str">
        <f t="shared" si="26"/>
        <v>C</v>
      </c>
      <c r="P47" s="344" t="str">
        <f t="shared" si="26"/>
        <v/>
      </c>
      <c r="Q47" s="344" t="str">
        <f t="shared" si="26"/>
        <v>C</v>
      </c>
      <c r="R47" s="344" t="str">
        <f t="shared" si="26"/>
        <v>C</v>
      </c>
      <c r="S47" s="344" t="str">
        <f t="shared" si="26"/>
        <v/>
      </c>
      <c r="T47" s="344" t="str">
        <f t="shared" si="26"/>
        <v>D</v>
      </c>
      <c r="U47" s="344" t="str">
        <f t="shared" si="26"/>
        <v>C</v>
      </c>
      <c r="V47" s="343" t="str">
        <f>IFERROR(VLOOKUP(V45,$AJ$8:$AK$12,2,TRUE),"")</f>
        <v>C</v>
      </c>
      <c r="W47" s="528"/>
      <c r="X47" s="528"/>
      <c r="Y47" s="545"/>
      <c r="Z47" s="548"/>
      <c r="AA47" s="542"/>
      <c r="AB47" s="249" t="s">
        <v>36</v>
      </c>
      <c r="AC47" s="250" t="s">
        <v>36</v>
      </c>
      <c r="AD47" s="554"/>
      <c r="AE47" s="510"/>
      <c r="AF47" s="508"/>
      <c r="AG47" s="558"/>
      <c r="AH47" s="503"/>
    </row>
    <row r="48" spans="1:34" s="8" customFormat="1" ht="15.75" thickBot="1" x14ac:dyDescent="0.25">
      <c r="A48" s="514">
        <v>11</v>
      </c>
      <c r="B48" s="517" t="str">
        <f>VLOOKUP(A48,biononis,2,1)</f>
        <v>181910103</v>
      </c>
      <c r="C48" s="519" t="str">
        <f>VLOOKUP(A48,biononis,3,1)</f>
        <v>DIVYA ADHIANI NURDIN</v>
      </c>
      <c r="D48" s="49" t="str">
        <f>B48&amp;"A"</f>
        <v>181910103A</v>
      </c>
      <c r="E48" s="235" t="s">
        <v>259</v>
      </c>
      <c r="F48" s="251">
        <v>70</v>
      </c>
      <c r="G48" s="252">
        <v>78</v>
      </c>
      <c r="H48" s="252">
        <v>80</v>
      </c>
      <c r="I48" s="252">
        <v>77</v>
      </c>
      <c r="J48" s="252">
        <v>50</v>
      </c>
      <c r="K48" s="252">
        <v>71</v>
      </c>
      <c r="L48" s="252">
        <v>78</v>
      </c>
      <c r="M48" s="252">
        <v>70</v>
      </c>
      <c r="N48" s="252">
        <v>56</v>
      </c>
      <c r="O48" s="252">
        <v>73</v>
      </c>
      <c r="P48" s="252">
        <v>72</v>
      </c>
      <c r="Q48" s="252">
        <v>85</v>
      </c>
      <c r="R48" s="252">
        <v>72</v>
      </c>
      <c r="S48" s="252">
        <v>83</v>
      </c>
      <c r="T48" s="252">
        <v>75</v>
      </c>
      <c r="U48" s="252">
        <v>75</v>
      </c>
      <c r="V48" s="238">
        <v>75</v>
      </c>
      <c r="W48" s="526" t="s">
        <v>6</v>
      </c>
      <c r="X48" s="526" t="s">
        <v>6</v>
      </c>
      <c r="Y48" s="543" t="s">
        <v>36</v>
      </c>
      <c r="Z48" s="546" t="s">
        <v>36</v>
      </c>
      <c r="AA48" s="540">
        <v>1</v>
      </c>
      <c r="AB48" s="237" t="s">
        <v>177</v>
      </c>
      <c r="AC48" s="238" t="s">
        <v>36</v>
      </c>
      <c r="AD48" s="434">
        <f>IFERROR(AVERAGE(F48:V48),"")</f>
        <v>72.941176470588232</v>
      </c>
      <c r="AE48" s="510">
        <f t="shared" ref="AE48" si="27">IFERROR((AD48+AD49)/2,"")</f>
        <v>70.029411764705884</v>
      </c>
      <c r="AF48" s="506">
        <f>IFERROR(RANK(AE48,$AE$8:$AE$167,0),"")</f>
        <v>10</v>
      </c>
      <c r="AG48" s="559" t="s">
        <v>279</v>
      </c>
      <c r="AH48" s="503" t="s">
        <v>348</v>
      </c>
    </row>
    <row r="49" spans="1:34" s="8" customFormat="1" ht="15.75" thickBot="1" x14ac:dyDescent="0.25">
      <c r="A49" s="512"/>
      <c r="B49" s="517"/>
      <c r="C49" s="519"/>
      <c r="D49" s="49" t="str">
        <f>B48&amp;"B"</f>
        <v>181910103B</v>
      </c>
      <c r="E49" s="239" t="s">
        <v>260</v>
      </c>
      <c r="F49" s="253">
        <v>70</v>
      </c>
      <c r="G49" s="240">
        <v>82</v>
      </c>
      <c r="H49" s="240">
        <v>72</v>
      </c>
      <c r="I49" s="240">
        <v>73</v>
      </c>
      <c r="J49" s="240">
        <v>50</v>
      </c>
      <c r="K49" s="240">
        <v>73</v>
      </c>
      <c r="L49" s="240">
        <v>76</v>
      </c>
      <c r="M49" s="240">
        <v>60</v>
      </c>
      <c r="N49" s="240">
        <v>56</v>
      </c>
      <c r="O49" s="240">
        <v>85</v>
      </c>
      <c r="P49" s="240">
        <v>70</v>
      </c>
      <c r="Q49" s="240">
        <v>86</v>
      </c>
      <c r="R49" s="240">
        <v>72</v>
      </c>
      <c r="S49" s="240">
        <v>0</v>
      </c>
      <c r="T49" s="240">
        <v>74</v>
      </c>
      <c r="U49" s="240">
        <v>77</v>
      </c>
      <c r="V49" s="341">
        <v>65</v>
      </c>
      <c r="W49" s="527"/>
      <c r="X49" s="527"/>
      <c r="Y49" s="544"/>
      <c r="Z49" s="547"/>
      <c r="AA49" s="541"/>
      <c r="AB49" s="241" t="s">
        <v>36</v>
      </c>
      <c r="AC49" s="242" t="s">
        <v>36</v>
      </c>
      <c r="AD49" s="435">
        <f>IFERROR(AVERAGE(F49:V49),"")</f>
        <v>67.117647058823536</v>
      </c>
      <c r="AE49" s="510"/>
      <c r="AF49" s="507"/>
      <c r="AG49" s="557"/>
      <c r="AH49" s="503"/>
    </row>
    <row r="50" spans="1:34" s="8" customFormat="1" ht="15.75" thickBot="1" x14ac:dyDescent="0.25">
      <c r="A50" s="512"/>
      <c r="B50" s="517"/>
      <c r="C50" s="519"/>
      <c r="D50" s="49" t="str">
        <f>B48&amp;"C"</f>
        <v>181910103C</v>
      </c>
      <c r="E50" s="243" t="s">
        <v>150</v>
      </c>
      <c r="F50" s="244" t="str">
        <f>IFERROR(VLOOKUP(F48,$AJ$8:$AK$12,2,TRUE),"")</f>
        <v>C</v>
      </c>
      <c r="G50" s="345" t="str">
        <f t="shared" ref="G50:V50" si="28">IFERROR(VLOOKUP(G48,$AJ$8:$AK$12,2,TRUE),"")</f>
        <v>C</v>
      </c>
      <c r="H50" s="345" t="str">
        <f t="shared" si="28"/>
        <v>B</v>
      </c>
      <c r="I50" s="345" t="str">
        <f t="shared" si="28"/>
        <v>C</v>
      </c>
      <c r="J50" s="345" t="str">
        <f t="shared" si="28"/>
        <v>D</v>
      </c>
      <c r="K50" s="345" t="str">
        <f t="shared" si="28"/>
        <v>C</v>
      </c>
      <c r="L50" s="345" t="str">
        <f t="shared" si="28"/>
        <v>C</v>
      </c>
      <c r="M50" s="345" t="str">
        <f t="shared" si="28"/>
        <v>C</v>
      </c>
      <c r="N50" s="345" t="str">
        <f t="shared" si="28"/>
        <v>D</v>
      </c>
      <c r="O50" s="345" t="str">
        <f t="shared" si="28"/>
        <v>C</v>
      </c>
      <c r="P50" s="345" t="str">
        <f t="shared" si="28"/>
        <v>C</v>
      </c>
      <c r="Q50" s="345" t="str">
        <f t="shared" si="28"/>
        <v>B</v>
      </c>
      <c r="R50" s="345" t="str">
        <f t="shared" si="28"/>
        <v>C</v>
      </c>
      <c r="S50" s="345" t="str">
        <f t="shared" si="28"/>
        <v>B</v>
      </c>
      <c r="T50" s="345" t="str">
        <f t="shared" si="28"/>
        <v>C</v>
      </c>
      <c r="U50" s="345" t="str">
        <f t="shared" si="28"/>
        <v>C</v>
      </c>
      <c r="V50" s="342" t="str">
        <f t="shared" si="28"/>
        <v>C</v>
      </c>
      <c r="W50" s="527"/>
      <c r="X50" s="527"/>
      <c r="Y50" s="544"/>
      <c r="Z50" s="547"/>
      <c r="AA50" s="541"/>
      <c r="AB50" s="241" t="s">
        <v>36</v>
      </c>
      <c r="AC50" s="242" t="s">
        <v>36</v>
      </c>
      <c r="AD50" s="553">
        <f>SUM(F48:V49)</f>
        <v>2381</v>
      </c>
      <c r="AE50" s="510"/>
      <c r="AF50" s="507"/>
      <c r="AG50" s="557"/>
      <c r="AH50" s="503"/>
    </row>
    <row r="51" spans="1:34" s="8" customFormat="1" ht="15.75" thickBot="1" x14ac:dyDescent="0.25">
      <c r="A51" s="515"/>
      <c r="B51" s="245"/>
      <c r="C51" s="246"/>
      <c r="D51" s="49" t="str">
        <f>B48&amp;"D"</f>
        <v>181910103D</v>
      </c>
      <c r="E51" s="247" t="s">
        <v>151</v>
      </c>
      <c r="F51" s="248" t="str">
        <f>IFERROR(VLOOKUP(F49,$AJ$8:$AK$12,2,TRUE),"")</f>
        <v>C</v>
      </c>
      <c r="G51" s="344" t="str">
        <f t="shared" ref="G51:U51" si="29">IFERROR(VLOOKUP(G49,$AJ$8:$AK$12,2,TRUE),"")</f>
        <v>B</v>
      </c>
      <c r="H51" s="344" t="str">
        <f t="shared" si="29"/>
        <v>C</v>
      </c>
      <c r="I51" s="344" t="str">
        <f t="shared" si="29"/>
        <v>C</v>
      </c>
      <c r="J51" s="344" t="str">
        <f t="shared" si="29"/>
        <v>D</v>
      </c>
      <c r="K51" s="344" t="str">
        <f t="shared" si="29"/>
        <v>C</v>
      </c>
      <c r="L51" s="344" t="str">
        <f t="shared" si="29"/>
        <v>C</v>
      </c>
      <c r="M51" s="344" t="str">
        <f t="shared" si="29"/>
        <v>D</v>
      </c>
      <c r="N51" s="344" t="str">
        <f t="shared" si="29"/>
        <v>D</v>
      </c>
      <c r="O51" s="344" t="str">
        <f t="shared" si="29"/>
        <v>B</v>
      </c>
      <c r="P51" s="344" t="str">
        <f t="shared" si="29"/>
        <v>C</v>
      </c>
      <c r="Q51" s="344" t="str">
        <f t="shared" si="29"/>
        <v>B</v>
      </c>
      <c r="R51" s="344" t="str">
        <f t="shared" si="29"/>
        <v>C</v>
      </c>
      <c r="S51" s="344" t="str">
        <f t="shared" si="29"/>
        <v/>
      </c>
      <c r="T51" s="344" t="str">
        <f t="shared" si="29"/>
        <v>C</v>
      </c>
      <c r="U51" s="344" t="str">
        <f t="shared" si="29"/>
        <v>C</v>
      </c>
      <c r="V51" s="343" t="str">
        <f>IFERROR(VLOOKUP(V49,$AJ$8:$AK$12,2,TRUE),"")</f>
        <v>D</v>
      </c>
      <c r="W51" s="528"/>
      <c r="X51" s="528"/>
      <c r="Y51" s="545"/>
      <c r="Z51" s="548"/>
      <c r="AA51" s="542"/>
      <c r="AB51" s="249" t="s">
        <v>36</v>
      </c>
      <c r="AC51" s="250" t="s">
        <v>36</v>
      </c>
      <c r="AD51" s="554"/>
      <c r="AE51" s="510"/>
      <c r="AF51" s="508"/>
      <c r="AG51" s="558"/>
      <c r="AH51" s="503"/>
    </row>
    <row r="52" spans="1:34" s="8" customFormat="1" ht="15.75" thickBot="1" x14ac:dyDescent="0.25">
      <c r="A52" s="511">
        <v>12</v>
      </c>
      <c r="B52" s="516" t="str">
        <f>VLOOKUP(A52,biononis,2,1)</f>
        <v>181910104</v>
      </c>
      <c r="C52" s="518" t="str">
        <f>VLOOKUP(A52,biononis,3,1)</f>
        <v>DWIKI DERMAWAN</v>
      </c>
      <c r="D52" s="49" t="str">
        <f>B52&amp;"A"</f>
        <v>181910104A</v>
      </c>
      <c r="E52" s="235" t="s">
        <v>259</v>
      </c>
      <c r="F52" s="251">
        <v>55</v>
      </c>
      <c r="G52" s="252">
        <v>40</v>
      </c>
      <c r="H52" s="252">
        <v>67</v>
      </c>
      <c r="I52" s="252">
        <v>52</v>
      </c>
      <c r="J52" s="252">
        <v>30</v>
      </c>
      <c r="K52" s="252">
        <v>47</v>
      </c>
      <c r="L52" s="252">
        <v>75</v>
      </c>
      <c r="M52" s="252">
        <v>65</v>
      </c>
      <c r="N52" s="252">
        <v>40</v>
      </c>
      <c r="O52" s="252">
        <v>24</v>
      </c>
      <c r="P52" s="252">
        <v>10</v>
      </c>
      <c r="Q52" s="252">
        <v>75</v>
      </c>
      <c r="R52" s="252">
        <v>70</v>
      </c>
      <c r="S52" s="252">
        <v>60</v>
      </c>
      <c r="T52" s="252">
        <v>10</v>
      </c>
      <c r="U52" s="252">
        <v>70</v>
      </c>
      <c r="V52" s="238">
        <v>75</v>
      </c>
      <c r="W52" s="526" t="s">
        <v>6</v>
      </c>
      <c r="X52" s="526" t="s">
        <v>6</v>
      </c>
      <c r="Y52" s="543" t="s">
        <v>36</v>
      </c>
      <c r="Z52" s="546" t="s">
        <v>36</v>
      </c>
      <c r="AA52" s="540">
        <v>35</v>
      </c>
      <c r="AB52" s="237" t="s">
        <v>177</v>
      </c>
      <c r="AC52" s="238" t="s">
        <v>36</v>
      </c>
      <c r="AD52" s="434">
        <f>IFERROR(AVERAGE(F52:V52),"")</f>
        <v>50.882352941176471</v>
      </c>
      <c r="AE52" s="510">
        <f t="shared" ref="AE52" si="30">IFERROR((AD52+AD53)/2,"")</f>
        <v>50.882352941176471</v>
      </c>
      <c r="AF52" s="506">
        <f>IFERROR(RANK(AE52,$AE$8:$AE$167,0),"")</f>
        <v>25</v>
      </c>
      <c r="AG52" s="559" t="s">
        <v>280</v>
      </c>
      <c r="AH52" s="503" t="s">
        <v>330</v>
      </c>
    </row>
    <row r="53" spans="1:34" s="8" customFormat="1" ht="15.75" thickBot="1" x14ac:dyDescent="0.25">
      <c r="A53" s="512"/>
      <c r="B53" s="517"/>
      <c r="C53" s="519"/>
      <c r="D53" s="49" t="str">
        <f>B52&amp;"B"</f>
        <v>181910104B</v>
      </c>
      <c r="E53" s="239" t="s">
        <v>260</v>
      </c>
      <c r="F53" s="253">
        <v>55</v>
      </c>
      <c r="G53" s="240">
        <v>50</v>
      </c>
      <c r="H53" s="240">
        <v>61</v>
      </c>
      <c r="I53" s="240">
        <v>56</v>
      </c>
      <c r="J53" s="240">
        <v>30</v>
      </c>
      <c r="K53" s="240">
        <v>66</v>
      </c>
      <c r="L53" s="240">
        <v>75</v>
      </c>
      <c r="M53" s="240">
        <v>58</v>
      </c>
      <c r="N53" s="240">
        <v>45</v>
      </c>
      <c r="O53" s="240">
        <v>75</v>
      </c>
      <c r="P53" s="240">
        <v>0</v>
      </c>
      <c r="Q53" s="240">
        <v>79</v>
      </c>
      <c r="R53" s="240">
        <v>70</v>
      </c>
      <c r="S53" s="240">
        <v>0</v>
      </c>
      <c r="T53" s="240">
        <v>10</v>
      </c>
      <c r="U53" s="240">
        <v>70</v>
      </c>
      <c r="V53" s="341">
        <v>65</v>
      </c>
      <c r="W53" s="527"/>
      <c r="X53" s="527"/>
      <c r="Y53" s="544"/>
      <c r="Z53" s="547"/>
      <c r="AA53" s="541"/>
      <c r="AB53" s="241" t="s">
        <v>36</v>
      </c>
      <c r="AC53" s="242" t="s">
        <v>36</v>
      </c>
      <c r="AD53" s="435">
        <f>IFERROR(AVERAGE(F53:V53),"")</f>
        <v>50.882352941176471</v>
      </c>
      <c r="AE53" s="510"/>
      <c r="AF53" s="507"/>
      <c r="AG53" s="557"/>
      <c r="AH53" s="503"/>
    </row>
    <row r="54" spans="1:34" s="8" customFormat="1" ht="15.75" thickBot="1" x14ac:dyDescent="0.25">
      <c r="A54" s="512"/>
      <c r="B54" s="517"/>
      <c r="C54" s="519"/>
      <c r="D54" s="49" t="str">
        <f>B52&amp;"C"</f>
        <v>181910104C</v>
      </c>
      <c r="E54" s="243" t="s">
        <v>150</v>
      </c>
      <c r="F54" s="244" t="str">
        <f>IFERROR(VLOOKUP(F52,$AJ$8:$AK$12,2,TRUE),"")</f>
        <v>D</v>
      </c>
      <c r="G54" s="345" t="str">
        <f t="shared" ref="G54:V54" si="31">IFERROR(VLOOKUP(G52,$AJ$8:$AK$12,2,TRUE),"")</f>
        <v>D</v>
      </c>
      <c r="H54" s="345" t="str">
        <f t="shared" si="31"/>
        <v>D</v>
      </c>
      <c r="I54" s="345" t="str">
        <f t="shared" si="31"/>
        <v>D</v>
      </c>
      <c r="J54" s="345" t="str">
        <f t="shared" si="31"/>
        <v>D</v>
      </c>
      <c r="K54" s="345" t="str">
        <f t="shared" si="31"/>
        <v>D</v>
      </c>
      <c r="L54" s="345" t="str">
        <f t="shared" si="31"/>
        <v>C</v>
      </c>
      <c r="M54" s="345" t="str">
        <f t="shared" si="31"/>
        <v>D</v>
      </c>
      <c r="N54" s="345" t="str">
        <f t="shared" si="31"/>
        <v>D</v>
      </c>
      <c r="O54" s="345" t="str">
        <f t="shared" si="31"/>
        <v>D</v>
      </c>
      <c r="P54" s="345" t="str">
        <f t="shared" si="31"/>
        <v>D</v>
      </c>
      <c r="Q54" s="345" t="str">
        <f t="shared" si="31"/>
        <v>C</v>
      </c>
      <c r="R54" s="345" t="str">
        <f t="shared" si="31"/>
        <v>C</v>
      </c>
      <c r="S54" s="345" t="str">
        <f t="shared" si="31"/>
        <v>D</v>
      </c>
      <c r="T54" s="345" t="str">
        <f t="shared" si="31"/>
        <v>D</v>
      </c>
      <c r="U54" s="345" t="str">
        <f t="shared" si="31"/>
        <v>C</v>
      </c>
      <c r="V54" s="342" t="str">
        <f t="shared" si="31"/>
        <v>C</v>
      </c>
      <c r="W54" s="527"/>
      <c r="X54" s="527"/>
      <c r="Y54" s="544"/>
      <c r="Z54" s="547"/>
      <c r="AA54" s="541"/>
      <c r="AB54" s="241" t="s">
        <v>36</v>
      </c>
      <c r="AC54" s="242" t="s">
        <v>36</v>
      </c>
      <c r="AD54" s="553">
        <f>SUM(F52:V53)</f>
        <v>1730</v>
      </c>
      <c r="AE54" s="510"/>
      <c r="AF54" s="507"/>
      <c r="AG54" s="557"/>
      <c r="AH54" s="503"/>
    </row>
    <row r="55" spans="1:34" s="8" customFormat="1" ht="15.75" thickBot="1" x14ac:dyDescent="0.25">
      <c r="A55" s="513"/>
      <c r="B55" s="254"/>
      <c r="C55" s="255"/>
      <c r="D55" s="49" t="str">
        <f>B52&amp;"D"</f>
        <v>181910104D</v>
      </c>
      <c r="E55" s="247" t="s">
        <v>151</v>
      </c>
      <c r="F55" s="248" t="str">
        <f>IFERROR(VLOOKUP(F53,$AJ$8:$AK$12,2,TRUE),"")</f>
        <v>D</v>
      </c>
      <c r="G55" s="344" t="str">
        <f t="shared" ref="G55:U55" si="32">IFERROR(VLOOKUP(G53,$AJ$8:$AK$12,2,TRUE),"")</f>
        <v>D</v>
      </c>
      <c r="H55" s="344" t="str">
        <f t="shared" si="32"/>
        <v>D</v>
      </c>
      <c r="I55" s="344" t="str">
        <f t="shared" si="32"/>
        <v>D</v>
      </c>
      <c r="J55" s="344" t="str">
        <f t="shared" si="32"/>
        <v>D</v>
      </c>
      <c r="K55" s="344" t="str">
        <f t="shared" si="32"/>
        <v>D</v>
      </c>
      <c r="L55" s="344" t="str">
        <f t="shared" si="32"/>
        <v>C</v>
      </c>
      <c r="M55" s="344" t="str">
        <f t="shared" si="32"/>
        <v>D</v>
      </c>
      <c r="N55" s="344" t="str">
        <f t="shared" si="32"/>
        <v>D</v>
      </c>
      <c r="O55" s="344" t="str">
        <f t="shared" si="32"/>
        <v>C</v>
      </c>
      <c r="P55" s="344" t="str">
        <f t="shared" si="32"/>
        <v/>
      </c>
      <c r="Q55" s="344" t="str">
        <f t="shared" si="32"/>
        <v>C</v>
      </c>
      <c r="R55" s="344" t="str">
        <f t="shared" si="32"/>
        <v>C</v>
      </c>
      <c r="S55" s="344" t="str">
        <f t="shared" si="32"/>
        <v/>
      </c>
      <c r="T55" s="344" t="str">
        <f t="shared" si="32"/>
        <v>D</v>
      </c>
      <c r="U55" s="344" t="str">
        <f t="shared" si="32"/>
        <v>C</v>
      </c>
      <c r="V55" s="343" t="str">
        <f>IFERROR(VLOOKUP(V53,$AJ$8:$AK$12,2,TRUE),"")</f>
        <v>D</v>
      </c>
      <c r="W55" s="528"/>
      <c r="X55" s="528"/>
      <c r="Y55" s="545"/>
      <c r="Z55" s="548"/>
      <c r="AA55" s="542"/>
      <c r="AB55" s="249" t="s">
        <v>36</v>
      </c>
      <c r="AC55" s="250" t="s">
        <v>36</v>
      </c>
      <c r="AD55" s="554"/>
      <c r="AE55" s="510"/>
      <c r="AF55" s="508"/>
      <c r="AG55" s="558"/>
      <c r="AH55" s="503"/>
    </row>
    <row r="56" spans="1:34" s="8" customFormat="1" ht="15.75" thickBot="1" x14ac:dyDescent="0.25">
      <c r="A56" s="514">
        <v>13</v>
      </c>
      <c r="B56" s="517" t="str">
        <f>VLOOKUP(A56,biononis,2,1)</f>
        <v>181910118</v>
      </c>
      <c r="C56" s="519" t="str">
        <f>VLOOKUP(A56,biononis,3,1)</f>
        <v>ENCEP CANDRA</v>
      </c>
      <c r="D56" s="49" t="str">
        <f>B56&amp;"A"</f>
        <v>181910118A</v>
      </c>
      <c r="E56" s="235" t="s">
        <v>259</v>
      </c>
      <c r="F56" s="251">
        <v>55</v>
      </c>
      <c r="G56" s="252">
        <v>78</v>
      </c>
      <c r="H56" s="252">
        <v>75</v>
      </c>
      <c r="I56" s="252">
        <v>71</v>
      </c>
      <c r="J56" s="252">
        <v>57</v>
      </c>
      <c r="K56" s="252">
        <v>70</v>
      </c>
      <c r="L56" s="252"/>
      <c r="M56" s="252">
        <v>79</v>
      </c>
      <c r="N56" s="252">
        <v>65</v>
      </c>
      <c r="O56" s="252">
        <v>38</v>
      </c>
      <c r="P56" s="252">
        <v>30</v>
      </c>
      <c r="Q56" s="252">
        <v>79</v>
      </c>
      <c r="R56" s="252">
        <v>75</v>
      </c>
      <c r="S56" s="252">
        <v>70</v>
      </c>
      <c r="T56" s="252">
        <v>70</v>
      </c>
      <c r="U56" s="252">
        <v>75</v>
      </c>
      <c r="V56" s="238">
        <v>72</v>
      </c>
      <c r="W56" s="526" t="s">
        <v>6</v>
      </c>
      <c r="X56" s="526" t="s">
        <v>6</v>
      </c>
      <c r="Y56" s="543" t="s">
        <v>36</v>
      </c>
      <c r="Z56" s="546" t="s">
        <v>36</v>
      </c>
      <c r="AA56" s="540">
        <v>0</v>
      </c>
      <c r="AB56" s="237" t="s">
        <v>177</v>
      </c>
      <c r="AC56" s="238" t="s">
        <v>36</v>
      </c>
      <c r="AD56" s="434">
        <f>IFERROR(AVERAGE(F56:V56),"")</f>
        <v>66.1875</v>
      </c>
      <c r="AE56" s="510">
        <f t="shared" ref="AE56" si="33">IFERROR((AD56+AD57)/2,"")</f>
        <v>65.799632352941174</v>
      </c>
      <c r="AF56" s="506">
        <f>IFERROR(RANK(AE56,$AE$8:$AE$167,0),"")</f>
        <v>13</v>
      </c>
      <c r="AG56" s="559" t="s">
        <v>277</v>
      </c>
      <c r="AH56" s="503" t="s">
        <v>330</v>
      </c>
    </row>
    <row r="57" spans="1:34" s="8" customFormat="1" ht="15.75" thickBot="1" x14ac:dyDescent="0.25">
      <c r="A57" s="512"/>
      <c r="B57" s="517"/>
      <c r="C57" s="519"/>
      <c r="D57" s="49" t="str">
        <f>B56&amp;"B"</f>
        <v>181910118B</v>
      </c>
      <c r="E57" s="239" t="s">
        <v>260</v>
      </c>
      <c r="F57" s="253">
        <v>55</v>
      </c>
      <c r="G57" s="240">
        <v>80</v>
      </c>
      <c r="H57" s="240">
        <v>72</v>
      </c>
      <c r="I57" s="240">
        <v>75</v>
      </c>
      <c r="J57" s="240">
        <v>57</v>
      </c>
      <c r="K57" s="240">
        <v>71</v>
      </c>
      <c r="L57" s="240">
        <v>74</v>
      </c>
      <c r="M57" s="240">
        <v>65</v>
      </c>
      <c r="N57" s="240">
        <v>65</v>
      </c>
      <c r="O57" s="240">
        <v>78</v>
      </c>
      <c r="P57" s="240">
        <v>0</v>
      </c>
      <c r="Q57" s="240">
        <v>80</v>
      </c>
      <c r="R57" s="240">
        <v>75</v>
      </c>
      <c r="S57" s="240">
        <v>70</v>
      </c>
      <c r="T57" s="240">
        <v>60</v>
      </c>
      <c r="U57" s="240">
        <v>75</v>
      </c>
      <c r="V57" s="341">
        <v>60</v>
      </c>
      <c r="W57" s="527"/>
      <c r="X57" s="527"/>
      <c r="Y57" s="544"/>
      <c r="Z57" s="547"/>
      <c r="AA57" s="541"/>
      <c r="AB57" s="241" t="s">
        <v>36</v>
      </c>
      <c r="AC57" s="242" t="s">
        <v>36</v>
      </c>
      <c r="AD57" s="435">
        <f>IFERROR(AVERAGE(F57:V57),"")</f>
        <v>65.411764705882348</v>
      </c>
      <c r="AE57" s="510"/>
      <c r="AF57" s="507"/>
      <c r="AG57" s="557"/>
      <c r="AH57" s="503"/>
    </row>
    <row r="58" spans="1:34" s="8" customFormat="1" ht="15.75" thickBot="1" x14ac:dyDescent="0.25">
      <c r="A58" s="512"/>
      <c r="B58" s="517"/>
      <c r="C58" s="519"/>
      <c r="D58" s="49" t="str">
        <f>B56&amp;"C"</f>
        <v>181910118C</v>
      </c>
      <c r="E58" s="243" t="s">
        <v>150</v>
      </c>
      <c r="F58" s="244" t="str">
        <f>IFERROR(VLOOKUP(F56,$AJ$8:$AK$12,2,TRUE),"")</f>
        <v>D</v>
      </c>
      <c r="G58" s="345" t="str">
        <f t="shared" ref="G58:V58" si="34">IFERROR(VLOOKUP(G56,$AJ$8:$AK$12,2,TRUE),"")</f>
        <v>C</v>
      </c>
      <c r="H58" s="345" t="str">
        <f t="shared" si="34"/>
        <v>C</v>
      </c>
      <c r="I58" s="345" t="str">
        <f t="shared" si="34"/>
        <v>C</v>
      </c>
      <c r="J58" s="345" t="str">
        <f t="shared" si="34"/>
        <v>D</v>
      </c>
      <c r="K58" s="345" t="str">
        <f t="shared" si="34"/>
        <v>C</v>
      </c>
      <c r="L58" s="345" t="str">
        <f t="shared" si="34"/>
        <v/>
      </c>
      <c r="M58" s="345" t="str">
        <f t="shared" si="34"/>
        <v>C</v>
      </c>
      <c r="N58" s="345" t="str">
        <f t="shared" si="34"/>
        <v>D</v>
      </c>
      <c r="O58" s="345" t="str">
        <f t="shared" si="34"/>
        <v>D</v>
      </c>
      <c r="P58" s="345" t="str">
        <f t="shared" si="34"/>
        <v>D</v>
      </c>
      <c r="Q58" s="345" t="str">
        <f t="shared" si="34"/>
        <v>C</v>
      </c>
      <c r="R58" s="345" t="str">
        <f t="shared" si="34"/>
        <v>C</v>
      </c>
      <c r="S58" s="345" t="str">
        <f t="shared" si="34"/>
        <v>C</v>
      </c>
      <c r="T58" s="345" t="str">
        <f t="shared" si="34"/>
        <v>C</v>
      </c>
      <c r="U58" s="345" t="str">
        <f t="shared" si="34"/>
        <v>C</v>
      </c>
      <c r="V58" s="342" t="str">
        <f t="shared" si="34"/>
        <v>C</v>
      </c>
      <c r="W58" s="527"/>
      <c r="X58" s="527"/>
      <c r="Y58" s="544"/>
      <c r="Z58" s="547"/>
      <c r="AA58" s="541"/>
      <c r="AB58" s="241" t="s">
        <v>36</v>
      </c>
      <c r="AC58" s="242" t="s">
        <v>36</v>
      </c>
      <c r="AD58" s="553">
        <f>SUM(F56:V57)</f>
        <v>2171</v>
      </c>
      <c r="AE58" s="510"/>
      <c r="AF58" s="507"/>
      <c r="AG58" s="557"/>
      <c r="AH58" s="503"/>
    </row>
    <row r="59" spans="1:34" s="8" customFormat="1" ht="15.75" thickBot="1" x14ac:dyDescent="0.25">
      <c r="A59" s="515"/>
      <c r="B59" s="245"/>
      <c r="C59" s="246"/>
      <c r="D59" s="49" t="str">
        <f>B56&amp;"D"</f>
        <v>181910118D</v>
      </c>
      <c r="E59" s="247" t="s">
        <v>151</v>
      </c>
      <c r="F59" s="248" t="str">
        <f>IFERROR(VLOOKUP(F57,$AJ$8:$AK$12,2,TRUE),"")</f>
        <v>D</v>
      </c>
      <c r="G59" s="344" t="str">
        <f t="shared" ref="G59:U59" si="35">IFERROR(VLOOKUP(G57,$AJ$8:$AK$12,2,TRUE),"")</f>
        <v>B</v>
      </c>
      <c r="H59" s="344" t="str">
        <f t="shared" si="35"/>
        <v>C</v>
      </c>
      <c r="I59" s="344" t="str">
        <f t="shared" si="35"/>
        <v>C</v>
      </c>
      <c r="J59" s="344" t="str">
        <f t="shared" si="35"/>
        <v>D</v>
      </c>
      <c r="K59" s="344" t="str">
        <f t="shared" si="35"/>
        <v>C</v>
      </c>
      <c r="L59" s="344" t="str">
        <f t="shared" si="35"/>
        <v>C</v>
      </c>
      <c r="M59" s="344" t="str">
        <f t="shared" si="35"/>
        <v>D</v>
      </c>
      <c r="N59" s="344" t="str">
        <f t="shared" si="35"/>
        <v>D</v>
      </c>
      <c r="O59" s="344" t="str">
        <f t="shared" si="35"/>
        <v>C</v>
      </c>
      <c r="P59" s="344" t="str">
        <f t="shared" si="35"/>
        <v/>
      </c>
      <c r="Q59" s="344" t="str">
        <f t="shared" si="35"/>
        <v>B</v>
      </c>
      <c r="R59" s="344" t="str">
        <f t="shared" si="35"/>
        <v>C</v>
      </c>
      <c r="S59" s="344" t="str">
        <f t="shared" si="35"/>
        <v>C</v>
      </c>
      <c r="T59" s="344" t="str">
        <f t="shared" si="35"/>
        <v>D</v>
      </c>
      <c r="U59" s="344" t="str">
        <f t="shared" si="35"/>
        <v>C</v>
      </c>
      <c r="V59" s="343" t="str">
        <f>IFERROR(VLOOKUP(V57,$AJ$8:$AK$12,2,TRUE),"")</f>
        <v>D</v>
      </c>
      <c r="W59" s="528"/>
      <c r="X59" s="528"/>
      <c r="Y59" s="545"/>
      <c r="Z59" s="548"/>
      <c r="AA59" s="542"/>
      <c r="AB59" s="249" t="s">
        <v>36</v>
      </c>
      <c r="AC59" s="250" t="s">
        <v>36</v>
      </c>
      <c r="AD59" s="554"/>
      <c r="AE59" s="510"/>
      <c r="AF59" s="508"/>
      <c r="AG59" s="558"/>
      <c r="AH59" s="503"/>
    </row>
    <row r="60" spans="1:34" s="8" customFormat="1" ht="15.75" thickBot="1" x14ac:dyDescent="0.25">
      <c r="A60" s="511">
        <v>14</v>
      </c>
      <c r="B60" s="516" t="str">
        <f>VLOOKUP(A60,biononis,2,1)</f>
        <v>181910128</v>
      </c>
      <c r="C60" s="518" t="str">
        <f>VLOOKUP(A60,biononis,3,1)</f>
        <v>FAIZAL EGI</v>
      </c>
      <c r="D60" s="49" t="str">
        <f>B60&amp;"A"</f>
        <v>181910128A</v>
      </c>
      <c r="E60" s="235" t="s">
        <v>259</v>
      </c>
      <c r="F60" s="251">
        <v>55</v>
      </c>
      <c r="G60" s="252">
        <v>40</v>
      </c>
      <c r="H60" s="252">
        <v>68</v>
      </c>
      <c r="I60" s="252">
        <v>36</v>
      </c>
      <c r="J60" s="252">
        <v>50</v>
      </c>
      <c r="K60" s="252">
        <v>49</v>
      </c>
      <c r="L60" s="252">
        <v>73</v>
      </c>
      <c r="M60" s="252">
        <v>60</v>
      </c>
      <c r="N60" s="252">
        <v>52</v>
      </c>
      <c r="O60" s="252">
        <v>12</v>
      </c>
      <c r="P60" s="252">
        <v>10</v>
      </c>
      <c r="Q60" s="252">
        <v>74</v>
      </c>
      <c r="R60" s="252">
        <v>70</v>
      </c>
      <c r="S60" s="252">
        <v>70</v>
      </c>
      <c r="T60" s="252">
        <v>25</v>
      </c>
      <c r="U60" s="252">
        <v>70</v>
      </c>
      <c r="V60" s="238">
        <v>75</v>
      </c>
      <c r="W60" s="526" t="s">
        <v>6</v>
      </c>
      <c r="X60" s="526" t="s">
        <v>6</v>
      </c>
      <c r="Y60" s="543" t="s">
        <v>36</v>
      </c>
      <c r="Z60" s="546" t="s">
        <v>36</v>
      </c>
      <c r="AA60" s="540">
        <v>25</v>
      </c>
      <c r="AB60" s="237" t="s">
        <v>177</v>
      </c>
      <c r="AC60" s="238" t="s">
        <v>36</v>
      </c>
      <c r="AD60" s="434">
        <f>IFERROR(AVERAGE(F60:V60),"")</f>
        <v>52.294117647058826</v>
      </c>
      <c r="AE60" s="510">
        <f t="shared" ref="AE60" si="36">IFERROR((AD60+AD61)/2,"")</f>
        <v>51.852941176470594</v>
      </c>
      <c r="AF60" s="506">
        <f>IFERROR(RANK(AE60,$AE$8:$AE$167,0),"")</f>
        <v>24</v>
      </c>
      <c r="AG60" s="559" t="s">
        <v>279</v>
      </c>
      <c r="AH60" s="503" t="s">
        <v>330</v>
      </c>
    </row>
    <row r="61" spans="1:34" s="8" customFormat="1" ht="15.75" thickBot="1" x14ac:dyDescent="0.25">
      <c r="A61" s="512"/>
      <c r="B61" s="517"/>
      <c r="C61" s="519"/>
      <c r="D61" s="49" t="str">
        <f>B60&amp;"B"</f>
        <v>181910128B</v>
      </c>
      <c r="E61" s="239" t="s">
        <v>260</v>
      </c>
      <c r="F61" s="253">
        <v>55</v>
      </c>
      <c r="G61" s="240">
        <v>50</v>
      </c>
      <c r="H61" s="240">
        <v>66</v>
      </c>
      <c r="I61" s="240">
        <v>45</v>
      </c>
      <c r="J61" s="240">
        <v>50</v>
      </c>
      <c r="K61" s="240">
        <v>66</v>
      </c>
      <c r="L61" s="240">
        <v>74</v>
      </c>
      <c r="M61" s="240">
        <v>55</v>
      </c>
      <c r="N61" s="240">
        <v>50</v>
      </c>
      <c r="O61" s="240">
        <v>0</v>
      </c>
      <c r="P61" s="240">
        <v>0</v>
      </c>
      <c r="Q61" s="240">
        <v>78</v>
      </c>
      <c r="R61" s="240">
        <v>70</v>
      </c>
      <c r="S61" s="240">
        <v>70</v>
      </c>
      <c r="T61" s="240">
        <v>10</v>
      </c>
      <c r="U61" s="240">
        <v>70</v>
      </c>
      <c r="V61" s="341">
        <v>65</v>
      </c>
      <c r="W61" s="527"/>
      <c r="X61" s="527"/>
      <c r="Y61" s="544"/>
      <c r="Z61" s="547"/>
      <c r="AA61" s="541"/>
      <c r="AB61" s="241" t="s">
        <v>36</v>
      </c>
      <c r="AC61" s="242" t="s">
        <v>36</v>
      </c>
      <c r="AD61" s="435">
        <f>IFERROR(AVERAGE(F61:V61),"")</f>
        <v>51.411764705882355</v>
      </c>
      <c r="AE61" s="510"/>
      <c r="AF61" s="507"/>
      <c r="AG61" s="557"/>
      <c r="AH61" s="503"/>
    </row>
    <row r="62" spans="1:34" s="8" customFormat="1" ht="15.75" thickBot="1" x14ac:dyDescent="0.25">
      <c r="A62" s="512"/>
      <c r="B62" s="517"/>
      <c r="C62" s="519"/>
      <c r="D62" s="49" t="str">
        <f>B60&amp;"C"</f>
        <v>181910128C</v>
      </c>
      <c r="E62" s="243" t="s">
        <v>150</v>
      </c>
      <c r="F62" s="244" t="str">
        <f>IFERROR(VLOOKUP(F60,$AJ$8:$AK$12,2,TRUE),"")</f>
        <v>D</v>
      </c>
      <c r="G62" s="345" t="str">
        <f t="shared" ref="G62:V62" si="37">IFERROR(VLOOKUP(G60,$AJ$8:$AK$12,2,TRUE),"")</f>
        <v>D</v>
      </c>
      <c r="H62" s="345" t="str">
        <f t="shared" si="37"/>
        <v>D</v>
      </c>
      <c r="I62" s="345" t="str">
        <f t="shared" si="37"/>
        <v>D</v>
      </c>
      <c r="J62" s="345" t="str">
        <f t="shared" si="37"/>
        <v>D</v>
      </c>
      <c r="K62" s="345" t="str">
        <f t="shared" si="37"/>
        <v>D</v>
      </c>
      <c r="L62" s="345" t="str">
        <f t="shared" si="37"/>
        <v>C</v>
      </c>
      <c r="M62" s="345" t="str">
        <f t="shared" si="37"/>
        <v>D</v>
      </c>
      <c r="N62" s="345" t="str">
        <f t="shared" si="37"/>
        <v>D</v>
      </c>
      <c r="O62" s="345" t="str">
        <f t="shared" si="37"/>
        <v>D</v>
      </c>
      <c r="P62" s="345" t="str">
        <f t="shared" si="37"/>
        <v>D</v>
      </c>
      <c r="Q62" s="345" t="str">
        <f t="shared" si="37"/>
        <v>C</v>
      </c>
      <c r="R62" s="345" t="str">
        <f t="shared" si="37"/>
        <v>C</v>
      </c>
      <c r="S62" s="345" t="str">
        <f t="shared" si="37"/>
        <v>C</v>
      </c>
      <c r="T62" s="345" t="str">
        <f t="shared" si="37"/>
        <v>D</v>
      </c>
      <c r="U62" s="345" t="str">
        <f t="shared" si="37"/>
        <v>C</v>
      </c>
      <c r="V62" s="342" t="str">
        <f t="shared" si="37"/>
        <v>C</v>
      </c>
      <c r="W62" s="527"/>
      <c r="X62" s="527"/>
      <c r="Y62" s="544"/>
      <c r="Z62" s="547"/>
      <c r="AA62" s="541"/>
      <c r="AB62" s="241" t="s">
        <v>36</v>
      </c>
      <c r="AC62" s="242" t="s">
        <v>36</v>
      </c>
      <c r="AD62" s="553">
        <f>SUM(F60:V61)</f>
        <v>1763</v>
      </c>
      <c r="AE62" s="510"/>
      <c r="AF62" s="507"/>
      <c r="AG62" s="557"/>
      <c r="AH62" s="503"/>
    </row>
    <row r="63" spans="1:34" s="8" customFormat="1" ht="15.75" thickBot="1" x14ac:dyDescent="0.25">
      <c r="A63" s="513"/>
      <c r="B63" s="254"/>
      <c r="C63" s="255"/>
      <c r="D63" s="49" t="str">
        <f>B60&amp;"D"</f>
        <v>181910128D</v>
      </c>
      <c r="E63" s="247" t="s">
        <v>151</v>
      </c>
      <c r="F63" s="248" t="str">
        <f>IFERROR(VLOOKUP(F61,$AJ$8:$AK$12,2,TRUE),"")</f>
        <v>D</v>
      </c>
      <c r="G63" s="344" t="str">
        <f t="shared" ref="G63:U63" si="38">IFERROR(VLOOKUP(G61,$AJ$8:$AK$12,2,TRUE),"")</f>
        <v>D</v>
      </c>
      <c r="H63" s="344" t="str">
        <f t="shared" si="38"/>
        <v>D</v>
      </c>
      <c r="I63" s="344" t="str">
        <f t="shared" si="38"/>
        <v>D</v>
      </c>
      <c r="J63" s="344" t="str">
        <f t="shared" si="38"/>
        <v>D</v>
      </c>
      <c r="K63" s="344" t="str">
        <f t="shared" si="38"/>
        <v>D</v>
      </c>
      <c r="L63" s="344" t="str">
        <f t="shared" si="38"/>
        <v>C</v>
      </c>
      <c r="M63" s="344" t="str">
        <f t="shared" si="38"/>
        <v>D</v>
      </c>
      <c r="N63" s="344" t="str">
        <f t="shared" si="38"/>
        <v>D</v>
      </c>
      <c r="O63" s="344" t="str">
        <f t="shared" si="38"/>
        <v/>
      </c>
      <c r="P63" s="344" t="str">
        <f t="shared" si="38"/>
        <v/>
      </c>
      <c r="Q63" s="344" t="str">
        <f t="shared" si="38"/>
        <v>C</v>
      </c>
      <c r="R63" s="344" t="str">
        <f t="shared" si="38"/>
        <v>C</v>
      </c>
      <c r="S63" s="344" t="str">
        <f t="shared" si="38"/>
        <v>C</v>
      </c>
      <c r="T63" s="344" t="str">
        <f t="shared" si="38"/>
        <v>D</v>
      </c>
      <c r="U63" s="344" t="str">
        <f t="shared" si="38"/>
        <v>C</v>
      </c>
      <c r="V63" s="343" t="str">
        <f>IFERROR(VLOOKUP(V61,$AJ$8:$AK$12,2,TRUE),"")</f>
        <v>D</v>
      </c>
      <c r="W63" s="528"/>
      <c r="X63" s="528"/>
      <c r="Y63" s="545"/>
      <c r="Z63" s="548"/>
      <c r="AA63" s="542"/>
      <c r="AB63" s="249" t="s">
        <v>36</v>
      </c>
      <c r="AC63" s="250" t="s">
        <v>36</v>
      </c>
      <c r="AD63" s="554"/>
      <c r="AE63" s="510"/>
      <c r="AF63" s="508"/>
      <c r="AG63" s="558"/>
      <c r="AH63" s="503"/>
    </row>
    <row r="64" spans="1:34" s="8" customFormat="1" ht="15.75" thickBot="1" x14ac:dyDescent="0.25">
      <c r="A64" s="514">
        <v>15</v>
      </c>
      <c r="B64" s="517" t="str">
        <f>VLOOKUP(A64,biononis,2,1)</f>
        <v>181910133</v>
      </c>
      <c r="C64" s="519" t="str">
        <f>VLOOKUP(A64,biononis,3,1)</f>
        <v>FAUZI DHALFADLIL AZHANI</v>
      </c>
      <c r="D64" s="49" t="str">
        <f>B64&amp;"A"</f>
        <v>181910133A</v>
      </c>
      <c r="E64" s="235" t="s">
        <v>259</v>
      </c>
      <c r="F64" s="251">
        <v>70</v>
      </c>
      <c r="G64" s="252">
        <v>40</v>
      </c>
      <c r="H64" s="252">
        <v>70</v>
      </c>
      <c r="I64" s="252">
        <v>52</v>
      </c>
      <c r="J64" s="252">
        <v>40</v>
      </c>
      <c r="K64" s="252">
        <v>52</v>
      </c>
      <c r="L64" s="252">
        <v>72</v>
      </c>
      <c r="M64" s="252">
        <v>65</v>
      </c>
      <c r="N64" s="252">
        <v>50</v>
      </c>
      <c r="O64" s="252">
        <v>38</v>
      </c>
      <c r="P64" s="252">
        <v>10</v>
      </c>
      <c r="Q64" s="252">
        <v>74</v>
      </c>
      <c r="R64" s="252">
        <v>70</v>
      </c>
      <c r="S64" s="252">
        <v>57</v>
      </c>
      <c r="T64" s="252">
        <v>20</v>
      </c>
      <c r="U64" s="252">
        <v>70</v>
      </c>
      <c r="V64" s="238">
        <v>70</v>
      </c>
      <c r="W64" s="526" t="s">
        <v>6</v>
      </c>
      <c r="X64" s="526" t="s">
        <v>6</v>
      </c>
      <c r="Y64" s="543" t="s">
        <v>36</v>
      </c>
      <c r="Z64" s="546" t="s">
        <v>36</v>
      </c>
      <c r="AA64" s="540">
        <v>10</v>
      </c>
      <c r="AB64" s="237" t="s">
        <v>177</v>
      </c>
      <c r="AC64" s="238" t="s">
        <v>36</v>
      </c>
      <c r="AD64" s="434">
        <f>IFERROR(AVERAGE(F64:V64),"")</f>
        <v>54.117647058823529</v>
      </c>
      <c r="AE64" s="510">
        <f t="shared" ref="AE64" si="39">IFERROR((AD64+AD65)/2,"")</f>
        <v>56.264705882352942</v>
      </c>
      <c r="AF64" s="506">
        <f>IFERROR(RANK(AE64,$AE$8:$AE$167,0),"")</f>
        <v>20</v>
      </c>
      <c r="AG64" s="559" t="s">
        <v>280</v>
      </c>
      <c r="AH64" s="503" t="s">
        <v>330</v>
      </c>
    </row>
    <row r="65" spans="1:34" s="8" customFormat="1" ht="15.75" thickBot="1" x14ac:dyDescent="0.25">
      <c r="A65" s="512"/>
      <c r="B65" s="517"/>
      <c r="C65" s="519"/>
      <c r="D65" s="49" t="str">
        <f>B64&amp;"B"</f>
        <v>181910133B</v>
      </c>
      <c r="E65" s="239" t="s">
        <v>260</v>
      </c>
      <c r="F65" s="253">
        <v>70</v>
      </c>
      <c r="G65" s="240">
        <v>50</v>
      </c>
      <c r="H65" s="240">
        <v>70</v>
      </c>
      <c r="I65" s="240">
        <v>56</v>
      </c>
      <c r="J65" s="240">
        <v>40</v>
      </c>
      <c r="K65" s="240">
        <v>66</v>
      </c>
      <c r="L65" s="240">
        <v>74</v>
      </c>
      <c r="M65" s="240">
        <v>58</v>
      </c>
      <c r="N65" s="240">
        <v>50</v>
      </c>
      <c r="O65" s="240">
        <v>80</v>
      </c>
      <c r="P65" s="240">
        <v>70</v>
      </c>
      <c r="Q65" s="240">
        <v>79</v>
      </c>
      <c r="R65" s="240">
        <v>70</v>
      </c>
      <c r="S65" s="240">
        <v>0</v>
      </c>
      <c r="T65" s="240">
        <v>30</v>
      </c>
      <c r="U65" s="240">
        <v>70</v>
      </c>
      <c r="V65" s="341">
        <v>60</v>
      </c>
      <c r="W65" s="527"/>
      <c r="X65" s="527"/>
      <c r="Y65" s="544"/>
      <c r="Z65" s="547"/>
      <c r="AA65" s="541"/>
      <c r="AB65" s="241" t="s">
        <v>36</v>
      </c>
      <c r="AC65" s="242" t="s">
        <v>36</v>
      </c>
      <c r="AD65" s="435">
        <f>IFERROR(AVERAGE(F65:V65),"")</f>
        <v>58.411764705882355</v>
      </c>
      <c r="AE65" s="510"/>
      <c r="AF65" s="507"/>
      <c r="AG65" s="557"/>
      <c r="AH65" s="503"/>
    </row>
    <row r="66" spans="1:34" s="8" customFormat="1" ht="15.75" thickBot="1" x14ac:dyDescent="0.25">
      <c r="A66" s="512"/>
      <c r="B66" s="517"/>
      <c r="C66" s="519"/>
      <c r="D66" s="49" t="str">
        <f>B64&amp;"c"</f>
        <v>181910133c</v>
      </c>
      <c r="E66" s="243" t="s">
        <v>150</v>
      </c>
      <c r="F66" s="244" t="str">
        <f>IFERROR(VLOOKUP(F64,$AJ$8:$AK$12,2,TRUE),"")</f>
        <v>C</v>
      </c>
      <c r="G66" s="345" t="str">
        <f t="shared" ref="G66:V66" si="40">IFERROR(VLOOKUP(G64,$AJ$8:$AK$12,2,TRUE),"")</f>
        <v>D</v>
      </c>
      <c r="H66" s="345" t="str">
        <f t="shared" si="40"/>
        <v>C</v>
      </c>
      <c r="I66" s="345" t="str">
        <f t="shared" si="40"/>
        <v>D</v>
      </c>
      <c r="J66" s="345" t="str">
        <f t="shared" si="40"/>
        <v>D</v>
      </c>
      <c r="K66" s="345" t="str">
        <f t="shared" si="40"/>
        <v>D</v>
      </c>
      <c r="L66" s="345" t="str">
        <f t="shared" si="40"/>
        <v>C</v>
      </c>
      <c r="M66" s="345" t="str">
        <f t="shared" si="40"/>
        <v>D</v>
      </c>
      <c r="N66" s="345" t="str">
        <f t="shared" si="40"/>
        <v>D</v>
      </c>
      <c r="O66" s="345" t="str">
        <f t="shared" si="40"/>
        <v>D</v>
      </c>
      <c r="P66" s="345" t="str">
        <f t="shared" si="40"/>
        <v>D</v>
      </c>
      <c r="Q66" s="345" t="str">
        <f t="shared" si="40"/>
        <v>C</v>
      </c>
      <c r="R66" s="345" t="str">
        <f t="shared" si="40"/>
        <v>C</v>
      </c>
      <c r="S66" s="345" t="str">
        <f t="shared" si="40"/>
        <v>D</v>
      </c>
      <c r="T66" s="345" t="str">
        <f t="shared" si="40"/>
        <v>D</v>
      </c>
      <c r="U66" s="345" t="str">
        <f t="shared" si="40"/>
        <v>C</v>
      </c>
      <c r="V66" s="342" t="str">
        <f t="shared" si="40"/>
        <v>C</v>
      </c>
      <c r="W66" s="527"/>
      <c r="X66" s="527"/>
      <c r="Y66" s="544"/>
      <c r="Z66" s="547"/>
      <c r="AA66" s="541"/>
      <c r="AB66" s="241" t="s">
        <v>36</v>
      </c>
      <c r="AC66" s="242" t="s">
        <v>36</v>
      </c>
      <c r="AD66" s="553">
        <f>SUM(F64:V65)</f>
        <v>1913</v>
      </c>
      <c r="AE66" s="510"/>
      <c r="AF66" s="507"/>
      <c r="AG66" s="557"/>
      <c r="AH66" s="503"/>
    </row>
    <row r="67" spans="1:34" s="8" customFormat="1" ht="15.75" thickBot="1" x14ac:dyDescent="0.25">
      <c r="A67" s="515"/>
      <c r="B67" s="245"/>
      <c r="C67" s="257"/>
      <c r="D67" s="49" t="str">
        <f>B64&amp;"D"</f>
        <v>181910133D</v>
      </c>
      <c r="E67" s="247" t="s">
        <v>151</v>
      </c>
      <c r="F67" s="248" t="str">
        <f>IFERROR(VLOOKUP(F65,$AJ$8:$AK$12,2,TRUE),"")</f>
        <v>C</v>
      </c>
      <c r="G67" s="344" t="str">
        <f t="shared" ref="G67:U67" si="41">IFERROR(VLOOKUP(G65,$AJ$8:$AK$12,2,TRUE),"")</f>
        <v>D</v>
      </c>
      <c r="H67" s="344" t="str">
        <f t="shared" si="41"/>
        <v>C</v>
      </c>
      <c r="I67" s="344" t="str">
        <f t="shared" si="41"/>
        <v>D</v>
      </c>
      <c r="J67" s="344" t="str">
        <f t="shared" si="41"/>
        <v>D</v>
      </c>
      <c r="K67" s="344" t="str">
        <f t="shared" si="41"/>
        <v>D</v>
      </c>
      <c r="L67" s="344" t="str">
        <f t="shared" si="41"/>
        <v>C</v>
      </c>
      <c r="M67" s="344" t="str">
        <f t="shared" si="41"/>
        <v>D</v>
      </c>
      <c r="N67" s="344" t="str">
        <f t="shared" si="41"/>
        <v>D</v>
      </c>
      <c r="O67" s="344" t="str">
        <f t="shared" si="41"/>
        <v>B</v>
      </c>
      <c r="P67" s="344" t="str">
        <f t="shared" si="41"/>
        <v>C</v>
      </c>
      <c r="Q67" s="344" t="str">
        <f t="shared" si="41"/>
        <v>C</v>
      </c>
      <c r="R67" s="344" t="str">
        <f t="shared" si="41"/>
        <v>C</v>
      </c>
      <c r="S67" s="344" t="str">
        <f t="shared" si="41"/>
        <v/>
      </c>
      <c r="T67" s="344" t="str">
        <f t="shared" si="41"/>
        <v>D</v>
      </c>
      <c r="U67" s="344" t="str">
        <f t="shared" si="41"/>
        <v>C</v>
      </c>
      <c r="V67" s="343" t="str">
        <f>IFERROR(VLOOKUP(V65,$AJ$8:$AK$12,2,TRUE),"")</f>
        <v>D</v>
      </c>
      <c r="W67" s="528"/>
      <c r="X67" s="528"/>
      <c r="Y67" s="545"/>
      <c r="Z67" s="548"/>
      <c r="AA67" s="542"/>
      <c r="AB67" s="249" t="s">
        <v>36</v>
      </c>
      <c r="AC67" s="250" t="s">
        <v>36</v>
      </c>
      <c r="AD67" s="554"/>
      <c r="AE67" s="510"/>
      <c r="AF67" s="508"/>
      <c r="AG67" s="558"/>
      <c r="AH67" s="503"/>
    </row>
    <row r="68" spans="1:34" s="8" customFormat="1" ht="15.75" thickBot="1" x14ac:dyDescent="0.25">
      <c r="A68" s="511">
        <v>16</v>
      </c>
      <c r="B68" s="516" t="str">
        <f>VLOOKUP(A68,biononis,2,1)</f>
        <v>181910161</v>
      </c>
      <c r="C68" s="518" t="str">
        <f>VLOOKUP(A68,biononis,3,1)</f>
        <v>HILMAN PUTRA PAMUNGKAS</v>
      </c>
      <c r="D68" s="49" t="str">
        <f>B68&amp;"A"</f>
        <v>181910161A</v>
      </c>
      <c r="E68" s="235" t="s">
        <v>259</v>
      </c>
      <c r="F68" s="251">
        <v>70</v>
      </c>
      <c r="G68" s="252">
        <v>78</v>
      </c>
      <c r="H68" s="252">
        <v>80</v>
      </c>
      <c r="I68" s="252">
        <v>77</v>
      </c>
      <c r="J68" s="252">
        <v>80</v>
      </c>
      <c r="K68" s="252">
        <v>71</v>
      </c>
      <c r="L68" s="252"/>
      <c r="M68" s="252">
        <v>75</v>
      </c>
      <c r="N68" s="252">
        <v>66</v>
      </c>
      <c r="O68" s="252">
        <v>39</v>
      </c>
      <c r="P68" s="252">
        <v>10</v>
      </c>
      <c r="Q68" s="252">
        <v>76</v>
      </c>
      <c r="R68" s="252">
        <v>75</v>
      </c>
      <c r="S68" s="252">
        <v>57</v>
      </c>
      <c r="T68" s="252">
        <v>60</v>
      </c>
      <c r="U68" s="252">
        <v>75</v>
      </c>
      <c r="V68" s="238">
        <v>75</v>
      </c>
      <c r="W68" s="526" t="s">
        <v>6</v>
      </c>
      <c r="X68" s="526" t="s">
        <v>6</v>
      </c>
      <c r="Y68" s="543" t="s">
        <v>36</v>
      </c>
      <c r="Z68" s="546" t="s">
        <v>36</v>
      </c>
      <c r="AA68" s="540">
        <v>4</v>
      </c>
      <c r="AB68" s="237" t="s">
        <v>177</v>
      </c>
      <c r="AC68" s="238" t="s">
        <v>36</v>
      </c>
      <c r="AD68" s="434">
        <f>IFERROR(AVERAGE(F68:V68),"")</f>
        <v>66.5</v>
      </c>
      <c r="AE68" s="510">
        <f t="shared" ref="AE68" si="42">IFERROR((AD68+AD69)/2,"")</f>
        <v>65.926470588235304</v>
      </c>
      <c r="AF68" s="506">
        <f>IFERROR(RANK(AE68,$AE$8:$AE$167,0),"")</f>
        <v>12</v>
      </c>
      <c r="AG68" s="559" t="s">
        <v>279</v>
      </c>
      <c r="AH68" s="503" t="s">
        <v>330</v>
      </c>
    </row>
    <row r="69" spans="1:34" s="8" customFormat="1" ht="15.75" thickBot="1" x14ac:dyDescent="0.25">
      <c r="A69" s="512"/>
      <c r="B69" s="517"/>
      <c r="C69" s="519"/>
      <c r="D69" s="49" t="str">
        <f>B68&amp;"B"</f>
        <v>181910161B</v>
      </c>
      <c r="E69" s="239" t="s">
        <v>260</v>
      </c>
      <c r="F69" s="253">
        <v>70</v>
      </c>
      <c r="G69" s="240">
        <v>75</v>
      </c>
      <c r="H69" s="240">
        <v>82</v>
      </c>
      <c r="I69" s="240">
        <v>79</v>
      </c>
      <c r="J69" s="240">
        <v>75</v>
      </c>
      <c r="K69" s="240">
        <v>71</v>
      </c>
      <c r="L69" s="240">
        <v>78</v>
      </c>
      <c r="M69" s="240">
        <v>60</v>
      </c>
      <c r="N69" s="240">
        <v>68</v>
      </c>
      <c r="O69" s="240">
        <v>80</v>
      </c>
      <c r="P69" s="240">
        <v>0</v>
      </c>
      <c r="Q69" s="240">
        <v>79</v>
      </c>
      <c r="R69" s="240">
        <v>75</v>
      </c>
      <c r="S69" s="240">
        <v>0</v>
      </c>
      <c r="T69" s="240">
        <v>74</v>
      </c>
      <c r="U69" s="240">
        <v>80</v>
      </c>
      <c r="V69" s="341">
        <v>65</v>
      </c>
      <c r="W69" s="527"/>
      <c r="X69" s="527"/>
      <c r="Y69" s="544"/>
      <c r="Z69" s="547"/>
      <c r="AA69" s="541"/>
      <c r="AB69" s="241" t="s">
        <v>36</v>
      </c>
      <c r="AC69" s="242" t="s">
        <v>36</v>
      </c>
      <c r="AD69" s="435">
        <f>IFERROR(AVERAGE(F69:V69),"")</f>
        <v>65.352941176470594</v>
      </c>
      <c r="AE69" s="510"/>
      <c r="AF69" s="507"/>
      <c r="AG69" s="557"/>
      <c r="AH69" s="503"/>
    </row>
    <row r="70" spans="1:34" s="8" customFormat="1" ht="15.75" thickBot="1" x14ac:dyDescent="0.25">
      <c r="A70" s="512"/>
      <c r="B70" s="517"/>
      <c r="C70" s="519"/>
      <c r="D70" s="49" t="str">
        <f>B68&amp;"C"</f>
        <v>181910161C</v>
      </c>
      <c r="E70" s="243" t="s">
        <v>150</v>
      </c>
      <c r="F70" s="244" t="str">
        <f>IFERROR(VLOOKUP(F68,$AJ$8:$AK$12,2,TRUE),"")</f>
        <v>C</v>
      </c>
      <c r="G70" s="345" t="str">
        <f t="shared" ref="G70:V70" si="43">IFERROR(VLOOKUP(G68,$AJ$8:$AK$12,2,TRUE),"")</f>
        <v>C</v>
      </c>
      <c r="H70" s="345" t="str">
        <f t="shared" si="43"/>
        <v>B</v>
      </c>
      <c r="I70" s="345" t="str">
        <f t="shared" si="43"/>
        <v>C</v>
      </c>
      <c r="J70" s="345" t="str">
        <f t="shared" si="43"/>
        <v>B</v>
      </c>
      <c r="K70" s="345" t="str">
        <f t="shared" si="43"/>
        <v>C</v>
      </c>
      <c r="L70" s="345" t="str">
        <f t="shared" si="43"/>
        <v/>
      </c>
      <c r="M70" s="345" t="str">
        <f t="shared" si="43"/>
        <v>C</v>
      </c>
      <c r="N70" s="345" t="str">
        <f t="shared" si="43"/>
        <v>D</v>
      </c>
      <c r="O70" s="345" t="str">
        <f t="shared" si="43"/>
        <v>D</v>
      </c>
      <c r="P70" s="345" t="str">
        <f t="shared" si="43"/>
        <v>D</v>
      </c>
      <c r="Q70" s="345" t="str">
        <f t="shared" si="43"/>
        <v>C</v>
      </c>
      <c r="R70" s="345" t="str">
        <f t="shared" si="43"/>
        <v>C</v>
      </c>
      <c r="S70" s="345" t="str">
        <f t="shared" si="43"/>
        <v>D</v>
      </c>
      <c r="T70" s="345" t="str">
        <f t="shared" si="43"/>
        <v>D</v>
      </c>
      <c r="U70" s="345" t="str">
        <f t="shared" si="43"/>
        <v>C</v>
      </c>
      <c r="V70" s="342" t="str">
        <f t="shared" si="43"/>
        <v>C</v>
      </c>
      <c r="W70" s="527"/>
      <c r="X70" s="527"/>
      <c r="Y70" s="544"/>
      <c r="Z70" s="547"/>
      <c r="AA70" s="541"/>
      <c r="AB70" s="241" t="s">
        <v>36</v>
      </c>
      <c r="AC70" s="242" t="s">
        <v>36</v>
      </c>
      <c r="AD70" s="553">
        <f>SUM(F68:V69)</f>
        <v>2175</v>
      </c>
      <c r="AE70" s="510"/>
      <c r="AF70" s="507"/>
      <c r="AG70" s="557"/>
      <c r="AH70" s="503"/>
    </row>
    <row r="71" spans="1:34" s="8" customFormat="1" ht="15.75" thickBot="1" x14ac:dyDescent="0.25">
      <c r="A71" s="513"/>
      <c r="B71" s="254"/>
      <c r="C71" s="255"/>
      <c r="D71" s="49" t="str">
        <f>B68&amp;"D"</f>
        <v>181910161D</v>
      </c>
      <c r="E71" s="247" t="s">
        <v>151</v>
      </c>
      <c r="F71" s="248" t="str">
        <f>IFERROR(VLOOKUP(F69,$AJ$8:$AK$12,2,TRUE),"")</f>
        <v>C</v>
      </c>
      <c r="G71" s="344" t="str">
        <f t="shared" ref="G71:U71" si="44">IFERROR(VLOOKUP(G69,$AJ$8:$AK$12,2,TRUE),"")</f>
        <v>C</v>
      </c>
      <c r="H71" s="344" t="str">
        <f t="shared" si="44"/>
        <v>B</v>
      </c>
      <c r="I71" s="344" t="str">
        <f t="shared" si="44"/>
        <v>C</v>
      </c>
      <c r="J71" s="344" t="str">
        <f t="shared" si="44"/>
        <v>C</v>
      </c>
      <c r="K71" s="344" t="str">
        <f t="shared" si="44"/>
        <v>C</v>
      </c>
      <c r="L71" s="344" t="str">
        <f t="shared" si="44"/>
        <v>C</v>
      </c>
      <c r="M71" s="344" t="str">
        <f t="shared" si="44"/>
        <v>D</v>
      </c>
      <c r="N71" s="344" t="str">
        <f t="shared" si="44"/>
        <v>D</v>
      </c>
      <c r="O71" s="344" t="str">
        <f t="shared" si="44"/>
        <v>B</v>
      </c>
      <c r="P71" s="344" t="str">
        <f t="shared" si="44"/>
        <v/>
      </c>
      <c r="Q71" s="344" t="str">
        <f t="shared" si="44"/>
        <v>C</v>
      </c>
      <c r="R71" s="344" t="str">
        <f t="shared" si="44"/>
        <v>C</v>
      </c>
      <c r="S71" s="344" t="str">
        <f t="shared" si="44"/>
        <v/>
      </c>
      <c r="T71" s="344" t="str">
        <f t="shared" si="44"/>
        <v>C</v>
      </c>
      <c r="U71" s="344" t="str">
        <f t="shared" si="44"/>
        <v>B</v>
      </c>
      <c r="V71" s="343" t="str">
        <f>IFERROR(VLOOKUP(V69,$AJ$8:$AK$12,2,TRUE),"")</f>
        <v>D</v>
      </c>
      <c r="W71" s="528"/>
      <c r="X71" s="528"/>
      <c r="Y71" s="545"/>
      <c r="Z71" s="548"/>
      <c r="AA71" s="542"/>
      <c r="AB71" s="249" t="s">
        <v>36</v>
      </c>
      <c r="AC71" s="250" t="s">
        <v>36</v>
      </c>
      <c r="AD71" s="554"/>
      <c r="AE71" s="510"/>
      <c r="AF71" s="508"/>
      <c r="AG71" s="558"/>
      <c r="AH71" s="503"/>
    </row>
    <row r="72" spans="1:34" s="8" customFormat="1" ht="15.75" thickBot="1" x14ac:dyDescent="0.25">
      <c r="A72" s="514">
        <v>17</v>
      </c>
      <c r="B72" s="517" t="str">
        <f>VLOOKUP(A72,biononis,2,1)</f>
        <v>181910165</v>
      </c>
      <c r="C72" s="519" t="str">
        <f>VLOOKUP(A72,biononis,3,1)</f>
        <v>IHSYA FADILLAH MUSLIM</v>
      </c>
      <c r="D72" s="49" t="str">
        <f>B72&amp;"A"</f>
        <v>181910165A</v>
      </c>
      <c r="E72" s="235" t="s">
        <v>259</v>
      </c>
      <c r="F72" s="251">
        <v>70</v>
      </c>
      <c r="G72" s="252">
        <v>70</v>
      </c>
      <c r="H72" s="252">
        <v>70</v>
      </c>
      <c r="I72" s="252">
        <v>66</v>
      </c>
      <c r="J72" s="252">
        <v>38</v>
      </c>
      <c r="K72" s="252">
        <v>59</v>
      </c>
      <c r="L72" s="252">
        <v>73</v>
      </c>
      <c r="M72" s="252">
        <v>60</v>
      </c>
      <c r="N72" s="252">
        <v>60</v>
      </c>
      <c r="O72" s="252">
        <v>43</v>
      </c>
      <c r="P72" s="252">
        <v>10</v>
      </c>
      <c r="Q72" s="252">
        <v>76</v>
      </c>
      <c r="R72" s="252">
        <v>65</v>
      </c>
      <c r="S72" s="252">
        <v>70</v>
      </c>
      <c r="T72" s="252">
        <v>35</v>
      </c>
      <c r="U72" s="252">
        <v>70</v>
      </c>
      <c r="V72" s="238">
        <v>75</v>
      </c>
      <c r="W72" s="526" t="s">
        <v>6</v>
      </c>
      <c r="X72" s="526" t="s">
        <v>6</v>
      </c>
      <c r="Y72" s="543" t="s">
        <v>36</v>
      </c>
      <c r="Z72" s="546" t="s">
        <v>36</v>
      </c>
      <c r="AA72" s="540">
        <v>10</v>
      </c>
      <c r="AB72" s="237" t="s">
        <v>177</v>
      </c>
      <c r="AC72" s="238" t="s">
        <v>36</v>
      </c>
      <c r="AD72" s="434">
        <f>IFERROR(AVERAGE(F72:V72),"")</f>
        <v>59.411764705882355</v>
      </c>
      <c r="AE72" s="510">
        <f t="shared" ref="AE72" si="45">IFERROR((AD72+AD73)/2,"")</f>
        <v>62.147058823529406</v>
      </c>
      <c r="AF72" s="506">
        <f>IFERROR(RANK(AE72,$AE$8:$AE$167,0),"")</f>
        <v>15</v>
      </c>
      <c r="AG72" s="559" t="s">
        <v>279</v>
      </c>
      <c r="AH72" s="503" t="s">
        <v>330</v>
      </c>
    </row>
    <row r="73" spans="1:34" s="8" customFormat="1" ht="15.75" thickBot="1" x14ac:dyDescent="0.25">
      <c r="A73" s="512"/>
      <c r="B73" s="517"/>
      <c r="C73" s="519"/>
      <c r="D73" s="49" t="str">
        <f>B72&amp;"B"</f>
        <v>181910165B</v>
      </c>
      <c r="E73" s="239" t="s">
        <v>260</v>
      </c>
      <c r="F73" s="253">
        <v>70</v>
      </c>
      <c r="G73" s="240">
        <v>70</v>
      </c>
      <c r="H73" s="240">
        <v>70</v>
      </c>
      <c r="I73" s="240">
        <v>70</v>
      </c>
      <c r="J73" s="240">
        <v>38</v>
      </c>
      <c r="K73" s="240">
        <v>70</v>
      </c>
      <c r="L73" s="240">
        <v>74</v>
      </c>
      <c r="M73" s="240">
        <v>57</v>
      </c>
      <c r="N73" s="240">
        <v>60</v>
      </c>
      <c r="O73" s="240">
        <v>75</v>
      </c>
      <c r="P73" s="240">
        <v>70</v>
      </c>
      <c r="Q73" s="240">
        <v>79</v>
      </c>
      <c r="R73" s="240">
        <v>65</v>
      </c>
      <c r="S73" s="240">
        <v>70</v>
      </c>
      <c r="T73" s="240">
        <v>30</v>
      </c>
      <c r="U73" s="240">
        <v>70</v>
      </c>
      <c r="V73" s="341">
        <v>65</v>
      </c>
      <c r="W73" s="527"/>
      <c r="X73" s="527"/>
      <c r="Y73" s="544"/>
      <c r="Z73" s="547"/>
      <c r="AA73" s="541"/>
      <c r="AB73" s="241" t="s">
        <v>36</v>
      </c>
      <c r="AC73" s="242" t="s">
        <v>36</v>
      </c>
      <c r="AD73" s="435">
        <f>IFERROR(AVERAGE(F73:V73),"")</f>
        <v>64.882352941176464</v>
      </c>
      <c r="AE73" s="510"/>
      <c r="AF73" s="507"/>
      <c r="AG73" s="557"/>
      <c r="AH73" s="503"/>
    </row>
    <row r="74" spans="1:34" s="8" customFormat="1" ht="15.75" thickBot="1" x14ac:dyDescent="0.25">
      <c r="A74" s="512"/>
      <c r="B74" s="517"/>
      <c r="C74" s="519"/>
      <c r="D74" s="49" t="str">
        <f>B72&amp;"C"</f>
        <v>181910165C</v>
      </c>
      <c r="E74" s="243" t="s">
        <v>150</v>
      </c>
      <c r="F74" s="244" t="str">
        <f>IFERROR(VLOOKUP(F72,$AJ$8:$AK$12,2,TRUE),"")</f>
        <v>C</v>
      </c>
      <c r="G74" s="345" t="str">
        <f t="shared" ref="G74:V74" si="46">IFERROR(VLOOKUP(G72,$AJ$8:$AK$12,2,TRUE),"")</f>
        <v>C</v>
      </c>
      <c r="H74" s="345" t="str">
        <f t="shared" si="46"/>
        <v>C</v>
      </c>
      <c r="I74" s="345" t="str">
        <f t="shared" si="46"/>
        <v>D</v>
      </c>
      <c r="J74" s="345" t="str">
        <f t="shared" si="46"/>
        <v>D</v>
      </c>
      <c r="K74" s="345" t="str">
        <f t="shared" si="46"/>
        <v>D</v>
      </c>
      <c r="L74" s="345" t="str">
        <f t="shared" si="46"/>
        <v>C</v>
      </c>
      <c r="M74" s="345" t="str">
        <f t="shared" si="46"/>
        <v>D</v>
      </c>
      <c r="N74" s="345" t="str">
        <f t="shared" si="46"/>
        <v>D</v>
      </c>
      <c r="O74" s="345" t="str">
        <f t="shared" si="46"/>
        <v>D</v>
      </c>
      <c r="P74" s="345" t="str">
        <f t="shared" si="46"/>
        <v>D</v>
      </c>
      <c r="Q74" s="345" t="str">
        <f t="shared" si="46"/>
        <v>C</v>
      </c>
      <c r="R74" s="345" t="str">
        <f t="shared" si="46"/>
        <v>D</v>
      </c>
      <c r="S74" s="345" t="str">
        <f t="shared" si="46"/>
        <v>C</v>
      </c>
      <c r="T74" s="345" t="str">
        <f t="shared" si="46"/>
        <v>D</v>
      </c>
      <c r="U74" s="345" t="str">
        <f t="shared" si="46"/>
        <v>C</v>
      </c>
      <c r="V74" s="342" t="str">
        <f t="shared" si="46"/>
        <v>C</v>
      </c>
      <c r="W74" s="527"/>
      <c r="X74" s="527"/>
      <c r="Y74" s="544"/>
      <c r="Z74" s="547"/>
      <c r="AA74" s="541"/>
      <c r="AB74" s="241" t="s">
        <v>36</v>
      </c>
      <c r="AC74" s="242" t="s">
        <v>36</v>
      </c>
      <c r="AD74" s="553">
        <f>SUM(F72:V73)</f>
        <v>2113</v>
      </c>
      <c r="AE74" s="510"/>
      <c r="AF74" s="507"/>
      <c r="AG74" s="557"/>
      <c r="AH74" s="503"/>
    </row>
    <row r="75" spans="1:34" s="8" customFormat="1" ht="15.75" thickBot="1" x14ac:dyDescent="0.25">
      <c r="A75" s="515"/>
      <c r="B75" s="245"/>
      <c r="C75" s="246"/>
      <c r="D75" s="49" t="str">
        <f>B72&amp;"D"</f>
        <v>181910165D</v>
      </c>
      <c r="E75" s="247" t="s">
        <v>151</v>
      </c>
      <c r="F75" s="248" t="str">
        <f>IFERROR(VLOOKUP(F73,$AJ$8:$AK$12,2,TRUE),"")</f>
        <v>C</v>
      </c>
      <c r="G75" s="344" t="str">
        <f t="shared" ref="G75:U75" si="47">IFERROR(VLOOKUP(G73,$AJ$8:$AK$12,2,TRUE),"")</f>
        <v>C</v>
      </c>
      <c r="H75" s="344" t="str">
        <f t="shared" si="47"/>
        <v>C</v>
      </c>
      <c r="I75" s="344" t="str">
        <f t="shared" si="47"/>
        <v>C</v>
      </c>
      <c r="J75" s="344" t="str">
        <f t="shared" si="47"/>
        <v>D</v>
      </c>
      <c r="K75" s="344" t="str">
        <f t="shared" si="47"/>
        <v>C</v>
      </c>
      <c r="L75" s="344" t="str">
        <f t="shared" si="47"/>
        <v>C</v>
      </c>
      <c r="M75" s="344" t="str">
        <f t="shared" si="47"/>
        <v>D</v>
      </c>
      <c r="N75" s="344" t="str">
        <f t="shared" si="47"/>
        <v>D</v>
      </c>
      <c r="O75" s="344" t="str">
        <f t="shared" si="47"/>
        <v>C</v>
      </c>
      <c r="P75" s="344" t="str">
        <f t="shared" si="47"/>
        <v>C</v>
      </c>
      <c r="Q75" s="344" t="str">
        <f t="shared" si="47"/>
        <v>C</v>
      </c>
      <c r="R75" s="344" t="str">
        <f t="shared" si="47"/>
        <v>D</v>
      </c>
      <c r="S75" s="344" t="str">
        <f t="shared" si="47"/>
        <v>C</v>
      </c>
      <c r="T75" s="344" t="str">
        <f t="shared" si="47"/>
        <v>D</v>
      </c>
      <c r="U75" s="344" t="str">
        <f t="shared" si="47"/>
        <v>C</v>
      </c>
      <c r="V75" s="343" t="str">
        <f>IFERROR(VLOOKUP(V73,$AJ$8:$AK$12,2,TRUE),"")</f>
        <v>D</v>
      </c>
      <c r="W75" s="528"/>
      <c r="X75" s="528"/>
      <c r="Y75" s="545"/>
      <c r="Z75" s="548"/>
      <c r="AA75" s="542"/>
      <c r="AB75" s="249" t="s">
        <v>36</v>
      </c>
      <c r="AC75" s="250" t="s">
        <v>36</v>
      </c>
      <c r="AD75" s="554"/>
      <c r="AE75" s="510"/>
      <c r="AF75" s="508"/>
      <c r="AG75" s="558"/>
      <c r="AH75" s="503"/>
    </row>
    <row r="76" spans="1:34" s="8" customFormat="1" ht="15.75" thickBot="1" x14ac:dyDescent="0.25">
      <c r="A76" s="511">
        <v>18</v>
      </c>
      <c r="B76" s="516" t="str">
        <f>VLOOKUP(A76,biononis,2,1)</f>
        <v>181910185</v>
      </c>
      <c r="C76" s="518" t="str">
        <f>VLOOKUP(A76,biononis,3,1)</f>
        <v>JIHAD AKBAR</v>
      </c>
      <c r="D76" s="49" t="str">
        <f>B76&amp;"A"</f>
        <v>181910185A</v>
      </c>
      <c r="E76" s="235" t="s">
        <v>259</v>
      </c>
      <c r="F76" s="251">
        <v>67</v>
      </c>
      <c r="G76" s="252">
        <v>60</v>
      </c>
      <c r="H76" s="252">
        <v>68</v>
      </c>
      <c r="I76" s="252">
        <v>47</v>
      </c>
      <c r="J76" s="252">
        <v>31</v>
      </c>
      <c r="K76" s="252">
        <v>46</v>
      </c>
      <c r="L76" s="252">
        <v>75</v>
      </c>
      <c r="M76" s="252">
        <v>79</v>
      </c>
      <c r="N76" s="252">
        <v>60</v>
      </c>
      <c r="O76" s="252">
        <v>35</v>
      </c>
      <c r="P76" s="252">
        <v>10</v>
      </c>
      <c r="Q76" s="252">
        <v>70</v>
      </c>
      <c r="R76" s="252">
        <v>74</v>
      </c>
      <c r="S76" s="252">
        <v>53</v>
      </c>
      <c r="T76" s="252">
        <v>25</v>
      </c>
      <c r="U76" s="252">
        <v>70</v>
      </c>
      <c r="V76" s="238">
        <v>75</v>
      </c>
      <c r="W76" s="526" t="s">
        <v>6</v>
      </c>
      <c r="X76" s="526" t="s">
        <v>6</v>
      </c>
      <c r="Y76" s="543" t="s">
        <v>36</v>
      </c>
      <c r="Z76" s="546" t="s">
        <v>36</v>
      </c>
      <c r="AA76" s="540">
        <v>25</v>
      </c>
      <c r="AB76" s="237" t="s">
        <v>177</v>
      </c>
      <c r="AC76" s="238" t="s">
        <v>36</v>
      </c>
      <c r="AD76" s="434">
        <f>IFERROR(AVERAGE(F76:V76),"")</f>
        <v>55.588235294117645</v>
      </c>
      <c r="AE76" s="510">
        <f t="shared" ref="AE76" si="48">IFERROR((AD76+AD77)/2,"")</f>
        <v>55.17647058823529</v>
      </c>
      <c r="AF76" s="506">
        <f>IFERROR(RANK(AE76,$AE$8:$AE$167,0),"")</f>
        <v>21</v>
      </c>
      <c r="AG76" s="559" t="s">
        <v>280</v>
      </c>
      <c r="AH76" s="503" t="s">
        <v>330</v>
      </c>
    </row>
    <row r="77" spans="1:34" s="8" customFormat="1" ht="15.75" thickBot="1" x14ac:dyDescent="0.25">
      <c r="A77" s="512"/>
      <c r="B77" s="517"/>
      <c r="C77" s="519"/>
      <c r="D77" s="49" t="str">
        <f>B76&amp;"B"</f>
        <v>181910185B</v>
      </c>
      <c r="E77" s="239" t="s">
        <v>260</v>
      </c>
      <c r="F77" s="253">
        <v>67</v>
      </c>
      <c r="G77" s="240">
        <v>70</v>
      </c>
      <c r="H77" s="240">
        <v>69</v>
      </c>
      <c r="I77" s="240">
        <v>45</v>
      </c>
      <c r="J77" s="240">
        <v>31</v>
      </c>
      <c r="K77" s="240">
        <v>66</v>
      </c>
      <c r="L77" s="240">
        <v>75</v>
      </c>
      <c r="M77" s="240">
        <v>64</v>
      </c>
      <c r="N77" s="240">
        <v>60</v>
      </c>
      <c r="O77" s="240">
        <v>70</v>
      </c>
      <c r="P77" s="240">
        <v>0</v>
      </c>
      <c r="Q77" s="240">
        <v>70</v>
      </c>
      <c r="R77" s="240">
        <v>74</v>
      </c>
      <c r="S77" s="240">
        <v>0</v>
      </c>
      <c r="T77" s="240">
        <v>35</v>
      </c>
      <c r="U77" s="240">
        <v>70</v>
      </c>
      <c r="V77" s="341">
        <v>65</v>
      </c>
      <c r="W77" s="527"/>
      <c r="X77" s="527"/>
      <c r="Y77" s="544"/>
      <c r="Z77" s="547"/>
      <c r="AA77" s="541"/>
      <c r="AB77" s="241" t="s">
        <v>36</v>
      </c>
      <c r="AC77" s="242" t="s">
        <v>36</v>
      </c>
      <c r="AD77" s="435">
        <f>IFERROR(AVERAGE(F77:V77),"")</f>
        <v>54.764705882352942</v>
      </c>
      <c r="AE77" s="510"/>
      <c r="AF77" s="507"/>
      <c r="AG77" s="557"/>
      <c r="AH77" s="503"/>
    </row>
    <row r="78" spans="1:34" s="8" customFormat="1" ht="15.75" thickBot="1" x14ac:dyDescent="0.25">
      <c r="A78" s="512"/>
      <c r="B78" s="517"/>
      <c r="C78" s="519"/>
      <c r="D78" s="49" t="str">
        <f>B76&amp;"C"</f>
        <v>181910185C</v>
      </c>
      <c r="E78" s="243" t="s">
        <v>150</v>
      </c>
      <c r="F78" s="244" t="str">
        <f>IFERROR(VLOOKUP(F76,$AJ$8:$AK$12,2,TRUE),"")</f>
        <v>D</v>
      </c>
      <c r="G78" s="345" t="str">
        <f t="shared" ref="G78:V78" si="49">IFERROR(VLOOKUP(G76,$AJ$8:$AK$12,2,TRUE),"")</f>
        <v>D</v>
      </c>
      <c r="H78" s="345" t="str">
        <f t="shared" si="49"/>
        <v>D</v>
      </c>
      <c r="I78" s="345" t="str">
        <f t="shared" si="49"/>
        <v>D</v>
      </c>
      <c r="J78" s="345" t="str">
        <f t="shared" si="49"/>
        <v>D</v>
      </c>
      <c r="K78" s="345" t="str">
        <f t="shared" si="49"/>
        <v>D</v>
      </c>
      <c r="L78" s="345" t="str">
        <f t="shared" si="49"/>
        <v>C</v>
      </c>
      <c r="M78" s="345" t="str">
        <f t="shared" si="49"/>
        <v>C</v>
      </c>
      <c r="N78" s="345" t="str">
        <f t="shared" si="49"/>
        <v>D</v>
      </c>
      <c r="O78" s="345" t="str">
        <f t="shared" si="49"/>
        <v>D</v>
      </c>
      <c r="P78" s="345" t="str">
        <f t="shared" si="49"/>
        <v>D</v>
      </c>
      <c r="Q78" s="345" t="str">
        <f t="shared" si="49"/>
        <v>C</v>
      </c>
      <c r="R78" s="345" t="str">
        <f t="shared" si="49"/>
        <v>C</v>
      </c>
      <c r="S78" s="345" t="str">
        <f t="shared" si="49"/>
        <v>D</v>
      </c>
      <c r="T78" s="345" t="str">
        <f t="shared" si="49"/>
        <v>D</v>
      </c>
      <c r="U78" s="345" t="str">
        <f t="shared" si="49"/>
        <v>C</v>
      </c>
      <c r="V78" s="342" t="str">
        <f t="shared" si="49"/>
        <v>C</v>
      </c>
      <c r="W78" s="527"/>
      <c r="X78" s="527"/>
      <c r="Y78" s="544"/>
      <c r="Z78" s="547"/>
      <c r="AA78" s="541"/>
      <c r="AB78" s="241" t="s">
        <v>36</v>
      </c>
      <c r="AC78" s="242" t="s">
        <v>36</v>
      </c>
      <c r="AD78" s="553">
        <f>SUM(F76:V77)</f>
        <v>1876</v>
      </c>
      <c r="AE78" s="510"/>
      <c r="AF78" s="507"/>
      <c r="AG78" s="557"/>
      <c r="AH78" s="503"/>
    </row>
    <row r="79" spans="1:34" s="8" customFormat="1" ht="15.75" thickBot="1" x14ac:dyDescent="0.25">
      <c r="A79" s="513"/>
      <c r="B79" s="254"/>
      <c r="C79" s="255"/>
      <c r="D79" s="49" t="str">
        <f>B76&amp;"D"</f>
        <v>181910185D</v>
      </c>
      <c r="E79" s="247" t="s">
        <v>151</v>
      </c>
      <c r="F79" s="248" t="str">
        <f>IFERROR(VLOOKUP(F77,$AJ$8:$AK$12,2,TRUE),"")</f>
        <v>D</v>
      </c>
      <c r="G79" s="344" t="str">
        <f t="shared" ref="G79:U79" si="50">IFERROR(VLOOKUP(G77,$AJ$8:$AK$12,2,TRUE),"")</f>
        <v>C</v>
      </c>
      <c r="H79" s="344" t="str">
        <f t="shared" si="50"/>
        <v>D</v>
      </c>
      <c r="I79" s="344" t="str">
        <f t="shared" si="50"/>
        <v>D</v>
      </c>
      <c r="J79" s="344" t="str">
        <f t="shared" si="50"/>
        <v>D</v>
      </c>
      <c r="K79" s="344" t="str">
        <f t="shared" si="50"/>
        <v>D</v>
      </c>
      <c r="L79" s="344" t="str">
        <f t="shared" si="50"/>
        <v>C</v>
      </c>
      <c r="M79" s="344" t="str">
        <f t="shared" si="50"/>
        <v>D</v>
      </c>
      <c r="N79" s="344" t="str">
        <f t="shared" si="50"/>
        <v>D</v>
      </c>
      <c r="O79" s="344" t="str">
        <f t="shared" si="50"/>
        <v>C</v>
      </c>
      <c r="P79" s="344" t="str">
        <f t="shared" si="50"/>
        <v/>
      </c>
      <c r="Q79" s="344" t="str">
        <f t="shared" si="50"/>
        <v>C</v>
      </c>
      <c r="R79" s="344" t="str">
        <f t="shared" si="50"/>
        <v>C</v>
      </c>
      <c r="S79" s="344" t="str">
        <f t="shared" si="50"/>
        <v/>
      </c>
      <c r="T79" s="344" t="str">
        <f t="shared" si="50"/>
        <v>D</v>
      </c>
      <c r="U79" s="344" t="str">
        <f t="shared" si="50"/>
        <v>C</v>
      </c>
      <c r="V79" s="343" t="str">
        <f>IFERROR(VLOOKUP(V77,$AJ$8:$AK$12,2,TRUE),"")</f>
        <v>D</v>
      </c>
      <c r="W79" s="528"/>
      <c r="X79" s="528"/>
      <c r="Y79" s="545"/>
      <c r="Z79" s="548"/>
      <c r="AA79" s="542"/>
      <c r="AB79" s="249" t="s">
        <v>36</v>
      </c>
      <c r="AC79" s="250" t="s">
        <v>36</v>
      </c>
      <c r="AD79" s="554"/>
      <c r="AE79" s="510"/>
      <c r="AF79" s="508"/>
      <c r="AG79" s="558"/>
      <c r="AH79" s="503"/>
    </row>
    <row r="80" spans="1:34" s="8" customFormat="1" ht="15.75" thickBot="1" x14ac:dyDescent="0.25">
      <c r="A80" s="514">
        <v>19</v>
      </c>
      <c r="B80" s="517" t="str">
        <f>VLOOKUP(A80,biononis,2,1)</f>
        <v>181910226</v>
      </c>
      <c r="C80" s="519" t="str">
        <f>VLOOKUP(A80,biononis,3,1)</f>
        <v>MUHAMAD IZZAZUL FIKRIAN</v>
      </c>
      <c r="D80" s="49" t="str">
        <f>B80&amp;"A"</f>
        <v>181910226A</v>
      </c>
      <c r="E80" s="235" t="s">
        <v>259</v>
      </c>
      <c r="F80" s="251"/>
      <c r="G80" s="252"/>
      <c r="H80" s="252"/>
      <c r="I80" s="252"/>
      <c r="J80" s="252"/>
      <c r="K80" s="252"/>
      <c r="L80" s="252"/>
      <c r="M80" s="252"/>
      <c r="N80" s="252"/>
      <c r="O80" s="252"/>
      <c r="P80" s="252"/>
      <c r="Q80" s="252"/>
      <c r="R80" s="252"/>
      <c r="S80" s="252"/>
      <c r="T80" s="252"/>
      <c r="U80" s="252"/>
      <c r="V80" s="238"/>
      <c r="W80" s="526" t="s">
        <v>36</v>
      </c>
      <c r="X80" s="526" t="s">
        <v>36</v>
      </c>
      <c r="Y80" s="543" t="s">
        <v>36</v>
      </c>
      <c r="Z80" s="546" t="s">
        <v>36</v>
      </c>
      <c r="AA80" s="540" t="s">
        <v>36</v>
      </c>
      <c r="AB80" s="237" t="s">
        <v>177</v>
      </c>
      <c r="AC80" s="238" t="s">
        <v>36</v>
      </c>
      <c r="AD80" s="434" t="str">
        <f>IFERROR(AVERAGE(F80:V80),"")</f>
        <v/>
      </c>
      <c r="AE80" s="510" t="str">
        <f t="shared" ref="AE80" si="51">IFERROR((AD80+AD81)/2,"")</f>
        <v/>
      </c>
      <c r="AF80" s="506" t="str">
        <f>IFERROR(RANK(AE80,$AE$8:$AE$167,0),"")</f>
        <v/>
      </c>
      <c r="AG80" s="559" t="s">
        <v>176</v>
      </c>
      <c r="AH80" s="503" t="s">
        <v>176</v>
      </c>
    </row>
    <row r="81" spans="1:34" s="8" customFormat="1" ht="15.75" thickBot="1" x14ac:dyDescent="0.25">
      <c r="A81" s="512"/>
      <c r="B81" s="517"/>
      <c r="C81" s="519"/>
      <c r="D81" s="49" t="str">
        <f>B80&amp;"B"</f>
        <v>181910226B</v>
      </c>
      <c r="E81" s="239" t="s">
        <v>260</v>
      </c>
      <c r="F81" s="253"/>
      <c r="G81" s="240"/>
      <c r="H81" s="240"/>
      <c r="I81" s="240"/>
      <c r="J81" s="240"/>
      <c r="K81" s="240"/>
      <c r="L81" s="240"/>
      <c r="M81" s="240"/>
      <c r="N81" s="240"/>
      <c r="O81" s="240"/>
      <c r="P81" s="240"/>
      <c r="Q81" s="240"/>
      <c r="R81" s="240"/>
      <c r="S81" s="240"/>
      <c r="T81" s="240"/>
      <c r="U81" s="240"/>
      <c r="V81" s="341"/>
      <c r="W81" s="527"/>
      <c r="X81" s="527"/>
      <c r="Y81" s="544"/>
      <c r="Z81" s="547"/>
      <c r="AA81" s="541"/>
      <c r="AB81" s="241" t="s">
        <v>36</v>
      </c>
      <c r="AC81" s="242" t="s">
        <v>36</v>
      </c>
      <c r="AD81" s="435" t="str">
        <f>IFERROR(AVERAGE(F81:V81),"")</f>
        <v/>
      </c>
      <c r="AE81" s="510"/>
      <c r="AF81" s="507"/>
      <c r="AG81" s="557"/>
      <c r="AH81" s="503"/>
    </row>
    <row r="82" spans="1:34" s="8" customFormat="1" ht="15.75" thickBot="1" x14ac:dyDescent="0.25">
      <c r="A82" s="512"/>
      <c r="B82" s="517"/>
      <c r="C82" s="519"/>
      <c r="D82" s="49" t="str">
        <f>B80&amp;"C"</f>
        <v>181910226C</v>
      </c>
      <c r="E82" s="243" t="s">
        <v>150</v>
      </c>
      <c r="F82" s="244" t="str">
        <f>IFERROR(VLOOKUP(F80,$AJ$8:$AK$12,2,TRUE),"")</f>
        <v/>
      </c>
      <c r="G82" s="345" t="str">
        <f t="shared" ref="G82:V82" si="52">IFERROR(VLOOKUP(G80,$AJ$8:$AK$12,2,TRUE),"")</f>
        <v/>
      </c>
      <c r="H82" s="345" t="str">
        <f t="shared" si="52"/>
        <v/>
      </c>
      <c r="I82" s="345" t="str">
        <f t="shared" si="52"/>
        <v/>
      </c>
      <c r="J82" s="345" t="str">
        <f t="shared" si="52"/>
        <v/>
      </c>
      <c r="K82" s="345" t="str">
        <f t="shared" si="52"/>
        <v/>
      </c>
      <c r="L82" s="345" t="str">
        <f t="shared" si="52"/>
        <v/>
      </c>
      <c r="M82" s="345" t="str">
        <f t="shared" si="52"/>
        <v/>
      </c>
      <c r="N82" s="345" t="str">
        <f t="shared" si="52"/>
        <v/>
      </c>
      <c r="O82" s="345" t="str">
        <f t="shared" si="52"/>
        <v/>
      </c>
      <c r="P82" s="345" t="str">
        <f t="shared" si="52"/>
        <v/>
      </c>
      <c r="Q82" s="345" t="str">
        <f t="shared" si="52"/>
        <v/>
      </c>
      <c r="R82" s="345" t="str">
        <f t="shared" si="52"/>
        <v/>
      </c>
      <c r="S82" s="345" t="str">
        <f t="shared" si="52"/>
        <v/>
      </c>
      <c r="T82" s="345" t="str">
        <f t="shared" si="52"/>
        <v/>
      </c>
      <c r="U82" s="345" t="str">
        <f t="shared" si="52"/>
        <v/>
      </c>
      <c r="V82" s="342" t="str">
        <f t="shared" si="52"/>
        <v/>
      </c>
      <c r="W82" s="527"/>
      <c r="X82" s="527"/>
      <c r="Y82" s="544"/>
      <c r="Z82" s="547"/>
      <c r="AA82" s="541"/>
      <c r="AB82" s="241" t="s">
        <v>36</v>
      </c>
      <c r="AC82" s="242" t="s">
        <v>36</v>
      </c>
      <c r="AD82" s="553">
        <f>SUM(F80:V81)</f>
        <v>0</v>
      </c>
      <c r="AE82" s="510"/>
      <c r="AF82" s="507"/>
      <c r="AG82" s="557"/>
      <c r="AH82" s="503"/>
    </row>
    <row r="83" spans="1:34" s="8" customFormat="1" ht="15.75" thickBot="1" x14ac:dyDescent="0.25">
      <c r="A83" s="515"/>
      <c r="B83" s="245"/>
      <c r="C83" s="246"/>
      <c r="D83" s="49" t="str">
        <f>B80&amp;"D"</f>
        <v>181910226D</v>
      </c>
      <c r="E83" s="247" t="s">
        <v>151</v>
      </c>
      <c r="F83" s="248" t="str">
        <f>IFERROR(VLOOKUP(F81,$AJ$8:$AK$12,2,TRUE),"")</f>
        <v/>
      </c>
      <c r="G83" s="344" t="str">
        <f t="shared" ref="G83:U83" si="53">IFERROR(VLOOKUP(G81,$AJ$8:$AK$12,2,TRUE),"")</f>
        <v/>
      </c>
      <c r="H83" s="344" t="str">
        <f t="shared" si="53"/>
        <v/>
      </c>
      <c r="I83" s="344" t="str">
        <f t="shared" si="53"/>
        <v/>
      </c>
      <c r="J83" s="344" t="str">
        <f t="shared" si="53"/>
        <v/>
      </c>
      <c r="K83" s="344" t="str">
        <f t="shared" si="53"/>
        <v/>
      </c>
      <c r="L83" s="344" t="str">
        <f t="shared" si="53"/>
        <v/>
      </c>
      <c r="M83" s="344" t="str">
        <f t="shared" si="53"/>
        <v/>
      </c>
      <c r="N83" s="344" t="str">
        <f t="shared" si="53"/>
        <v/>
      </c>
      <c r="O83" s="344" t="str">
        <f t="shared" si="53"/>
        <v/>
      </c>
      <c r="P83" s="344" t="str">
        <f t="shared" si="53"/>
        <v/>
      </c>
      <c r="Q83" s="344" t="str">
        <f t="shared" si="53"/>
        <v/>
      </c>
      <c r="R83" s="344" t="str">
        <f t="shared" si="53"/>
        <v/>
      </c>
      <c r="S83" s="344" t="str">
        <f t="shared" si="53"/>
        <v/>
      </c>
      <c r="T83" s="344" t="str">
        <f t="shared" si="53"/>
        <v/>
      </c>
      <c r="U83" s="344" t="str">
        <f t="shared" si="53"/>
        <v/>
      </c>
      <c r="V83" s="343" t="str">
        <f>IFERROR(VLOOKUP(V81,$AJ$8:$AK$12,2,TRUE),"")</f>
        <v/>
      </c>
      <c r="W83" s="528"/>
      <c r="X83" s="528"/>
      <c r="Y83" s="545"/>
      <c r="Z83" s="548"/>
      <c r="AA83" s="542"/>
      <c r="AB83" s="249" t="s">
        <v>36</v>
      </c>
      <c r="AC83" s="250" t="s">
        <v>36</v>
      </c>
      <c r="AD83" s="554"/>
      <c r="AE83" s="510"/>
      <c r="AF83" s="508"/>
      <c r="AG83" s="558"/>
      <c r="AH83" s="503"/>
    </row>
    <row r="84" spans="1:34" s="8" customFormat="1" ht="15.75" thickBot="1" x14ac:dyDescent="0.25">
      <c r="A84" s="511">
        <v>20</v>
      </c>
      <c r="B84" s="516" t="str">
        <f>VLOOKUP(A84,biononis,2,1)</f>
        <v>181910433</v>
      </c>
      <c r="C84" s="518" t="str">
        <f>VLOOKUP(A84,biononis,3,1)</f>
        <v>MUHAMAD RIZAL</v>
      </c>
      <c r="D84" s="49" t="str">
        <f>B84&amp;"A"</f>
        <v>181910433A</v>
      </c>
      <c r="E84" s="235" t="s">
        <v>259</v>
      </c>
      <c r="F84" s="251">
        <v>50</v>
      </c>
      <c r="G84" s="252">
        <v>40</v>
      </c>
      <c r="H84" s="252">
        <v>70</v>
      </c>
      <c r="I84" s="252">
        <v>50</v>
      </c>
      <c r="J84" s="252">
        <v>36</v>
      </c>
      <c r="K84" s="252">
        <v>45</v>
      </c>
      <c r="L84" s="252">
        <v>72</v>
      </c>
      <c r="M84" s="252">
        <v>77</v>
      </c>
      <c r="N84" s="252">
        <v>54</v>
      </c>
      <c r="O84" s="252">
        <v>32</v>
      </c>
      <c r="P84" s="252">
        <v>10</v>
      </c>
      <c r="Q84" s="252">
        <v>50</v>
      </c>
      <c r="R84" s="252">
        <v>60</v>
      </c>
      <c r="S84" s="252">
        <v>0</v>
      </c>
      <c r="T84" s="252">
        <v>10</v>
      </c>
      <c r="U84" s="252">
        <v>30</v>
      </c>
      <c r="V84" s="238">
        <v>75</v>
      </c>
      <c r="W84" s="526" t="s">
        <v>6</v>
      </c>
      <c r="X84" s="526" t="s">
        <v>6</v>
      </c>
      <c r="Y84" s="543" t="s">
        <v>36</v>
      </c>
      <c r="Z84" s="546" t="s">
        <v>36</v>
      </c>
      <c r="AA84" s="540">
        <v>30</v>
      </c>
      <c r="AB84" s="237" t="s">
        <v>177</v>
      </c>
      <c r="AC84" s="238" t="s">
        <v>36</v>
      </c>
      <c r="AD84" s="434">
        <f>IFERROR(AVERAGE(F84:V84),"")</f>
        <v>44.764705882352942</v>
      </c>
      <c r="AE84" s="510">
        <f t="shared" ref="AE84" si="54">IFERROR((AD84+AD85)/2,"")</f>
        <v>44.117647058823529</v>
      </c>
      <c r="AF84" s="506">
        <f>IFERROR(RANK(AE84,$AE$8:$AE$167,0),"")</f>
        <v>29</v>
      </c>
      <c r="AG84" s="559" t="s">
        <v>280</v>
      </c>
      <c r="AH84" s="503" t="s">
        <v>330</v>
      </c>
    </row>
    <row r="85" spans="1:34" s="8" customFormat="1" ht="15.75" thickBot="1" x14ac:dyDescent="0.25">
      <c r="A85" s="512"/>
      <c r="B85" s="517"/>
      <c r="C85" s="519"/>
      <c r="D85" s="49" t="str">
        <f>B84&amp;"B"</f>
        <v>181910433B</v>
      </c>
      <c r="E85" s="239" t="s">
        <v>260</v>
      </c>
      <c r="F85" s="253">
        <v>50</v>
      </c>
      <c r="G85" s="240">
        <v>50</v>
      </c>
      <c r="H85" s="240">
        <v>70</v>
      </c>
      <c r="I85" s="240">
        <v>45</v>
      </c>
      <c r="J85" s="240">
        <v>36</v>
      </c>
      <c r="K85" s="240">
        <v>66</v>
      </c>
      <c r="L85" s="240">
        <v>73</v>
      </c>
      <c r="M85" s="240">
        <v>60</v>
      </c>
      <c r="N85" s="240">
        <v>54</v>
      </c>
      <c r="O85" s="240">
        <v>0</v>
      </c>
      <c r="P85" s="240">
        <v>0</v>
      </c>
      <c r="Q85" s="240">
        <v>55</v>
      </c>
      <c r="R85" s="240">
        <v>60</v>
      </c>
      <c r="S85" s="240">
        <v>0</v>
      </c>
      <c r="T85" s="240">
        <v>25</v>
      </c>
      <c r="U85" s="240">
        <v>30</v>
      </c>
      <c r="V85" s="341">
        <v>65</v>
      </c>
      <c r="W85" s="527"/>
      <c r="X85" s="527"/>
      <c r="Y85" s="544"/>
      <c r="Z85" s="547"/>
      <c r="AA85" s="541"/>
      <c r="AB85" s="241" t="s">
        <v>36</v>
      </c>
      <c r="AC85" s="242" t="s">
        <v>36</v>
      </c>
      <c r="AD85" s="435">
        <f>IFERROR(AVERAGE(F85:V85),"")</f>
        <v>43.470588235294116</v>
      </c>
      <c r="AE85" s="510"/>
      <c r="AF85" s="507"/>
      <c r="AG85" s="557"/>
      <c r="AH85" s="503"/>
    </row>
    <row r="86" spans="1:34" s="8" customFormat="1" ht="15.75" thickBot="1" x14ac:dyDescent="0.25">
      <c r="A86" s="512"/>
      <c r="B86" s="517"/>
      <c r="C86" s="519"/>
      <c r="D86" s="49" t="str">
        <f>B84&amp;"C"</f>
        <v>181910433C</v>
      </c>
      <c r="E86" s="243" t="s">
        <v>150</v>
      </c>
      <c r="F86" s="244" t="str">
        <f>IFERROR(VLOOKUP(F84,$AJ$8:$AK$12,2,TRUE),"")</f>
        <v>D</v>
      </c>
      <c r="G86" s="345" t="str">
        <f t="shared" ref="G86:V86" si="55">IFERROR(VLOOKUP(G84,$AJ$8:$AK$12,2,TRUE),"")</f>
        <v>D</v>
      </c>
      <c r="H86" s="345" t="str">
        <f t="shared" si="55"/>
        <v>C</v>
      </c>
      <c r="I86" s="345" t="str">
        <f t="shared" si="55"/>
        <v>D</v>
      </c>
      <c r="J86" s="345" t="str">
        <f t="shared" si="55"/>
        <v>D</v>
      </c>
      <c r="K86" s="345" t="str">
        <f t="shared" si="55"/>
        <v>D</v>
      </c>
      <c r="L86" s="345" t="str">
        <f t="shared" si="55"/>
        <v>C</v>
      </c>
      <c r="M86" s="345" t="str">
        <f t="shared" si="55"/>
        <v>C</v>
      </c>
      <c r="N86" s="345" t="str">
        <f t="shared" si="55"/>
        <v>D</v>
      </c>
      <c r="O86" s="345" t="str">
        <f t="shared" si="55"/>
        <v>D</v>
      </c>
      <c r="P86" s="345" t="str">
        <f t="shared" si="55"/>
        <v>D</v>
      </c>
      <c r="Q86" s="345" t="str">
        <f t="shared" si="55"/>
        <v>D</v>
      </c>
      <c r="R86" s="345" t="str">
        <f t="shared" si="55"/>
        <v>D</v>
      </c>
      <c r="S86" s="345" t="str">
        <f t="shared" si="55"/>
        <v/>
      </c>
      <c r="T86" s="345" t="str">
        <f t="shared" si="55"/>
        <v>D</v>
      </c>
      <c r="U86" s="345" t="str">
        <f t="shared" si="55"/>
        <v>D</v>
      </c>
      <c r="V86" s="342" t="str">
        <f t="shared" si="55"/>
        <v>C</v>
      </c>
      <c r="W86" s="527"/>
      <c r="X86" s="527"/>
      <c r="Y86" s="544"/>
      <c r="Z86" s="547"/>
      <c r="AA86" s="541"/>
      <c r="AB86" s="241" t="s">
        <v>36</v>
      </c>
      <c r="AC86" s="242" t="s">
        <v>36</v>
      </c>
      <c r="AD86" s="553">
        <f>SUM(F84:V85)</f>
        <v>1500</v>
      </c>
      <c r="AE86" s="510"/>
      <c r="AF86" s="507"/>
      <c r="AG86" s="557"/>
      <c r="AH86" s="503"/>
    </row>
    <row r="87" spans="1:34" s="8" customFormat="1" ht="15.75" thickBot="1" x14ac:dyDescent="0.25">
      <c r="A87" s="513"/>
      <c r="B87" s="254"/>
      <c r="C87" s="255"/>
      <c r="D87" s="49" t="str">
        <f>B84&amp;"D"</f>
        <v>181910433D</v>
      </c>
      <c r="E87" s="247" t="s">
        <v>151</v>
      </c>
      <c r="F87" s="248" t="str">
        <f>IFERROR(VLOOKUP(F85,$AJ$8:$AK$12,2,TRUE),"")</f>
        <v>D</v>
      </c>
      <c r="G87" s="344" t="str">
        <f t="shared" ref="G87:U87" si="56">IFERROR(VLOOKUP(G85,$AJ$8:$AK$12,2,TRUE),"")</f>
        <v>D</v>
      </c>
      <c r="H87" s="344" t="str">
        <f t="shared" si="56"/>
        <v>C</v>
      </c>
      <c r="I87" s="344" t="str">
        <f t="shared" si="56"/>
        <v>D</v>
      </c>
      <c r="J87" s="344" t="str">
        <f t="shared" si="56"/>
        <v>D</v>
      </c>
      <c r="K87" s="344" t="str">
        <f t="shared" si="56"/>
        <v>D</v>
      </c>
      <c r="L87" s="344" t="str">
        <f t="shared" si="56"/>
        <v>C</v>
      </c>
      <c r="M87" s="344" t="str">
        <f t="shared" si="56"/>
        <v>D</v>
      </c>
      <c r="N87" s="344" t="str">
        <f t="shared" si="56"/>
        <v>D</v>
      </c>
      <c r="O87" s="344" t="str">
        <f t="shared" si="56"/>
        <v/>
      </c>
      <c r="P87" s="344" t="str">
        <f t="shared" si="56"/>
        <v/>
      </c>
      <c r="Q87" s="344" t="str">
        <f t="shared" si="56"/>
        <v>D</v>
      </c>
      <c r="R87" s="344" t="str">
        <f t="shared" si="56"/>
        <v>D</v>
      </c>
      <c r="S87" s="344" t="str">
        <f t="shared" si="56"/>
        <v/>
      </c>
      <c r="T87" s="344" t="str">
        <f t="shared" si="56"/>
        <v>D</v>
      </c>
      <c r="U87" s="344" t="str">
        <f t="shared" si="56"/>
        <v>D</v>
      </c>
      <c r="V87" s="343" t="str">
        <f>IFERROR(VLOOKUP(V85,$AJ$8:$AK$12,2,TRUE),"")</f>
        <v>D</v>
      </c>
      <c r="W87" s="528"/>
      <c r="X87" s="528"/>
      <c r="Y87" s="545"/>
      <c r="Z87" s="548"/>
      <c r="AA87" s="542"/>
      <c r="AB87" s="249" t="s">
        <v>36</v>
      </c>
      <c r="AC87" s="250" t="s">
        <v>36</v>
      </c>
      <c r="AD87" s="554"/>
      <c r="AE87" s="510"/>
      <c r="AF87" s="508"/>
      <c r="AG87" s="558"/>
      <c r="AH87" s="503"/>
    </row>
    <row r="88" spans="1:34" s="8" customFormat="1" ht="15.75" thickBot="1" x14ac:dyDescent="0.25">
      <c r="A88" s="514">
        <v>21</v>
      </c>
      <c r="B88" s="517" t="str">
        <f>VLOOKUP(A88,biononis,2,1)</f>
        <v>181910240</v>
      </c>
      <c r="C88" s="519" t="str">
        <f>VLOOKUP(A88,biononis,3,1)</f>
        <v>NESHA RAUDHATUL ZANNAH</v>
      </c>
      <c r="D88" s="49" t="str">
        <f>B88&amp;"A"</f>
        <v>181910240A</v>
      </c>
      <c r="E88" s="235" t="s">
        <v>259</v>
      </c>
      <c r="F88" s="251">
        <v>70</v>
      </c>
      <c r="G88" s="252">
        <v>80</v>
      </c>
      <c r="H88" s="252">
        <v>81</v>
      </c>
      <c r="I88" s="252">
        <v>74</v>
      </c>
      <c r="J88" s="252">
        <v>55</v>
      </c>
      <c r="K88" s="252">
        <v>70</v>
      </c>
      <c r="L88" s="252"/>
      <c r="M88" s="252">
        <v>73</v>
      </c>
      <c r="N88" s="252">
        <v>60</v>
      </c>
      <c r="O88" s="252">
        <v>74</v>
      </c>
      <c r="P88" s="252">
        <v>72</v>
      </c>
      <c r="Q88" s="252">
        <v>82</v>
      </c>
      <c r="R88" s="252">
        <v>75</v>
      </c>
      <c r="S88" s="252">
        <v>70</v>
      </c>
      <c r="T88" s="252">
        <v>75</v>
      </c>
      <c r="U88" s="252">
        <v>75</v>
      </c>
      <c r="V88" s="238">
        <v>78</v>
      </c>
      <c r="W88" s="526" t="s">
        <v>6</v>
      </c>
      <c r="X88" s="526" t="s">
        <v>6</v>
      </c>
      <c r="Y88" s="543" t="s">
        <v>36</v>
      </c>
      <c r="Z88" s="546" t="s">
        <v>36</v>
      </c>
      <c r="AA88" s="540">
        <v>2</v>
      </c>
      <c r="AB88" s="237" t="s">
        <v>177</v>
      </c>
      <c r="AC88" s="238" t="s">
        <v>36</v>
      </c>
      <c r="AD88" s="434">
        <f>IFERROR(AVERAGE(F88:V88),"")</f>
        <v>72.75</v>
      </c>
      <c r="AE88" s="510">
        <f t="shared" ref="AE88" si="57">IFERROR((AD88+AD89)/2,"")</f>
        <v>73.316176470588232</v>
      </c>
      <c r="AF88" s="506">
        <f>IFERROR(RANK(AE88,$AE$8:$AE$167,0),"")</f>
        <v>8</v>
      </c>
      <c r="AG88" s="559" t="s">
        <v>277</v>
      </c>
      <c r="AH88" s="503" t="s">
        <v>348</v>
      </c>
    </row>
    <row r="89" spans="1:34" s="8" customFormat="1" ht="15.75" thickBot="1" x14ac:dyDescent="0.25">
      <c r="A89" s="512"/>
      <c r="B89" s="517"/>
      <c r="C89" s="519"/>
      <c r="D89" s="49" t="str">
        <f>B88&amp;"B"</f>
        <v>181910240B</v>
      </c>
      <c r="E89" s="239" t="s">
        <v>260</v>
      </c>
      <c r="F89" s="253">
        <v>70</v>
      </c>
      <c r="G89" s="240">
        <v>82</v>
      </c>
      <c r="H89" s="240">
        <v>80</v>
      </c>
      <c r="I89" s="240">
        <v>70</v>
      </c>
      <c r="J89" s="240">
        <v>55</v>
      </c>
      <c r="K89" s="240">
        <v>73</v>
      </c>
      <c r="L89" s="240">
        <v>78</v>
      </c>
      <c r="M89" s="240">
        <v>67</v>
      </c>
      <c r="N89" s="240">
        <v>65</v>
      </c>
      <c r="O89" s="240">
        <v>80</v>
      </c>
      <c r="P89" s="240">
        <v>70</v>
      </c>
      <c r="Q89" s="240">
        <v>85</v>
      </c>
      <c r="R89" s="240">
        <v>75</v>
      </c>
      <c r="S89" s="240">
        <v>75</v>
      </c>
      <c r="T89" s="240">
        <v>76</v>
      </c>
      <c r="U89" s="240">
        <v>80</v>
      </c>
      <c r="V89" s="341">
        <v>75</v>
      </c>
      <c r="W89" s="527"/>
      <c r="X89" s="527"/>
      <c r="Y89" s="544"/>
      <c r="Z89" s="547"/>
      <c r="AA89" s="541"/>
      <c r="AB89" s="241" t="s">
        <v>36</v>
      </c>
      <c r="AC89" s="242" t="s">
        <v>36</v>
      </c>
      <c r="AD89" s="435">
        <f>IFERROR(AVERAGE(F89:V89),"")</f>
        <v>73.882352941176464</v>
      </c>
      <c r="AE89" s="510"/>
      <c r="AF89" s="507"/>
      <c r="AG89" s="557"/>
      <c r="AH89" s="503"/>
    </row>
    <row r="90" spans="1:34" s="8" customFormat="1" ht="15.75" thickBot="1" x14ac:dyDescent="0.25">
      <c r="A90" s="512"/>
      <c r="B90" s="517"/>
      <c r="C90" s="519"/>
      <c r="D90" s="49" t="str">
        <f>B88&amp;"C"</f>
        <v>181910240C</v>
      </c>
      <c r="E90" s="243" t="s">
        <v>150</v>
      </c>
      <c r="F90" s="244" t="str">
        <f>IFERROR(VLOOKUP(F88,$AJ$8:$AK$12,2,TRUE),"")</f>
        <v>C</v>
      </c>
      <c r="G90" s="345" t="str">
        <f t="shared" ref="G90:V90" si="58">IFERROR(VLOOKUP(G88,$AJ$8:$AK$12,2,TRUE),"")</f>
        <v>B</v>
      </c>
      <c r="H90" s="345" t="str">
        <f t="shared" si="58"/>
        <v>B</v>
      </c>
      <c r="I90" s="345" t="str">
        <f t="shared" si="58"/>
        <v>C</v>
      </c>
      <c r="J90" s="345" t="str">
        <f t="shared" si="58"/>
        <v>D</v>
      </c>
      <c r="K90" s="345" t="str">
        <f t="shared" si="58"/>
        <v>C</v>
      </c>
      <c r="L90" s="345" t="str">
        <f t="shared" si="58"/>
        <v/>
      </c>
      <c r="M90" s="345" t="str">
        <f t="shared" si="58"/>
        <v>C</v>
      </c>
      <c r="N90" s="345" t="str">
        <f t="shared" si="58"/>
        <v>D</v>
      </c>
      <c r="O90" s="345" t="str">
        <f t="shared" si="58"/>
        <v>C</v>
      </c>
      <c r="P90" s="345" t="str">
        <f t="shared" si="58"/>
        <v>C</v>
      </c>
      <c r="Q90" s="345" t="str">
        <f t="shared" si="58"/>
        <v>B</v>
      </c>
      <c r="R90" s="345" t="str">
        <f t="shared" si="58"/>
        <v>C</v>
      </c>
      <c r="S90" s="345" t="str">
        <f t="shared" si="58"/>
        <v>C</v>
      </c>
      <c r="T90" s="345" t="str">
        <f t="shared" si="58"/>
        <v>C</v>
      </c>
      <c r="U90" s="345" t="str">
        <f t="shared" si="58"/>
        <v>C</v>
      </c>
      <c r="V90" s="342" t="str">
        <f t="shared" si="58"/>
        <v>C</v>
      </c>
      <c r="W90" s="527"/>
      <c r="X90" s="527"/>
      <c r="Y90" s="544"/>
      <c r="Z90" s="547"/>
      <c r="AA90" s="541"/>
      <c r="AB90" s="241" t="s">
        <v>36</v>
      </c>
      <c r="AC90" s="242" t="s">
        <v>36</v>
      </c>
      <c r="AD90" s="553">
        <f>SUM(F88:V89)</f>
        <v>2420</v>
      </c>
      <c r="AE90" s="510"/>
      <c r="AF90" s="507"/>
      <c r="AG90" s="557"/>
      <c r="AH90" s="503"/>
    </row>
    <row r="91" spans="1:34" s="8" customFormat="1" ht="15.75" thickBot="1" x14ac:dyDescent="0.25">
      <c r="A91" s="515"/>
      <c r="B91" s="245"/>
      <c r="C91" s="246"/>
      <c r="D91" s="49" t="str">
        <f>B88&amp;"D"</f>
        <v>181910240D</v>
      </c>
      <c r="E91" s="247" t="s">
        <v>151</v>
      </c>
      <c r="F91" s="248" t="str">
        <f>IFERROR(VLOOKUP(F89,$AJ$8:$AK$12,2,TRUE),"")</f>
        <v>C</v>
      </c>
      <c r="G91" s="344" t="str">
        <f t="shared" ref="G91:U91" si="59">IFERROR(VLOOKUP(G89,$AJ$8:$AK$12,2,TRUE),"")</f>
        <v>B</v>
      </c>
      <c r="H91" s="344" t="str">
        <f t="shared" si="59"/>
        <v>B</v>
      </c>
      <c r="I91" s="344" t="str">
        <f t="shared" si="59"/>
        <v>C</v>
      </c>
      <c r="J91" s="344" t="str">
        <f t="shared" si="59"/>
        <v>D</v>
      </c>
      <c r="K91" s="344" t="str">
        <f t="shared" si="59"/>
        <v>C</v>
      </c>
      <c r="L91" s="344" t="str">
        <f t="shared" si="59"/>
        <v>C</v>
      </c>
      <c r="M91" s="344" t="str">
        <f t="shared" si="59"/>
        <v>D</v>
      </c>
      <c r="N91" s="344" t="str">
        <f t="shared" si="59"/>
        <v>D</v>
      </c>
      <c r="O91" s="344" t="str">
        <f t="shared" si="59"/>
        <v>B</v>
      </c>
      <c r="P91" s="344" t="str">
        <f t="shared" si="59"/>
        <v>C</v>
      </c>
      <c r="Q91" s="344" t="str">
        <f t="shared" si="59"/>
        <v>B</v>
      </c>
      <c r="R91" s="344" t="str">
        <f t="shared" si="59"/>
        <v>C</v>
      </c>
      <c r="S91" s="344" t="str">
        <f t="shared" si="59"/>
        <v>C</v>
      </c>
      <c r="T91" s="344" t="str">
        <f t="shared" si="59"/>
        <v>C</v>
      </c>
      <c r="U91" s="344" t="str">
        <f t="shared" si="59"/>
        <v>B</v>
      </c>
      <c r="V91" s="343" t="str">
        <f>IFERROR(VLOOKUP(V89,$AJ$8:$AK$12,2,TRUE),"")</f>
        <v>C</v>
      </c>
      <c r="W91" s="528"/>
      <c r="X91" s="528"/>
      <c r="Y91" s="545"/>
      <c r="Z91" s="548"/>
      <c r="AA91" s="542"/>
      <c r="AB91" s="249" t="s">
        <v>36</v>
      </c>
      <c r="AC91" s="250" t="s">
        <v>36</v>
      </c>
      <c r="AD91" s="554"/>
      <c r="AE91" s="510"/>
      <c r="AF91" s="508"/>
      <c r="AG91" s="558"/>
      <c r="AH91" s="503"/>
    </row>
    <row r="92" spans="1:34" s="8" customFormat="1" ht="15.75" thickBot="1" x14ac:dyDescent="0.25">
      <c r="A92" s="511">
        <v>22</v>
      </c>
      <c r="B92" s="516" t="str">
        <f>VLOOKUP(A92,biononis,2,1)</f>
        <v>181910262</v>
      </c>
      <c r="C92" s="518" t="str">
        <f>VLOOKUP(A92,biononis,3,1)</f>
        <v>PUTRI ANGGRAENI</v>
      </c>
      <c r="D92" s="49" t="str">
        <f>B92&amp;"A"</f>
        <v>181910262A</v>
      </c>
      <c r="E92" s="235" t="s">
        <v>259</v>
      </c>
      <c r="F92" s="251">
        <v>70</v>
      </c>
      <c r="G92" s="252">
        <v>80</v>
      </c>
      <c r="H92" s="252">
        <v>75</v>
      </c>
      <c r="I92" s="252">
        <v>74</v>
      </c>
      <c r="J92" s="252">
        <v>70</v>
      </c>
      <c r="K92" s="252">
        <v>70</v>
      </c>
      <c r="L92" s="252">
        <v>76</v>
      </c>
      <c r="M92" s="252">
        <v>78</v>
      </c>
      <c r="N92" s="252">
        <v>70</v>
      </c>
      <c r="O92" s="252">
        <v>71</v>
      </c>
      <c r="P92" s="252">
        <v>72</v>
      </c>
      <c r="Q92" s="252">
        <v>84</v>
      </c>
      <c r="R92" s="252">
        <v>74</v>
      </c>
      <c r="S92" s="252">
        <v>70</v>
      </c>
      <c r="T92" s="252">
        <v>76</v>
      </c>
      <c r="U92" s="252">
        <v>75</v>
      </c>
      <c r="V92" s="238">
        <v>78</v>
      </c>
      <c r="W92" s="526" t="s">
        <v>6</v>
      </c>
      <c r="X92" s="526" t="s">
        <v>6</v>
      </c>
      <c r="Y92" s="543" t="s">
        <v>36</v>
      </c>
      <c r="Z92" s="546" t="s">
        <v>36</v>
      </c>
      <c r="AA92" s="540">
        <v>1</v>
      </c>
      <c r="AB92" s="237" t="s">
        <v>177</v>
      </c>
      <c r="AC92" s="238" t="s">
        <v>36</v>
      </c>
      <c r="AD92" s="434">
        <f>IFERROR(AVERAGE(F92:V92),"")</f>
        <v>74.294117647058826</v>
      </c>
      <c r="AE92" s="510">
        <f t="shared" ref="AE92" si="60">IFERROR((AD92+AD93)/2,"")</f>
        <v>71.64705882352942</v>
      </c>
      <c r="AF92" s="506">
        <f>IFERROR(RANK(AE92,$AE$8:$AE$167,0),"")</f>
        <v>9</v>
      </c>
      <c r="AG92" s="559" t="s">
        <v>279</v>
      </c>
      <c r="AH92" s="503" t="s">
        <v>348</v>
      </c>
    </row>
    <row r="93" spans="1:34" s="8" customFormat="1" ht="15.75" thickBot="1" x14ac:dyDescent="0.25">
      <c r="A93" s="512"/>
      <c r="B93" s="517"/>
      <c r="C93" s="519"/>
      <c r="D93" s="49" t="str">
        <f>B92&amp;"B"</f>
        <v>181910262B</v>
      </c>
      <c r="E93" s="239" t="s">
        <v>260</v>
      </c>
      <c r="F93" s="253">
        <v>70</v>
      </c>
      <c r="G93" s="240">
        <v>80</v>
      </c>
      <c r="H93" s="240">
        <v>71</v>
      </c>
      <c r="I93" s="240">
        <v>71</v>
      </c>
      <c r="J93" s="240">
        <v>70</v>
      </c>
      <c r="K93" s="240">
        <v>73</v>
      </c>
      <c r="L93" s="240">
        <v>77</v>
      </c>
      <c r="M93" s="240">
        <v>68</v>
      </c>
      <c r="N93" s="240">
        <v>60</v>
      </c>
      <c r="O93" s="240">
        <v>75</v>
      </c>
      <c r="P93" s="240">
        <v>70</v>
      </c>
      <c r="Q93" s="240">
        <v>85</v>
      </c>
      <c r="R93" s="240">
        <v>75</v>
      </c>
      <c r="S93" s="240">
        <v>0</v>
      </c>
      <c r="T93" s="240">
        <v>78</v>
      </c>
      <c r="U93" s="240">
        <v>75</v>
      </c>
      <c r="V93" s="341">
        <v>75</v>
      </c>
      <c r="W93" s="527"/>
      <c r="X93" s="527"/>
      <c r="Y93" s="544"/>
      <c r="Z93" s="547"/>
      <c r="AA93" s="541"/>
      <c r="AB93" s="241" t="s">
        <v>36</v>
      </c>
      <c r="AC93" s="242" t="s">
        <v>36</v>
      </c>
      <c r="AD93" s="435">
        <f>IFERROR(AVERAGE(F93:V93),"")</f>
        <v>69</v>
      </c>
      <c r="AE93" s="510"/>
      <c r="AF93" s="507"/>
      <c r="AG93" s="557"/>
      <c r="AH93" s="503"/>
    </row>
    <row r="94" spans="1:34" s="8" customFormat="1" ht="15.75" thickBot="1" x14ac:dyDescent="0.25">
      <c r="A94" s="512"/>
      <c r="B94" s="517"/>
      <c r="C94" s="519"/>
      <c r="D94" s="49" t="str">
        <f>B92&amp;"C"</f>
        <v>181910262C</v>
      </c>
      <c r="E94" s="243" t="s">
        <v>150</v>
      </c>
      <c r="F94" s="244" t="str">
        <f>IFERROR(VLOOKUP(F92,$AJ$8:$AK$12,2,TRUE),"")</f>
        <v>C</v>
      </c>
      <c r="G94" s="345" t="str">
        <f t="shared" ref="G94:V94" si="61">IFERROR(VLOOKUP(G92,$AJ$8:$AK$12,2,TRUE),"")</f>
        <v>B</v>
      </c>
      <c r="H94" s="345" t="str">
        <f t="shared" si="61"/>
        <v>C</v>
      </c>
      <c r="I94" s="345" t="str">
        <f t="shared" si="61"/>
        <v>C</v>
      </c>
      <c r="J94" s="345" t="str">
        <f t="shared" si="61"/>
        <v>C</v>
      </c>
      <c r="K94" s="345" t="str">
        <f t="shared" si="61"/>
        <v>C</v>
      </c>
      <c r="L94" s="345" t="str">
        <f t="shared" si="61"/>
        <v>C</v>
      </c>
      <c r="M94" s="345" t="str">
        <f t="shared" si="61"/>
        <v>C</v>
      </c>
      <c r="N94" s="345" t="str">
        <f t="shared" si="61"/>
        <v>C</v>
      </c>
      <c r="O94" s="345" t="str">
        <f t="shared" si="61"/>
        <v>C</v>
      </c>
      <c r="P94" s="345" t="str">
        <f t="shared" si="61"/>
        <v>C</v>
      </c>
      <c r="Q94" s="345" t="str">
        <f t="shared" si="61"/>
        <v>B</v>
      </c>
      <c r="R94" s="345" t="str">
        <f t="shared" si="61"/>
        <v>C</v>
      </c>
      <c r="S94" s="345" t="str">
        <f t="shared" si="61"/>
        <v>C</v>
      </c>
      <c r="T94" s="345" t="str">
        <f t="shared" si="61"/>
        <v>C</v>
      </c>
      <c r="U94" s="345" t="str">
        <f t="shared" si="61"/>
        <v>C</v>
      </c>
      <c r="V94" s="342" t="str">
        <f t="shared" si="61"/>
        <v>C</v>
      </c>
      <c r="W94" s="527"/>
      <c r="X94" s="527"/>
      <c r="Y94" s="544"/>
      <c r="Z94" s="547"/>
      <c r="AA94" s="541"/>
      <c r="AB94" s="241" t="s">
        <v>36</v>
      </c>
      <c r="AC94" s="242" t="s">
        <v>36</v>
      </c>
      <c r="AD94" s="553">
        <f>SUM(F92:V93)</f>
        <v>2436</v>
      </c>
      <c r="AE94" s="510"/>
      <c r="AF94" s="507"/>
      <c r="AG94" s="557"/>
      <c r="AH94" s="503"/>
    </row>
    <row r="95" spans="1:34" s="8" customFormat="1" ht="15.75" thickBot="1" x14ac:dyDescent="0.25">
      <c r="A95" s="513"/>
      <c r="B95" s="254"/>
      <c r="C95" s="255"/>
      <c r="D95" s="49" t="str">
        <f>B92&amp;"D"</f>
        <v>181910262D</v>
      </c>
      <c r="E95" s="247" t="s">
        <v>151</v>
      </c>
      <c r="F95" s="248" t="str">
        <f>IFERROR(VLOOKUP(F93,$AJ$8:$AK$12,2,TRUE),"")</f>
        <v>C</v>
      </c>
      <c r="G95" s="344" t="str">
        <f t="shared" ref="G95:U95" si="62">IFERROR(VLOOKUP(G93,$AJ$8:$AK$12,2,TRUE),"")</f>
        <v>B</v>
      </c>
      <c r="H95" s="344" t="str">
        <f t="shared" si="62"/>
        <v>C</v>
      </c>
      <c r="I95" s="344" t="str">
        <f t="shared" si="62"/>
        <v>C</v>
      </c>
      <c r="J95" s="344" t="str">
        <f t="shared" si="62"/>
        <v>C</v>
      </c>
      <c r="K95" s="344" t="str">
        <f t="shared" si="62"/>
        <v>C</v>
      </c>
      <c r="L95" s="344" t="str">
        <f t="shared" si="62"/>
        <v>C</v>
      </c>
      <c r="M95" s="344" t="str">
        <f t="shared" si="62"/>
        <v>D</v>
      </c>
      <c r="N95" s="344" t="str">
        <f t="shared" si="62"/>
        <v>D</v>
      </c>
      <c r="O95" s="344" t="str">
        <f t="shared" si="62"/>
        <v>C</v>
      </c>
      <c r="P95" s="344" t="str">
        <f t="shared" si="62"/>
        <v>C</v>
      </c>
      <c r="Q95" s="344" t="str">
        <f t="shared" si="62"/>
        <v>B</v>
      </c>
      <c r="R95" s="344" t="str">
        <f t="shared" si="62"/>
        <v>C</v>
      </c>
      <c r="S95" s="344" t="str">
        <f t="shared" si="62"/>
        <v/>
      </c>
      <c r="T95" s="344" t="str">
        <f t="shared" si="62"/>
        <v>C</v>
      </c>
      <c r="U95" s="344" t="str">
        <f t="shared" si="62"/>
        <v>C</v>
      </c>
      <c r="V95" s="343" t="str">
        <f>IFERROR(VLOOKUP(V93,$AJ$8:$AK$12,2,TRUE),"")</f>
        <v>C</v>
      </c>
      <c r="W95" s="528"/>
      <c r="X95" s="528"/>
      <c r="Y95" s="545"/>
      <c r="Z95" s="548"/>
      <c r="AA95" s="542"/>
      <c r="AB95" s="249" t="s">
        <v>36</v>
      </c>
      <c r="AC95" s="250" t="s">
        <v>36</v>
      </c>
      <c r="AD95" s="554"/>
      <c r="AE95" s="510"/>
      <c r="AF95" s="508"/>
      <c r="AG95" s="558"/>
      <c r="AH95" s="503"/>
    </row>
    <row r="96" spans="1:34" s="8" customFormat="1" ht="15.75" thickBot="1" x14ac:dyDescent="0.25">
      <c r="A96" s="514">
        <v>23</v>
      </c>
      <c r="B96" s="517" t="str">
        <f>VLOOKUP(A96,biononis,2,1)</f>
        <v>181910266</v>
      </c>
      <c r="C96" s="519" t="str">
        <f>VLOOKUP(A96,biononis,3,1)</f>
        <v>PUTRI WULANDARI</v>
      </c>
      <c r="D96" s="49" t="str">
        <f>B96&amp;"A"</f>
        <v>181910266A</v>
      </c>
      <c r="E96" s="235" t="s">
        <v>259</v>
      </c>
      <c r="F96" s="251">
        <v>70</v>
      </c>
      <c r="G96" s="252">
        <v>78</v>
      </c>
      <c r="H96" s="252">
        <v>80</v>
      </c>
      <c r="I96" s="252">
        <v>72</v>
      </c>
      <c r="J96" s="252">
        <v>70</v>
      </c>
      <c r="K96" s="252">
        <v>70</v>
      </c>
      <c r="L96" s="252">
        <v>75</v>
      </c>
      <c r="M96" s="252">
        <v>80</v>
      </c>
      <c r="N96" s="252">
        <v>65</v>
      </c>
      <c r="O96" s="252">
        <v>71</v>
      </c>
      <c r="P96" s="252">
        <v>74</v>
      </c>
      <c r="Q96" s="252">
        <v>79</v>
      </c>
      <c r="R96" s="252">
        <v>74</v>
      </c>
      <c r="S96" s="252">
        <v>70</v>
      </c>
      <c r="T96" s="252">
        <v>74</v>
      </c>
      <c r="U96" s="252">
        <v>75</v>
      </c>
      <c r="V96" s="238">
        <v>78</v>
      </c>
      <c r="W96" s="526" t="s">
        <v>6</v>
      </c>
      <c r="X96" s="526" t="s">
        <v>6</v>
      </c>
      <c r="Y96" s="543" t="s">
        <v>36</v>
      </c>
      <c r="Z96" s="546" t="s">
        <v>36</v>
      </c>
      <c r="AA96" s="540">
        <v>5</v>
      </c>
      <c r="AB96" s="237" t="s">
        <v>177</v>
      </c>
      <c r="AC96" s="238" t="s">
        <v>36</v>
      </c>
      <c r="AD96" s="434">
        <f>IFERROR(AVERAGE(F96:V96),"")</f>
        <v>73.82352941176471</v>
      </c>
      <c r="AE96" s="510">
        <f t="shared" ref="AE96" si="63">IFERROR((AD96+AD97)/2,"")</f>
        <v>74</v>
      </c>
      <c r="AF96" s="506">
        <f>IFERROR(RANK(AE96,$AE$8:$AE$167,0),"")</f>
        <v>7</v>
      </c>
      <c r="AG96" s="559" t="s">
        <v>277</v>
      </c>
      <c r="AH96" s="503" t="s">
        <v>348</v>
      </c>
    </row>
    <row r="97" spans="1:34" s="8" customFormat="1" ht="15.75" thickBot="1" x14ac:dyDescent="0.25">
      <c r="A97" s="512"/>
      <c r="B97" s="517"/>
      <c r="C97" s="519"/>
      <c r="D97" s="49" t="str">
        <f>B96&amp;"B"</f>
        <v>181910266B</v>
      </c>
      <c r="E97" s="239" t="s">
        <v>260</v>
      </c>
      <c r="F97" s="253">
        <v>70</v>
      </c>
      <c r="G97" s="240">
        <v>75</v>
      </c>
      <c r="H97" s="240">
        <v>75</v>
      </c>
      <c r="I97" s="240">
        <v>70</v>
      </c>
      <c r="J97" s="240">
        <v>70</v>
      </c>
      <c r="K97" s="240">
        <v>68</v>
      </c>
      <c r="L97" s="240">
        <v>75</v>
      </c>
      <c r="M97" s="240">
        <v>82</v>
      </c>
      <c r="N97" s="240">
        <v>65</v>
      </c>
      <c r="O97" s="240">
        <v>80</v>
      </c>
      <c r="P97" s="240">
        <v>70</v>
      </c>
      <c r="Q97" s="240">
        <v>80</v>
      </c>
      <c r="R97" s="240">
        <v>74</v>
      </c>
      <c r="S97" s="240">
        <v>80</v>
      </c>
      <c r="T97" s="240">
        <v>77</v>
      </c>
      <c r="U97" s="240">
        <v>75</v>
      </c>
      <c r="V97" s="341">
        <v>75</v>
      </c>
      <c r="W97" s="527"/>
      <c r="X97" s="527"/>
      <c r="Y97" s="544"/>
      <c r="Z97" s="547"/>
      <c r="AA97" s="541"/>
      <c r="AB97" s="241" t="s">
        <v>36</v>
      </c>
      <c r="AC97" s="242" t="s">
        <v>36</v>
      </c>
      <c r="AD97" s="435">
        <f>IFERROR(AVERAGE(F97:V97),"")</f>
        <v>74.17647058823529</v>
      </c>
      <c r="AE97" s="510"/>
      <c r="AF97" s="507"/>
      <c r="AG97" s="557"/>
      <c r="AH97" s="503"/>
    </row>
    <row r="98" spans="1:34" s="8" customFormat="1" ht="15.75" thickBot="1" x14ac:dyDescent="0.25">
      <c r="A98" s="512"/>
      <c r="B98" s="517"/>
      <c r="C98" s="519"/>
      <c r="D98" s="49" t="str">
        <f>B96&amp;"C"</f>
        <v>181910266C</v>
      </c>
      <c r="E98" s="243" t="s">
        <v>150</v>
      </c>
      <c r="F98" s="244" t="str">
        <f>IFERROR(VLOOKUP(F96,$AJ$8:$AK$12,2,TRUE),"")</f>
        <v>C</v>
      </c>
      <c r="G98" s="345" t="str">
        <f t="shared" ref="G98:V98" si="64">IFERROR(VLOOKUP(G96,$AJ$8:$AK$12,2,TRUE),"")</f>
        <v>C</v>
      </c>
      <c r="H98" s="345" t="str">
        <f t="shared" si="64"/>
        <v>B</v>
      </c>
      <c r="I98" s="345" t="str">
        <f t="shared" si="64"/>
        <v>C</v>
      </c>
      <c r="J98" s="345" t="str">
        <f t="shared" si="64"/>
        <v>C</v>
      </c>
      <c r="K98" s="345" t="str">
        <f t="shared" si="64"/>
        <v>C</v>
      </c>
      <c r="L98" s="345" t="str">
        <f t="shared" si="64"/>
        <v>C</v>
      </c>
      <c r="M98" s="345" t="str">
        <f t="shared" si="64"/>
        <v>B</v>
      </c>
      <c r="N98" s="345" t="str">
        <f t="shared" si="64"/>
        <v>D</v>
      </c>
      <c r="O98" s="345" t="str">
        <f t="shared" si="64"/>
        <v>C</v>
      </c>
      <c r="P98" s="345" t="str">
        <f t="shared" si="64"/>
        <v>C</v>
      </c>
      <c r="Q98" s="345" t="str">
        <f t="shared" si="64"/>
        <v>C</v>
      </c>
      <c r="R98" s="345" t="str">
        <f t="shared" si="64"/>
        <v>C</v>
      </c>
      <c r="S98" s="345" t="str">
        <f t="shared" si="64"/>
        <v>C</v>
      </c>
      <c r="T98" s="345" t="str">
        <f t="shared" si="64"/>
        <v>C</v>
      </c>
      <c r="U98" s="345" t="str">
        <f t="shared" si="64"/>
        <v>C</v>
      </c>
      <c r="V98" s="342" t="str">
        <f t="shared" si="64"/>
        <v>C</v>
      </c>
      <c r="W98" s="527"/>
      <c r="X98" s="527"/>
      <c r="Y98" s="544"/>
      <c r="Z98" s="547"/>
      <c r="AA98" s="541"/>
      <c r="AB98" s="241" t="s">
        <v>36</v>
      </c>
      <c r="AC98" s="242" t="s">
        <v>36</v>
      </c>
      <c r="AD98" s="553">
        <f>SUM(F96:V97)</f>
        <v>2516</v>
      </c>
      <c r="AE98" s="510"/>
      <c r="AF98" s="507"/>
      <c r="AG98" s="557"/>
      <c r="AH98" s="503"/>
    </row>
    <row r="99" spans="1:34" s="8" customFormat="1" ht="15.75" thickBot="1" x14ac:dyDescent="0.25">
      <c r="A99" s="515"/>
      <c r="B99" s="245"/>
      <c r="C99" s="246"/>
      <c r="D99" s="49" t="str">
        <f>B96&amp;"D"</f>
        <v>181910266D</v>
      </c>
      <c r="E99" s="247" t="s">
        <v>151</v>
      </c>
      <c r="F99" s="248" t="str">
        <f>IFERROR(VLOOKUP(F97,$AJ$8:$AK$12,2,TRUE),"")</f>
        <v>C</v>
      </c>
      <c r="G99" s="344" t="str">
        <f t="shared" ref="G99:U99" si="65">IFERROR(VLOOKUP(G97,$AJ$8:$AK$12,2,TRUE),"")</f>
        <v>C</v>
      </c>
      <c r="H99" s="344" t="str">
        <f t="shared" si="65"/>
        <v>C</v>
      </c>
      <c r="I99" s="344" t="str">
        <f t="shared" si="65"/>
        <v>C</v>
      </c>
      <c r="J99" s="344" t="str">
        <f t="shared" si="65"/>
        <v>C</v>
      </c>
      <c r="K99" s="344" t="str">
        <f t="shared" si="65"/>
        <v>D</v>
      </c>
      <c r="L99" s="344" t="str">
        <f t="shared" si="65"/>
        <v>C</v>
      </c>
      <c r="M99" s="344" t="str">
        <f t="shared" si="65"/>
        <v>B</v>
      </c>
      <c r="N99" s="344" t="str">
        <f t="shared" si="65"/>
        <v>D</v>
      </c>
      <c r="O99" s="344" t="str">
        <f t="shared" si="65"/>
        <v>B</v>
      </c>
      <c r="P99" s="344" t="str">
        <f t="shared" si="65"/>
        <v>C</v>
      </c>
      <c r="Q99" s="344" t="str">
        <f t="shared" si="65"/>
        <v>B</v>
      </c>
      <c r="R99" s="344" t="str">
        <f t="shared" si="65"/>
        <v>C</v>
      </c>
      <c r="S99" s="344" t="str">
        <f t="shared" si="65"/>
        <v>B</v>
      </c>
      <c r="T99" s="344" t="str">
        <f t="shared" si="65"/>
        <v>C</v>
      </c>
      <c r="U99" s="344" t="str">
        <f t="shared" si="65"/>
        <v>C</v>
      </c>
      <c r="V99" s="343" t="str">
        <f>IFERROR(VLOOKUP(V97,$AJ$8:$AK$12,2,TRUE),"")</f>
        <v>C</v>
      </c>
      <c r="W99" s="528"/>
      <c r="X99" s="528"/>
      <c r="Y99" s="545"/>
      <c r="Z99" s="548"/>
      <c r="AA99" s="542"/>
      <c r="AB99" s="249" t="s">
        <v>36</v>
      </c>
      <c r="AC99" s="250" t="s">
        <v>36</v>
      </c>
      <c r="AD99" s="554"/>
      <c r="AE99" s="510"/>
      <c r="AF99" s="508"/>
      <c r="AG99" s="558"/>
      <c r="AH99" s="503"/>
    </row>
    <row r="100" spans="1:34" s="8" customFormat="1" ht="15.75" thickBot="1" x14ac:dyDescent="0.25">
      <c r="A100" s="511">
        <v>24</v>
      </c>
      <c r="B100" s="516" t="str">
        <f>VLOOKUP(A100,biononis,2,1)</f>
        <v>181910272</v>
      </c>
      <c r="C100" s="518" t="str">
        <f>VLOOKUP(A100,biononis,3,1)</f>
        <v>RAFLY GYMNASTIAR</v>
      </c>
      <c r="D100" s="49" t="str">
        <f>B100&amp;"A"</f>
        <v>181910272A</v>
      </c>
      <c r="E100" s="235" t="s">
        <v>259</v>
      </c>
      <c r="F100" s="251">
        <v>60</v>
      </c>
      <c r="G100" s="252">
        <v>40</v>
      </c>
      <c r="H100" s="252">
        <v>67</v>
      </c>
      <c r="I100" s="252">
        <v>43</v>
      </c>
      <c r="J100" s="252">
        <v>23</v>
      </c>
      <c r="K100" s="252">
        <v>41</v>
      </c>
      <c r="L100" s="252">
        <v>73</v>
      </c>
      <c r="M100" s="252">
        <v>0</v>
      </c>
      <c r="N100" s="252">
        <v>40</v>
      </c>
      <c r="O100" s="252">
        <v>13</v>
      </c>
      <c r="P100" s="252">
        <v>5</v>
      </c>
      <c r="Q100" s="252">
        <v>60</v>
      </c>
      <c r="R100" s="252">
        <v>60</v>
      </c>
      <c r="S100" s="252">
        <v>60</v>
      </c>
      <c r="T100" s="252">
        <v>10</v>
      </c>
      <c r="U100" s="252">
        <v>50</v>
      </c>
      <c r="V100" s="238">
        <v>70</v>
      </c>
      <c r="W100" s="526" t="s">
        <v>6</v>
      </c>
      <c r="X100" s="526" t="s">
        <v>6</v>
      </c>
      <c r="Y100" s="543" t="s">
        <v>36</v>
      </c>
      <c r="Z100" s="546" t="s">
        <v>36</v>
      </c>
      <c r="AA100" s="540">
        <v>10</v>
      </c>
      <c r="AB100" s="237" t="s">
        <v>177</v>
      </c>
      <c r="AC100" s="238" t="s">
        <v>36</v>
      </c>
      <c r="AD100" s="434">
        <f>IFERROR(AVERAGE(F100:V100),"")</f>
        <v>42.058823529411768</v>
      </c>
      <c r="AE100" s="510">
        <f t="shared" ref="AE100" si="66">IFERROR((AD100+AD101)/2,"")</f>
        <v>40.970588235294116</v>
      </c>
      <c r="AF100" s="506">
        <f>IFERROR(RANK(AE100,$AE$8:$AE$167,0),"")</f>
        <v>31</v>
      </c>
      <c r="AG100" s="559" t="s">
        <v>280</v>
      </c>
      <c r="AH100" s="503" t="s">
        <v>330</v>
      </c>
    </row>
    <row r="101" spans="1:34" s="8" customFormat="1" ht="15.75" thickBot="1" x14ac:dyDescent="0.25">
      <c r="A101" s="512"/>
      <c r="B101" s="517"/>
      <c r="C101" s="519"/>
      <c r="D101" s="49" t="str">
        <f>B100&amp;"B"</f>
        <v>181910272B</v>
      </c>
      <c r="E101" s="239" t="s">
        <v>260</v>
      </c>
      <c r="F101" s="253">
        <v>60</v>
      </c>
      <c r="G101" s="240">
        <v>50</v>
      </c>
      <c r="H101" s="240">
        <v>60</v>
      </c>
      <c r="I101" s="240">
        <v>45</v>
      </c>
      <c r="J101" s="240">
        <v>23</v>
      </c>
      <c r="K101" s="240">
        <v>66</v>
      </c>
      <c r="L101" s="240">
        <v>74</v>
      </c>
      <c r="M101" s="240">
        <v>0</v>
      </c>
      <c r="N101" s="240">
        <v>40</v>
      </c>
      <c r="O101" s="240">
        <v>0</v>
      </c>
      <c r="P101" s="240">
        <v>0</v>
      </c>
      <c r="Q101" s="240">
        <v>60</v>
      </c>
      <c r="R101" s="240">
        <v>60</v>
      </c>
      <c r="S101" s="240">
        <v>0</v>
      </c>
      <c r="T101" s="240">
        <v>10</v>
      </c>
      <c r="U101" s="240">
        <v>70</v>
      </c>
      <c r="V101" s="341">
        <v>60</v>
      </c>
      <c r="W101" s="527"/>
      <c r="X101" s="527"/>
      <c r="Y101" s="544"/>
      <c r="Z101" s="547"/>
      <c r="AA101" s="541"/>
      <c r="AB101" s="241" t="s">
        <v>36</v>
      </c>
      <c r="AC101" s="242" t="s">
        <v>36</v>
      </c>
      <c r="AD101" s="435">
        <f>IFERROR(AVERAGE(F101:V101),"")</f>
        <v>39.882352941176471</v>
      </c>
      <c r="AE101" s="510"/>
      <c r="AF101" s="507"/>
      <c r="AG101" s="557"/>
      <c r="AH101" s="503"/>
    </row>
    <row r="102" spans="1:34" s="8" customFormat="1" ht="15.75" thickBot="1" x14ac:dyDescent="0.25">
      <c r="A102" s="512"/>
      <c r="B102" s="517"/>
      <c r="C102" s="519"/>
      <c r="D102" s="49" t="str">
        <f>B100&amp;"C"</f>
        <v>181910272C</v>
      </c>
      <c r="E102" s="243" t="s">
        <v>150</v>
      </c>
      <c r="F102" s="244" t="str">
        <f>IFERROR(VLOOKUP(F100,$AJ$8:$AK$12,2,TRUE),"")</f>
        <v>D</v>
      </c>
      <c r="G102" s="345" t="str">
        <f t="shared" ref="G102:V102" si="67">IFERROR(VLOOKUP(G100,$AJ$8:$AK$12,2,TRUE),"")</f>
        <v>D</v>
      </c>
      <c r="H102" s="345" t="str">
        <f t="shared" si="67"/>
        <v>D</v>
      </c>
      <c r="I102" s="345" t="str">
        <f t="shared" si="67"/>
        <v>D</v>
      </c>
      <c r="J102" s="345" t="str">
        <f t="shared" si="67"/>
        <v>D</v>
      </c>
      <c r="K102" s="345" t="str">
        <f t="shared" si="67"/>
        <v>D</v>
      </c>
      <c r="L102" s="345" t="str">
        <f t="shared" si="67"/>
        <v>C</v>
      </c>
      <c r="M102" s="345" t="str">
        <f t="shared" si="67"/>
        <v/>
      </c>
      <c r="N102" s="345" t="str">
        <f t="shared" si="67"/>
        <v>D</v>
      </c>
      <c r="O102" s="345" t="str">
        <f t="shared" si="67"/>
        <v>D</v>
      </c>
      <c r="P102" s="345" t="str">
        <f t="shared" si="67"/>
        <v/>
      </c>
      <c r="Q102" s="345" t="str">
        <f t="shared" si="67"/>
        <v>D</v>
      </c>
      <c r="R102" s="345" t="str">
        <f t="shared" si="67"/>
        <v>D</v>
      </c>
      <c r="S102" s="345" t="str">
        <f t="shared" si="67"/>
        <v>D</v>
      </c>
      <c r="T102" s="345" t="str">
        <f t="shared" si="67"/>
        <v>D</v>
      </c>
      <c r="U102" s="345" t="str">
        <f t="shared" si="67"/>
        <v>D</v>
      </c>
      <c r="V102" s="342" t="str">
        <f t="shared" si="67"/>
        <v>C</v>
      </c>
      <c r="W102" s="527"/>
      <c r="X102" s="527"/>
      <c r="Y102" s="544"/>
      <c r="Z102" s="547"/>
      <c r="AA102" s="541"/>
      <c r="AB102" s="241" t="s">
        <v>36</v>
      </c>
      <c r="AC102" s="242" t="s">
        <v>36</v>
      </c>
      <c r="AD102" s="553">
        <f>SUM(F100:V101)</f>
        <v>1393</v>
      </c>
      <c r="AE102" s="510"/>
      <c r="AF102" s="507"/>
      <c r="AG102" s="557"/>
      <c r="AH102" s="503"/>
    </row>
    <row r="103" spans="1:34" s="8" customFormat="1" ht="15.75" thickBot="1" x14ac:dyDescent="0.25">
      <c r="A103" s="513"/>
      <c r="B103" s="254"/>
      <c r="C103" s="255"/>
      <c r="D103" s="49" t="str">
        <f>B100&amp;"D"</f>
        <v>181910272D</v>
      </c>
      <c r="E103" s="247" t="s">
        <v>151</v>
      </c>
      <c r="F103" s="248" t="str">
        <f>IFERROR(VLOOKUP(F101,$AJ$8:$AK$12,2,TRUE),"")</f>
        <v>D</v>
      </c>
      <c r="G103" s="344" t="str">
        <f t="shared" ref="G103:U103" si="68">IFERROR(VLOOKUP(G101,$AJ$8:$AK$12,2,TRUE),"")</f>
        <v>D</v>
      </c>
      <c r="H103" s="344" t="str">
        <f t="shared" si="68"/>
        <v>D</v>
      </c>
      <c r="I103" s="344" t="str">
        <f t="shared" si="68"/>
        <v>D</v>
      </c>
      <c r="J103" s="344" t="str">
        <f t="shared" si="68"/>
        <v>D</v>
      </c>
      <c r="K103" s="344" t="str">
        <f t="shared" si="68"/>
        <v>D</v>
      </c>
      <c r="L103" s="344" t="str">
        <f t="shared" si="68"/>
        <v>C</v>
      </c>
      <c r="M103" s="344" t="str">
        <f t="shared" si="68"/>
        <v/>
      </c>
      <c r="N103" s="344" t="str">
        <f t="shared" si="68"/>
        <v>D</v>
      </c>
      <c r="O103" s="344" t="str">
        <f t="shared" si="68"/>
        <v/>
      </c>
      <c r="P103" s="344" t="str">
        <f t="shared" si="68"/>
        <v/>
      </c>
      <c r="Q103" s="344" t="str">
        <f t="shared" si="68"/>
        <v>D</v>
      </c>
      <c r="R103" s="344" t="str">
        <f t="shared" si="68"/>
        <v>D</v>
      </c>
      <c r="S103" s="344" t="str">
        <f t="shared" si="68"/>
        <v/>
      </c>
      <c r="T103" s="344" t="str">
        <f t="shared" si="68"/>
        <v>D</v>
      </c>
      <c r="U103" s="344" t="str">
        <f t="shared" si="68"/>
        <v>C</v>
      </c>
      <c r="V103" s="343" t="str">
        <f>IFERROR(VLOOKUP(V101,$AJ$8:$AK$12,2,TRUE),"")</f>
        <v>D</v>
      </c>
      <c r="W103" s="528"/>
      <c r="X103" s="528"/>
      <c r="Y103" s="545"/>
      <c r="Z103" s="548"/>
      <c r="AA103" s="542"/>
      <c r="AB103" s="249" t="s">
        <v>36</v>
      </c>
      <c r="AC103" s="250" t="s">
        <v>36</v>
      </c>
      <c r="AD103" s="554"/>
      <c r="AE103" s="510"/>
      <c r="AF103" s="508"/>
      <c r="AG103" s="558"/>
      <c r="AH103" s="503"/>
    </row>
    <row r="104" spans="1:34" s="8" customFormat="1" ht="15.75" thickBot="1" x14ac:dyDescent="0.25">
      <c r="A104" s="514">
        <v>25</v>
      </c>
      <c r="B104" s="517" t="str">
        <f>VLOOKUP(A104,biononis,2,1)</f>
        <v>181910280</v>
      </c>
      <c r="C104" s="519" t="str">
        <f>VLOOKUP(A104,biononis,3,1)</f>
        <v>REFIANA</v>
      </c>
      <c r="D104" s="49" t="str">
        <f>B104&amp;"A"</f>
        <v>181910280A</v>
      </c>
      <c r="E104" s="235" t="s">
        <v>259</v>
      </c>
      <c r="F104" s="251">
        <v>70</v>
      </c>
      <c r="G104" s="252">
        <v>60</v>
      </c>
      <c r="H104" s="252">
        <v>66</v>
      </c>
      <c r="I104" s="252">
        <v>71</v>
      </c>
      <c r="J104" s="252">
        <v>32</v>
      </c>
      <c r="K104" s="252">
        <v>57</v>
      </c>
      <c r="L104" s="252"/>
      <c r="M104" s="252">
        <v>0</v>
      </c>
      <c r="N104" s="252">
        <v>60</v>
      </c>
      <c r="O104" s="252">
        <v>13</v>
      </c>
      <c r="P104" s="252">
        <v>50</v>
      </c>
      <c r="Q104" s="252">
        <v>85</v>
      </c>
      <c r="R104" s="252">
        <v>60</v>
      </c>
      <c r="S104" s="252">
        <v>70</v>
      </c>
      <c r="T104" s="252">
        <v>0</v>
      </c>
      <c r="U104" s="252">
        <v>70</v>
      </c>
      <c r="V104" s="238">
        <v>0</v>
      </c>
      <c r="W104" s="526" t="s">
        <v>6</v>
      </c>
      <c r="X104" s="526" t="s">
        <v>6</v>
      </c>
      <c r="Y104" s="543" t="s">
        <v>36</v>
      </c>
      <c r="Z104" s="546" t="s">
        <v>36</v>
      </c>
      <c r="AA104" s="540">
        <v>15</v>
      </c>
      <c r="AB104" s="237" t="s">
        <v>177</v>
      </c>
      <c r="AC104" s="238" t="s">
        <v>36</v>
      </c>
      <c r="AD104" s="434">
        <f>IFERROR(AVERAGE(F104:V104),"")</f>
        <v>47.75</v>
      </c>
      <c r="AE104" s="510">
        <f t="shared" ref="AE104" si="69">IFERROR((AD104+AD105)/2,"")</f>
        <v>46.875</v>
      </c>
      <c r="AF104" s="506">
        <f>IFERROR(RANK(AE104,$AE$8:$AE$167,0),"")</f>
        <v>27</v>
      </c>
      <c r="AG104" s="559" t="s">
        <v>280</v>
      </c>
      <c r="AH104" s="503" t="s">
        <v>330</v>
      </c>
    </row>
    <row r="105" spans="1:34" s="8" customFormat="1" ht="15.75" thickBot="1" x14ac:dyDescent="0.25">
      <c r="A105" s="512"/>
      <c r="B105" s="517"/>
      <c r="C105" s="519"/>
      <c r="D105" s="49" t="str">
        <f>B104&amp;"B"</f>
        <v>181910280B</v>
      </c>
      <c r="E105" s="239" t="s">
        <v>260</v>
      </c>
      <c r="F105" s="253">
        <v>70</v>
      </c>
      <c r="G105" s="240">
        <v>70</v>
      </c>
      <c r="H105" s="240">
        <v>61</v>
      </c>
      <c r="I105" s="240">
        <v>75</v>
      </c>
      <c r="J105" s="240">
        <v>32</v>
      </c>
      <c r="K105" s="240">
        <v>69</v>
      </c>
      <c r="L105" s="240">
        <v>70</v>
      </c>
      <c r="M105" s="240">
        <v>0</v>
      </c>
      <c r="N105" s="240">
        <v>65</v>
      </c>
      <c r="O105" s="240">
        <v>0</v>
      </c>
      <c r="P105" s="240">
        <v>0</v>
      </c>
      <c r="Q105" s="240">
        <v>80</v>
      </c>
      <c r="R105" s="240">
        <v>60</v>
      </c>
      <c r="S105" s="240">
        <v>70</v>
      </c>
      <c r="T105" s="240">
        <v>0</v>
      </c>
      <c r="U105" s="240">
        <v>60</v>
      </c>
      <c r="V105" s="341">
        <v>0</v>
      </c>
      <c r="W105" s="527"/>
      <c r="X105" s="527"/>
      <c r="Y105" s="544"/>
      <c r="Z105" s="547"/>
      <c r="AA105" s="541"/>
      <c r="AB105" s="241" t="s">
        <v>36</v>
      </c>
      <c r="AC105" s="242" t="s">
        <v>36</v>
      </c>
      <c r="AD105" s="435">
        <f>IFERROR(AVERAGE(F105:V105),"")</f>
        <v>46</v>
      </c>
      <c r="AE105" s="510"/>
      <c r="AF105" s="507"/>
      <c r="AG105" s="557"/>
      <c r="AH105" s="503"/>
    </row>
    <row r="106" spans="1:34" s="8" customFormat="1" ht="15.75" thickBot="1" x14ac:dyDescent="0.25">
      <c r="A106" s="512"/>
      <c r="B106" s="517"/>
      <c r="C106" s="519"/>
      <c r="D106" s="49" t="str">
        <f>B104&amp;"C"</f>
        <v>181910280C</v>
      </c>
      <c r="E106" s="243" t="s">
        <v>150</v>
      </c>
      <c r="F106" s="244" t="str">
        <f>IFERROR(VLOOKUP(F104,$AJ$8:$AK$12,2,TRUE),"")</f>
        <v>C</v>
      </c>
      <c r="G106" s="345" t="str">
        <f t="shared" ref="G106:V106" si="70">IFERROR(VLOOKUP(G104,$AJ$8:$AK$12,2,TRUE),"")</f>
        <v>D</v>
      </c>
      <c r="H106" s="345" t="str">
        <f t="shared" si="70"/>
        <v>D</v>
      </c>
      <c r="I106" s="345" t="str">
        <f t="shared" si="70"/>
        <v>C</v>
      </c>
      <c r="J106" s="345" t="str">
        <f t="shared" si="70"/>
        <v>D</v>
      </c>
      <c r="K106" s="345" t="str">
        <f t="shared" si="70"/>
        <v>D</v>
      </c>
      <c r="L106" s="345" t="str">
        <f t="shared" si="70"/>
        <v/>
      </c>
      <c r="M106" s="345" t="str">
        <f t="shared" si="70"/>
        <v/>
      </c>
      <c r="N106" s="345" t="str">
        <f t="shared" si="70"/>
        <v>D</v>
      </c>
      <c r="O106" s="345" t="str">
        <f t="shared" si="70"/>
        <v>D</v>
      </c>
      <c r="P106" s="345" t="str">
        <f t="shared" si="70"/>
        <v>D</v>
      </c>
      <c r="Q106" s="345" t="str">
        <f t="shared" si="70"/>
        <v>B</v>
      </c>
      <c r="R106" s="345" t="str">
        <f t="shared" si="70"/>
        <v>D</v>
      </c>
      <c r="S106" s="345" t="str">
        <f t="shared" si="70"/>
        <v>C</v>
      </c>
      <c r="T106" s="345" t="str">
        <f t="shared" si="70"/>
        <v/>
      </c>
      <c r="U106" s="345" t="str">
        <f t="shared" si="70"/>
        <v>C</v>
      </c>
      <c r="V106" s="342" t="str">
        <f t="shared" si="70"/>
        <v/>
      </c>
      <c r="W106" s="527"/>
      <c r="X106" s="527"/>
      <c r="Y106" s="544"/>
      <c r="Z106" s="547"/>
      <c r="AA106" s="541"/>
      <c r="AB106" s="241" t="s">
        <v>36</v>
      </c>
      <c r="AC106" s="242" t="s">
        <v>36</v>
      </c>
      <c r="AD106" s="553">
        <f>SUM(F104:V105)</f>
        <v>1546</v>
      </c>
      <c r="AE106" s="510"/>
      <c r="AF106" s="507"/>
      <c r="AG106" s="557"/>
      <c r="AH106" s="503"/>
    </row>
    <row r="107" spans="1:34" s="8" customFormat="1" ht="15.75" thickBot="1" x14ac:dyDescent="0.25">
      <c r="A107" s="515"/>
      <c r="B107" s="245"/>
      <c r="C107" s="246"/>
      <c r="D107" s="49" t="str">
        <f>B104&amp;"D"</f>
        <v>181910280D</v>
      </c>
      <c r="E107" s="247" t="s">
        <v>151</v>
      </c>
      <c r="F107" s="248" t="str">
        <f>IFERROR(VLOOKUP(F105,$AJ$8:$AK$12,2,TRUE),"")</f>
        <v>C</v>
      </c>
      <c r="G107" s="344" t="str">
        <f t="shared" ref="G107:U107" si="71">IFERROR(VLOOKUP(G105,$AJ$8:$AK$12,2,TRUE),"")</f>
        <v>C</v>
      </c>
      <c r="H107" s="344" t="str">
        <f t="shared" si="71"/>
        <v>D</v>
      </c>
      <c r="I107" s="344" t="str">
        <f t="shared" si="71"/>
        <v>C</v>
      </c>
      <c r="J107" s="344" t="str">
        <f t="shared" si="71"/>
        <v>D</v>
      </c>
      <c r="K107" s="344" t="str">
        <f t="shared" si="71"/>
        <v>D</v>
      </c>
      <c r="L107" s="344" t="str">
        <f t="shared" si="71"/>
        <v>C</v>
      </c>
      <c r="M107" s="344" t="str">
        <f t="shared" si="71"/>
        <v/>
      </c>
      <c r="N107" s="344" t="str">
        <f t="shared" si="71"/>
        <v>D</v>
      </c>
      <c r="O107" s="344" t="str">
        <f t="shared" si="71"/>
        <v/>
      </c>
      <c r="P107" s="344" t="str">
        <f t="shared" si="71"/>
        <v/>
      </c>
      <c r="Q107" s="344" t="str">
        <f t="shared" si="71"/>
        <v>B</v>
      </c>
      <c r="R107" s="344" t="str">
        <f t="shared" si="71"/>
        <v>D</v>
      </c>
      <c r="S107" s="344" t="str">
        <f t="shared" si="71"/>
        <v>C</v>
      </c>
      <c r="T107" s="344" t="str">
        <f t="shared" si="71"/>
        <v/>
      </c>
      <c r="U107" s="344" t="str">
        <f t="shared" si="71"/>
        <v>D</v>
      </c>
      <c r="V107" s="343" t="str">
        <f>IFERROR(VLOOKUP(V105,$AJ$8:$AK$12,2,TRUE),"")</f>
        <v/>
      </c>
      <c r="W107" s="528"/>
      <c r="X107" s="528"/>
      <c r="Y107" s="545"/>
      <c r="Z107" s="548"/>
      <c r="AA107" s="542"/>
      <c r="AB107" s="249" t="s">
        <v>36</v>
      </c>
      <c r="AC107" s="250" t="s">
        <v>36</v>
      </c>
      <c r="AD107" s="554"/>
      <c r="AE107" s="510"/>
      <c r="AF107" s="508"/>
      <c r="AG107" s="558"/>
      <c r="AH107" s="503"/>
    </row>
    <row r="108" spans="1:34" s="8" customFormat="1" ht="15.75" thickBot="1" x14ac:dyDescent="0.25">
      <c r="A108" s="511">
        <v>26</v>
      </c>
      <c r="B108" s="516" t="str">
        <f>VLOOKUP(A108,biononis,2,1)</f>
        <v>181910285</v>
      </c>
      <c r="C108" s="518" t="str">
        <f>VLOOKUP(A108,biononis,3,1)</f>
        <v>RENALDI PRIYATAMA</v>
      </c>
      <c r="D108" s="49" t="str">
        <f>B108&amp;"A"</f>
        <v>181910285A</v>
      </c>
      <c r="E108" s="235" t="s">
        <v>259</v>
      </c>
      <c r="F108" s="251">
        <v>50</v>
      </c>
      <c r="G108" s="252">
        <v>40</v>
      </c>
      <c r="H108" s="252">
        <v>60</v>
      </c>
      <c r="I108" s="252">
        <v>35</v>
      </c>
      <c r="J108" s="252">
        <v>23</v>
      </c>
      <c r="K108" s="252">
        <v>46</v>
      </c>
      <c r="L108" s="252">
        <v>72</v>
      </c>
      <c r="M108" s="252">
        <v>58</v>
      </c>
      <c r="N108" s="252">
        <v>50</v>
      </c>
      <c r="O108" s="252">
        <v>20</v>
      </c>
      <c r="P108" s="252">
        <v>10</v>
      </c>
      <c r="Q108" s="252">
        <v>65</v>
      </c>
      <c r="R108" s="252">
        <v>50</v>
      </c>
      <c r="S108" s="252">
        <v>53</v>
      </c>
      <c r="T108" s="252">
        <v>10</v>
      </c>
      <c r="U108" s="252">
        <v>40</v>
      </c>
      <c r="V108" s="238">
        <v>72</v>
      </c>
      <c r="W108" s="526" t="s">
        <v>6</v>
      </c>
      <c r="X108" s="526" t="s">
        <v>6</v>
      </c>
      <c r="Y108" s="543" t="s">
        <v>36</v>
      </c>
      <c r="Z108" s="546" t="s">
        <v>36</v>
      </c>
      <c r="AA108" s="540">
        <v>25</v>
      </c>
      <c r="AB108" s="237" t="s">
        <v>177</v>
      </c>
      <c r="AC108" s="238" t="s">
        <v>36</v>
      </c>
      <c r="AD108" s="434">
        <f>IFERROR(AVERAGE(F108:V108),"")</f>
        <v>44.352941176470587</v>
      </c>
      <c r="AE108" s="510">
        <f t="shared" ref="AE108" si="72">IFERROR((AD108+AD109)/2,"")</f>
        <v>45.117647058823529</v>
      </c>
      <c r="AF108" s="506">
        <f>IFERROR(RANK(AE108,$AE$8:$AE$167,0),"")</f>
        <v>28</v>
      </c>
      <c r="AG108" s="559" t="s">
        <v>280</v>
      </c>
      <c r="AH108" s="503" t="s">
        <v>330</v>
      </c>
    </row>
    <row r="109" spans="1:34" s="8" customFormat="1" ht="15.75" thickBot="1" x14ac:dyDescent="0.25">
      <c r="A109" s="512"/>
      <c r="B109" s="517"/>
      <c r="C109" s="519"/>
      <c r="D109" s="49" t="str">
        <f>B108&amp;"B"</f>
        <v>181910285B</v>
      </c>
      <c r="E109" s="239" t="s">
        <v>260</v>
      </c>
      <c r="F109" s="253">
        <v>50</v>
      </c>
      <c r="G109" s="240">
        <v>50</v>
      </c>
      <c r="H109" s="240">
        <v>50</v>
      </c>
      <c r="I109" s="240">
        <v>45</v>
      </c>
      <c r="J109" s="240">
        <v>23</v>
      </c>
      <c r="K109" s="240">
        <v>66</v>
      </c>
      <c r="L109" s="240">
        <v>72</v>
      </c>
      <c r="M109" s="240">
        <v>45</v>
      </c>
      <c r="N109" s="240">
        <v>54</v>
      </c>
      <c r="O109" s="240">
        <v>70</v>
      </c>
      <c r="P109" s="240">
        <v>0</v>
      </c>
      <c r="Q109" s="240">
        <v>70</v>
      </c>
      <c r="R109" s="240">
        <v>50</v>
      </c>
      <c r="S109" s="240">
        <v>0</v>
      </c>
      <c r="T109" s="240">
        <v>35</v>
      </c>
      <c r="U109" s="240">
        <v>40</v>
      </c>
      <c r="V109" s="341">
        <v>60</v>
      </c>
      <c r="W109" s="527"/>
      <c r="X109" s="527"/>
      <c r="Y109" s="544"/>
      <c r="Z109" s="547"/>
      <c r="AA109" s="541"/>
      <c r="AB109" s="241" t="s">
        <v>36</v>
      </c>
      <c r="AC109" s="242" t="s">
        <v>36</v>
      </c>
      <c r="AD109" s="435">
        <f>IFERROR(AVERAGE(F109:V109),"")</f>
        <v>45.882352941176471</v>
      </c>
      <c r="AE109" s="510"/>
      <c r="AF109" s="507"/>
      <c r="AG109" s="557"/>
      <c r="AH109" s="503"/>
    </row>
    <row r="110" spans="1:34" s="8" customFormat="1" ht="15.75" thickBot="1" x14ac:dyDescent="0.25">
      <c r="A110" s="512"/>
      <c r="B110" s="517"/>
      <c r="C110" s="519"/>
      <c r="D110" s="49" t="str">
        <f>B108&amp;"C"</f>
        <v>181910285C</v>
      </c>
      <c r="E110" s="243" t="s">
        <v>150</v>
      </c>
      <c r="F110" s="244" t="str">
        <f>IFERROR(VLOOKUP(F108,$AJ$8:$AK$12,2,TRUE),"")</f>
        <v>D</v>
      </c>
      <c r="G110" s="345" t="str">
        <f t="shared" ref="G110:V110" si="73">IFERROR(VLOOKUP(G108,$AJ$8:$AK$12,2,TRUE),"")</f>
        <v>D</v>
      </c>
      <c r="H110" s="345" t="str">
        <f t="shared" si="73"/>
        <v>D</v>
      </c>
      <c r="I110" s="345" t="str">
        <f t="shared" si="73"/>
        <v>D</v>
      </c>
      <c r="J110" s="345" t="str">
        <f t="shared" si="73"/>
        <v>D</v>
      </c>
      <c r="K110" s="345" t="str">
        <f t="shared" si="73"/>
        <v>D</v>
      </c>
      <c r="L110" s="345" t="str">
        <f t="shared" si="73"/>
        <v>C</v>
      </c>
      <c r="M110" s="345" t="str">
        <f t="shared" si="73"/>
        <v>D</v>
      </c>
      <c r="N110" s="345" t="str">
        <f t="shared" si="73"/>
        <v>D</v>
      </c>
      <c r="O110" s="345" t="str">
        <f t="shared" si="73"/>
        <v>D</v>
      </c>
      <c r="P110" s="345" t="str">
        <f t="shared" si="73"/>
        <v>D</v>
      </c>
      <c r="Q110" s="345" t="str">
        <f t="shared" si="73"/>
        <v>D</v>
      </c>
      <c r="R110" s="345" t="str">
        <f t="shared" si="73"/>
        <v>D</v>
      </c>
      <c r="S110" s="345" t="str">
        <f t="shared" si="73"/>
        <v>D</v>
      </c>
      <c r="T110" s="345" t="str">
        <f t="shared" si="73"/>
        <v>D</v>
      </c>
      <c r="U110" s="345" t="str">
        <f t="shared" si="73"/>
        <v>D</v>
      </c>
      <c r="V110" s="342" t="str">
        <f t="shared" si="73"/>
        <v>C</v>
      </c>
      <c r="W110" s="527"/>
      <c r="X110" s="527"/>
      <c r="Y110" s="544"/>
      <c r="Z110" s="547"/>
      <c r="AA110" s="541"/>
      <c r="AB110" s="241" t="s">
        <v>36</v>
      </c>
      <c r="AC110" s="242" t="s">
        <v>36</v>
      </c>
      <c r="AD110" s="553">
        <f>SUM(F108:V109)</f>
        <v>1534</v>
      </c>
      <c r="AE110" s="510"/>
      <c r="AF110" s="507"/>
      <c r="AG110" s="557"/>
      <c r="AH110" s="503"/>
    </row>
    <row r="111" spans="1:34" s="8" customFormat="1" ht="15.75" thickBot="1" x14ac:dyDescent="0.25">
      <c r="A111" s="513"/>
      <c r="B111" s="254"/>
      <c r="C111" s="255"/>
      <c r="D111" s="49" t="str">
        <f>B108&amp;"D"</f>
        <v>181910285D</v>
      </c>
      <c r="E111" s="247" t="s">
        <v>151</v>
      </c>
      <c r="F111" s="248" t="str">
        <f>IFERROR(VLOOKUP(F109,$AJ$8:$AK$12,2,TRUE),"")</f>
        <v>D</v>
      </c>
      <c r="G111" s="344" t="str">
        <f t="shared" ref="G111:U111" si="74">IFERROR(VLOOKUP(G109,$AJ$8:$AK$12,2,TRUE),"")</f>
        <v>D</v>
      </c>
      <c r="H111" s="344" t="str">
        <f t="shared" si="74"/>
        <v>D</v>
      </c>
      <c r="I111" s="344" t="str">
        <f t="shared" si="74"/>
        <v>D</v>
      </c>
      <c r="J111" s="344" t="str">
        <f t="shared" si="74"/>
        <v>D</v>
      </c>
      <c r="K111" s="344" t="str">
        <f t="shared" si="74"/>
        <v>D</v>
      </c>
      <c r="L111" s="344" t="str">
        <f t="shared" si="74"/>
        <v>C</v>
      </c>
      <c r="M111" s="344" t="str">
        <f t="shared" si="74"/>
        <v>D</v>
      </c>
      <c r="N111" s="344" t="str">
        <f t="shared" si="74"/>
        <v>D</v>
      </c>
      <c r="O111" s="344" t="str">
        <f t="shared" si="74"/>
        <v>C</v>
      </c>
      <c r="P111" s="344" t="str">
        <f t="shared" si="74"/>
        <v/>
      </c>
      <c r="Q111" s="344" t="str">
        <f t="shared" si="74"/>
        <v>C</v>
      </c>
      <c r="R111" s="344" t="str">
        <f t="shared" si="74"/>
        <v>D</v>
      </c>
      <c r="S111" s="344" t="str">
        <f t="shared" si="74"/>
        <v/>
      </c>
      <c r="T111" s="344" t="str">
        <f t="shared" si="74"/>
        <v>D</v>
      </c>
      <c r="U111" s="344" t="str">
        <f t="shared" si="74"/>
        <v>D</v>
      </c>
      <c r="V111" s="343" t="str">
        <f>IFERROR(VLOOKUP(V109,$AJ$8:$AK$12,2,TRUE),"")</f>
        <v>D</v>
      </c>
      <c r="W111" s="528"/>
      <c r="X111" s="528"/>
      <c r="Y111" s="545"/>
      <c r="Z111" s="548"/>
      <c r="AA111" s="542"/>
      <c r="AB111" s="249" t="s">
        <v>36</v>
      </c>
      <c r="AC111" s="250" t="s">
        <v>36</v>
      </c>
      <c r="AD111" s="554"/>
      <c r="AE111" s="510"/>
      <c r="AF111" s="508"/>
      <c r="AG111" s="558"/>
      <c r="AH111" s="503"/>
    </row>
    <row r="112" spans="1:34" s="8" customFormat="1" ht="15.75" thickBot="1" x14ac:dyDescent="0.25">
      <c r="A112" s="514">
        <v>27</v>
      </c>
      <c r="B112" s="517" t="str">
        <f>VLOOKUP(A112,biononis,2,1)</f>
        <v>181910286</v>
      </c>
      <c r="C112" s="519" t="str">
        <f>VLOOKUP(A112,biononis,3,1)</f>
        <v>RENATA</v>
      </c>
      <c r="D112" s="49" t="str">
        <f>B112&amp;"A"</f>
        <v>181910286A</v>
      </c>
      <c r="E112" s="235" t="s">
        <v>259</v>
      </c>
      <c r="F112" s="251">
        <v>70</v>
      </c>
      <c r="G112" s="252">
        <v>84</v>
      </c>
      <c r="H112" s="252">
        <v>83</v>
      </c>
      <c r="I112" s="252">
        <v>76</v>
      </c>
      <c r="J112" s="252">
        <v>80</v>
      </c>
      <c r="K112" s="252">
        <v>70</v>
      </c>
      <c r="L112" s="252">
        <v>76</v>
      </c>
      <c r="M112" s="252">
        <v>80</v>
      </c>
      <c r="N112" s="252">
        <v>70</v>
      </c>
      <c r="O112" s="252">
        <v>73</v>
      </c>
      <c r="P112" s="252">
        <v>71</v>
      </c>
      <c r="Q112" s="252">
        <v>86</v>
      </c>
      <c r="R112" s="252">
        <v>75</v>
      </c>
      <c r="S112" s="252">
        <v>70</v>
      </c>
      <c r="T112" s="252">
        <v>80</v>
      </c>
      <c r="U112" s="252">
        <v>78</v>
      </c>
      <c r="V112" s="238">
        <v>78</v>
      </c>
      <c r="W112" s="526" t="s">
        <v>6</v>
      </c>
      <c r="X112" s="526" t="s">
        <v>6</v>
      </c>
      <c r="Y112" s="543" t="s">
        <v>36</v>
      </c>
      <c r="Z112" s="546" t="s">
        <v>36</v>
      </c>
      <c r="AA112" s="540">
        <v>0</v>
      </c>
      <c r="AB112" s="237" t="s">
        <v>177</v>
      </c>
      <c r="AC112" s="238" t="s">
        <v>36</v>
      </c>
      <c r="AD112" s="434">
        <f>IFERROR(AVERAGE(F112:V112),"")</f>
        <v>76.470588235294116</v>
      </c>
      <c r="AE112" s="510">
        <f t="shared" ref="AE112" si="75">IFERROR((AD112+AD113)/2,"")</f>
        <v>76.882352941176464</v>
      </c>
      <c r="AF112" s="506">
        <f>IFERROR(RANK(AE112,$AE$8:$AE$167,0),"")</f>
        <v>5</v>
      </c>
      <c r="AG112" s="559" t="s">
        <v>277</v>
      </c>
      <c r="AH112" s="503" t="s">
        <v>348</v>
      </c>
    </row>
    <row r="113" spans="1:34" s="8" customFormat="1" ht="15.75" thickBot="1" x14ac:dyDescent="0.25">
      <c r="A113" s="512"/>
      <c r="B113" s="517"/>
      <c r="C113" s="519"/>
      <c r="D113" s="49" t="str">
        <f>B112&amp;"B"</f>
        <v>181910286B</v>
      </c>
      <c r="E113" s="239" t="s">
        <v>260</v>
      </c>
      <c r="F113" s="253">
        <v>70</v>
      </c>
      <c r="G113" s="240">
        <v>82</v>
      </c>
      <c r="H113" s="240">
        <v>81</v>
      </c>
      <c r="I113" s="240">
        <v>78</v>
      </c>
      <c r="J113" s="240">
        <v>75</v>
      </c>
      <c r="K113" s="240">
        <v>73</v>
      </c>
      <c r="L113" s="240">
        <v>75</v>
      </c>
      <c r="M113" s="240">
        <v>83</v>
      </c>
      <c r="N113" s="240">
        <v>75</v>
      </c>
      <c r="O113" s="240">
        <v>78</v>
      </c>
      <c r="P113" s="240">
        <v>70</v>
      </c>
      <c r="Q113" s="240">
        <v>88</v>
      </c>
      <c r="R113" s="240">
        <v>75</v>
      </c>
      <c r="S113" s="240">
        <v>80</v>
      </c>
      <c r="T113" s="240">
        <v>76</v>
      </c>
      <c r="U113" s="240">
        <v>80</v>
      </c>
      <c r="V113" s="341">
        <v>75</v>
      </c>
      <c r="W113" s="527"/>
      <c r="X113" s="527"/>
      <c r="Y113" s="544"/>
      <c r="Z113" s="547"/>
      <c r="AA113" s="541"/>
      <c r="AB113" s="241" t="s">
        <v>36</v>
      </c>
      <c r="AC113" s="242" t="s">
        <v>36</v>
      </c>
      <c r="AD113" s="435">
        <f>IFERROR(AVERAGE(F113:V113),"")</f>
        <v>77.294117647058826</v>
      </c>
      <c r="AE113" s="510"/>
      <c r="AF113" s="507"/>
      <c r="AG113" s="557"/>
      <c r="AH113" s="503"/>
    </row>
    <row r="114" spans="1:34" s="8" customFormat="1" ht="15.75" thickBot="1" x14ac:dyDescent="0.25">
      <c r="A114" s="512"/>
      <c r="B114" s="517"/>
      <c r="C114" s="519"/>
      <c r="D114" s="49" t="str">
        <f>B112&amp;"C"</f>
        <v>181910286C</v>
      </c>
      <c r="E114" s="243" t="s">
        <v>150</v>
      </c>
      <c r="F114" s="244" t="str">
        <f>IFERROR(VLOOKUP(F112,$AJ$8:$AK$12,2,TRUE),"")</f>
        <v>C</v>
      </c>
      <c r="G114" s="345" t="str">
        <f t="shared" ref="G114:V114" si="76">IFERROR(VLOOKUP(G112,$AJ$8:$AK$12,2,TRUE),"")</f>
        <v>B</v>
      </c>
      <c r="H114" s="345" t="str">
        <f t="shared" si="76"/>
        <v>B</v>
      </c>
      <c r="I114" s="345" t="str">
        <f t="shared" si="76"/>
        <v>C</v>
      </c>
      <c r="J114" s="345" t="str">
        <f t="shared" si="76"/>
        <v>B</v>
      </c>
      <c r="K114" s="345" t="str">
        <f t="shared" si="76"/>
        <v>C</v>
      </c>
      <c r="L114" s="345" t="str">
        <f t="shared" si="76"/>
        <v>C</v>
      </c>
      <c r="M114" s="345" t="str">
        <f t="shared" si="76"/>
        <v>B</v>
      </c>
      <c r="N114" s="345" t="str">
        <f t="shared" si="76"/>
        <v>C</v>
      </c>
      <c r="O114" s="345" t="str">
        <f t="shared" si="76"/>
        <v>C</v>
      </c>
      <c r="P114" s="345" t="str">
        <f t="shared" si="76"/>
        <v>C</v>
      </c>
      <c r="Q114" s="345" t="str">
        <f t="shared" si="76"/>
        <v>B</v>
      </c>
      <c r="R114" s="345" t="str">
        <f t="shared" si="76"/>
        <v>C</v>
      </c>
      <c r="S114" s="345" t="str">
        <f t="shared" si="76"/>
        <v>C</v>
      </c>
      <c r="T114" s="345" t="str">
        <f t="shared" si="76"/>
        <v>B</v>
      </c>
      <c r="U114" s="345" t="str">
        <f t="shared" si="76"/>
        <v>C</v>
      </c>
      <c r="V114" s="342" t="str">
        <f t="shared" si="76"/>
        <v>C</v>
      </c>
      <c r="W114" s="527"/>
      <c r="X114" s="527"/>
      <c r="Y114" s="544"/>
      <c r="Z114" s="547"/>
      <c r="AA114" s="541"/>
      <c r="AB114" s="241" t="s">
        <v>36</v>
      </c>
      <c r="AC114" s="242" t="s">
        <v>36</v>
      </c>
      <c r="AD114" s="553">
        <f>SUM(F112:V113)</f>
        <v>2614</v>
      </c>
      <c r="AE114" s="510"/>
      <c r="AF114" s="507"/>
      <c r="AG114" s="557"/>
      <c r="AH114" s="503"/>
    </row>
    <row r="115" spans="1:34" s="8" customFormat="1" ht="15.75" thickBot="1" x14ac:dyDescent="0.25">
      <c r="A115" s="515"/>
      <c r="B115" s="245"/>
      <c r="C115" s="246"/>
      <c r="D115" s="49" t="str">
        <f>B112&amp;"D"</f>
        <v>181910286D</v>
      </c>
      <c r="E115" s="247" t="s">
        <v>151</v>
      </c>
      <c r="F115" s="248" t="str">
        <f>IFERROR(VLOOKUP(F113,$AJ$8:$AK$12,2,TRUE),"")</f>
        <v>C</v>
      </c>
      <c r="G115" s="344" t="str">
        <f t="shared" ref="G115:U115" si="77">IFERROR(VLOOKUP(G113,$AJ$8:$AK$12,2,TRUE),"")</f>
        <v>B</v>
      </c>
      <c r="H115" s="344" t="str">
        <f t="shared" si="77"/>
        <v>B</v>
      </c>
      <c r="I115" s="344" t="str">
        <f t="shared" si="77"/>
        <v>C</v>
      </c>
      <c r="J115" s="344" t="str">
        <f t="shared" si="77"/>
        <v>C</v>
      </c>
      <c r="K115" s="344" t="str">
        <f t="shared" si="77"/>
        <v>C</v>
      </c>
      <c r="L115" s="344" t="str">
        <f t="shared" si="77"/>
        <v>C</v>
      </c>
      <c r="M115" s="344" t="str">
        <f t="shared" si="77"/>
        <v>B</v>
      </c>
      <c r="N115" s="344" t="str">
        <f t="shared" si="77"/>
        <v>C</v>
      </c>
      <c r="O115" s="344" t="str">
        <f t="shared" si="77"/>
        <v>C</v>
      </c>
      <c r="P115" s="344" t="str">
        <f t="shared" si="77"/>
        <v>C</v>
      </c>
      <c r="Q115" s="344" t="str">
        <f t="shared" si="77"/>
        <v>B</v>
      </c>
      <c r="R115" s="344" t="str">
        <f t="shared" si="77"/>
        <v>C</v>
      </c>
      <c r="S115" s="344" t="str">
        <f t="shared" si="77"/>
        <v>B</v>
      </c>
      <c r="T115" s="344" t="str">
        <f t="shared" si="77"/>
        <v>C</v>
      </c>
      <c r="U115" s="344" t="str">
        <f t="shared" si="77"/>
        <v>B</v>
      </c>
      <c r="V115" s="343" t="str">
        <f>IFERROR(VLOOKUP(V113,$AJ$8:$AK$12,2,TRUE),"")</f>
        <v>C</v>
      </c>
      <c r="W115" s="528"/>
      <c r="X115" s="528"/>
      <c r="Y115" s="545"/>
      <c r="Z115" s="548"/>
      <c r="AA115" s="542"/>
      <c r="AB115" s="249" t="s">
        <v>36</v>
      </c>
      <c r="AC115" s="250" t="s">
        <v>36</v>
      </c>
      <c r="AD115" s="554"/>
      <c r="AE115" s="510"/>
      <c r="AF115" s="508"/>
      <c r="AG115" s="558"/>
      <c r="AH115" s="503"/>
    </row>
    <row r="116" spans="1:34" s="8" customFormat="1" ht="15.75" thickBot="1" x14ac:dyDescent="0.25">
      <c r="A116" s="511">
        <v>28</v>
      </c>
      <c r="B116" s="516" t="str">
        <f>VLOOKUP(A116,biononis,2,1)</f>
        <v>181910293</v>
      </c>
      <c r="C116" s="518" t="str">
        <f>VLOOKUP(A116,biononis,3,1)</f>
        <v xml:space="preserve">REZA ERNANDA </v>
      </c>
      <c r="D116" s="49" t="str">
        <f>B116&amp;"A"</f>
        <v>181910293A</v>
      </c>
      <c r="E116" s="235" t="s">
        <v>259</v>
      </c>
      <c r="F116" s="251">
        <v>70</v>
      </c>
      <c r="G116" s="252">
        <v>84</v>
      </c>
      <c r="H116" s="252">
        <v>86</v>
      </c>
      <c r="I116" s="252">
        <v>78</v>
      </c>
      <c r="J116" s="252">
        <v>80</v>
      </c>
      <c r="K116" s="252">
        <v>71</v>
      </c>
      <c r="L116" s="252">
        <v>75</v>
      </c>
      <c r="M116" s="252">
        <v>81</v>
      </c>
      <c r="N116" s="252">
        <v>72</v>
      </c>
      <c r="O116" s="252">
        <v>78</v>
      </c>
      <c r="P116" s="252">
        <v>72</v>
      </c>
      <c r="Q116" s="252">
        <v>86</v>
      </c>
      <c r="R116" s="252">
        <v>72</v>
      </c>
      <c r="S116" s="252">
        <v>73</v>
      </c>
      <c r="T116" s="252">
        <v>81</v>
      </c>
      <c r="U116" s="252">
        <v>75</v>
      </c>
      <c r="V116" s="238">
        <v>79</v>
      </c>
      <c r="W116" s="526" t="s">
        <v>6</v>
      </c>
      <c r="X116" s="526" t="s">
        <v>6</v>
      </c>
      <c r="Y116" s="543" t="s">
        <v>36</v>
      </c>
      <c r="Z116" s="546" t="s">
        <v>36</v>
      </c>
      <c r="AA116" s="540">
        <v>0</v>
      </c>
      <c r="AB116" s="237" t="s">
        <v>177</v>
      </c>
      <c r="AC116" s="238" t="s">
        <v>36</v>
      </c>
      <c r="AD116" s="434">
        <f>IFERROR(AVERAGE(F116:V116),"")</f>
        <v>77.235294117647058</v>
      </c>
      <c r="AE116" s="510">
        <f t="shared" ref="AE116" si="78">IFERROR((AD116+AD117)/2,"")</f>
        <v>77.323529411764696</v>
      </c>
      <c r="AF116" s="506">
        <f>IFERROR(RANK(AE116,$AE$8:$AE$167,0),"")</f>
        <v>4</v>
      </c>
      <c r="AG116" s="559" t="s">
        <v>277</v>
      </c>
      <c r="AH116" s="503" t="s">
        <v>348</v>
      </c>
    </row>
    <row r="117" spans="1:34" s="8" customFormat="1" ht="15.75" thickBot="1" x14ac:dyDescent="0.25">
      <c r="A117" s="512"/>
      <c r="B117" s="517"/>
      <c r="C117" s="519"/>
      <c r="D117" s="49" t="str">
        <f>B116&amp;"B"</f>
        <v>181910293B</v>
      </c>
      <c r="E117" s="239" t="s">
        <v>260</v>
      </c>
      <c r="F117" s="253">
        <v>70</v>
      </c>
      <c r="G117" s="240">
        <v>82</v>
      </c>
      <c r="H117" s="240">
        <v>83</v>
      </c>
      <c r="I117" s="240">
        <v>77</v>
      </c>
      <c r="J117" s="240">
        <v>75</v>
      </c>
      <c r="K117" s="240">
        <v>73</v>
      </c>
      <c r="L117" s="240">
        <v>75</v>
      </c>
      <c r="M117" s="240">
        <v>84</v>
      </c>
      <c r="N117" s="240">
        <v>75</v>
      </c>
      <c r="O117" s="240">
        <v>75</v>
      </c>
      <c r="P117" s="240">
        <v>70</v>
      </c>
      <c r="Q117" s="240">
        <v>88</v>
      </c>
      <c r="R117" s="240">
        <v>72</v>
      </c>
      <c r="S117" s="240">
        <v>80</v>
      </c>
      <c r="T117" s="240">
        <v>79</v>
      </c>
      <c r="U117" s="240">
        <v>80</v>
      </c>
      <c r="V117" s="341">
        <v>78</v>
      </c>
      <c r="W117" s="527"/>
      <c r="X117" s="527"/>
      <c r="Y117" s="544"/>
      <c r="Z117" s="547"/>
      <c r="AA117" s="541"/>
      <c r="AB117" s="241" t="s">
        <v>36</v>
      </c>
      <c r="AC117" s="242" t="s">
        <v>36</v>
      </c>
      <c r="AD117" s="435">
        <f>IFERROR(AVERAGE(F117:V117),"")</f>
        <v>77.411764705882348</v>
      </c>
      <c r="AE117" s="510"/>
      <c r="AF117" s="507"/>
      <c r="AG117" s="557"/>
      <c r="AH117" s="503"/>
    </row>
    <row r="118" spans="1:34" s="8" customFormat="1" ht="15.75" thickBot="1" x14ac:dyDescent="0.25">
      <c r="A118" s="512"/>
      <c r="B118" s="517"/>
      <c r="C118" s="519"/>
      <c r="D118" s="49" t="str">
        <f>B116&amp;"C"</f>
        <v>181910293C</v>
      </c>
      <c r="E118" s="243" t="s">
        <v>150</v>
      </c>
      <c r="F118" s="244" t="str">
        <f>IFERROR(VLOOKUP(F116,$AJ$8:$AK$12,2,TRUE),"")</f>
        <v>C</v>
      </c>
      <c r="G118" s="345" t="str">
        <f t="shared" ref="G118:V118" si="79">IFERROR(VLOOKUP(G116,$AJ$8:$AK$12,2,TRUE),"")</f>
        <v>B</v>
      </c>
      <c r="H118" s="345" t="str">
        <f t="shared" si="79"/>
        <v>B</v>
      </c>
      <c r="I118" s="345" t="str">
        <f t="shared" si="79"/>
        <v>C</v>
      </c>
      <c r="J118" s="345" t="str">
        <f t="shared" si="79"/>
        <v>B</v>
      </c>
      <c r="K118" s="345" t="str">
        <f t="shared" si="79"/>
        <v>C</v>
      </c>
      <c r="L118" s="345" t="str">
        <f t="shared" si="79"/>
        <v>C</v>
      </c>
      <c r="M118" s="345" t="str">
        <f t="shared" si="79"/>
        <v>B</v>
      </c>
      <c r="N118" s="345" t="str">
        <f t="shared" si="79"/>
        <v>C</v>
      </c>
      <c r="O118" s="345" t="str">
        <f t="shared" si="79"/>
        <v>C</v>
      </c>
      <c r="P118" s="345" t="str">
        <f t="shared" si="79"/>
        <v>C</v>
      </c>
      <c r="Q118" s="345" t="str">
        <f t="shared" si="79"/>
        <v>B</v>
      </c>
      <c r="R118" s="345" t="str">
        <f t="shared" si="79"/>
        <v>C</v>
      </c>
      <c r="S118" s="345" t="str">
        <f t="shared" si="79"/>
        <v>C</v>
      </c>
      <c r="T118" s="345" t="str">
        <f t="shared" si="79"/>
        <v>B</v>
      </c>
      <c r="U118" s="345" t="str">
        <f t="shared" si="79"/>
        <v>C</v>
      </c>
      <c r="V118" s="342" t="str">
        <f t="shared" si="79"/>
        <v>C</v>
      </c>
      <c r="W118" s="527"/>
      <c r="X118" s="527"/>
      <c r="Y118" s="544"/>
      <c r="Z118" s="547"/>
      <c r="AA118" s="541"/>
      <c r="AB118" s="241" t="s">
        <v>36</v>
      </c>
      <c r="AC118" s="242" t="s">
        <v>36</v>
      </c>
      <c r="AD118" s="553">
        <f>SUM(F116:V117)</f>
        <v>2629</v>
      </c>
      <c r="AE118" s="510"/>
      <c r="AF118" s="507"/>
      <c r="AG118" s="557"/>
      <c r="AH118" s="503"/>
    </row>
    <row r="119" spans="1:34" s="8" customFormat="1" ht="15.75" thickBot="1" x14ac:dyDescent="0.25">
      <c r="A119" s="513"/>
      <c r="B119" s="254"/>
      <c r="C119" s="255"/>
      <c r="D119" s="49" t="str">
        <f>B116&amp;"D"</f>
        <v>181910293D</v>
      </c>
      <c r="E119" s="247" t="s">
        <v>151</v>
      </c>
      <c r="F119" s="248" t="str">
        <f>IFERROR(VLOOKUP(F117,$AJ$8:$AK$12,2,TRUE),"")</f>
        <v>C</v>
      </c>
      <c r="G119" s="344" t="str">
        <f t="shared" ref="G119:U119" si="80">IFERROR(VLOOKUP(G117,$AJ$8:$AK$12,2,TRUE),"")</f>
        <v>B</v>
      </c>
      <c r="H119" s="344" t="str">
        <f t="shared" si="80"/>
        <v>B</v>
      </c>
      <c r="I119" s="344" t="str">
        <f t="shared" si="80"/>
        <v>C</v>
      </c>
      <c r="J119" s="344" t="str">
        <f t="shared" si="80"/>
        <v>C</v>
      </c>
      <c r="K119" s="344" t="str">
        <f t="shared" si="80"/>
        <v>C</v>
      </c>
      <c r="L119" s="344" t="str">
        <f t="shared" si="80"/>
        <v>C</v>
      </c>
      <c r="M119" s="344" t="str">
        <f t="shared" si="80"/>
        <v>B</v>
      </c>
      <c r="N119" s="344" t="str">
        <f t="shared" si="80"/>
        <v>C</v>
      </c>
      <c r="O119" s="344" t="str">
        <f t="shared" si="80"/>
        <v>C</v>
      </c>
      <c r="P119" s="344" t="str">
        <f t="shared" si="80"/>
        <v>C</v>
      </c>
      <c r="Q119" s="344" t="str">
        <f t="shared" si="80"/>
        <v>B</v>
      </c>
      <c r="R119" s="344" t="str">
        <f t="shared" si="80"/>
        <v>C</v>
      </c>
      <c r="S119" s="344" t="str">
        <f t="shared" si="80"/>
        <v>B</v>
      </c>
      <c r="T119" s="344" t="str">
        <f t="shared" si="80"/>
        <v>C</v>
      </c>
      <c r="U119" s="344" t="str">
        <f t="shared" si="80"/>
        <v>B</v>
      </c>
      <c r="V119" s="343" t="str">
        <f>IFERROR(VLOOKUP(V117,$AJ$8:$AK$12,2,TRUE),"")</f>
        <v>C</v>
      </c>
      <c r="W119" s="528"/>
      <c r="X119" s="528"/>
      <c r="Y119" s="545"/>
      <c r="Z119" s="548"/>
      <c r="AA119" s="542"/>
      <c r="AB119" s="249" t="s">
        <v>36</v>
      </c>
      <c r="AC119" s="250" t="s">
        <v>36</v>
      </c>
      <c r="AD119" s="554"/>
      <c r="AE119" s="510"/>
      <c r="AF119" s="508"/>
      <c r="AG119" s="558"/>
      <c r="AH119" s="503"/>
    </row>
    <row r="120" spans="1:34" s="8" customFormat="1" ht="15.75" thickBot="1" x14ac:dyDescent="0.25">
      <c r="A120" s="514">
        <v>29</v>
      </c>
      <c r="B120" s="517" t="str">
        <f>VLOOKUP(A120,biononis,2,1)</f>
        <v>181910300</v>
      </c>
      <c r="C120" s="519" t="str">
        <f>VLOOKUP(A120,biononis,3,1)</f>
        <v>RIFAN MUHAMAD RIZKI</v>
      </c>
      <c r="D120" s="49" t="str">
        <f>B120&amp;"A"</f>
        <v>181910300A</v>
      </c>
      <c r="E120" s="235" t="s">
        <v>259</v>
      </c>
      <c r="F120" s="251"/>
      <c r="G120" s="252"/>
      <c r="H120" s="252"/>
      <c r="I120" s="252"/>
      <c r="J120" s="252"/>
      <c r="K120" s="252"/>
      <c r="L120" s="252"/>
      <c r="M120" s="252"/>
      <c r="N120" s="252"/>
      <c r="O120" s="252"/>
      <c r="P120" s="252"/>
      <c r="Q120" s="252"/>
      <c r="R120" s="252"/>
      <c r="S120" s="252"/>
      <c r="T120" s="252"/>
      <c r="U120" s="252"/>
      <c r="V120" s="238"/>
      <c r="W120" s="526" t="s">
        <v>36</v>
      </c>
      <c r="X120" s="526" t="s">
        <v>36</v>
      </c>
      <c r="Y120" s="543" t="s">
        <v>36</v>
      </c>
      <c r="Z120" s="546" t="s">
        <v>36</v>
      </c>
      <c r="AA120" s="540" t="s">
        <v>36</v>
      </c>
      <c r="AB120" s="237" t="s">
        <v>177</v>
      </c>
      <c r="AC120" s="238" t="s">
        <v>36</v>
      </c>
      <c r="AD120" s="434" t="str">
        <f>IFERROR(AVERAGE(F120:V120),"")</f>
        <v/>
      </c>
      <c r="AE120" s="510" t="str">
        <f t="shared" ref="AE120" si="81">IFERROR((AD120+AD121)/2,"")</f>
        <v/>
      </c>
      <c r="AF120" s="506" t="str">
        <f>IFERROR(RANK(AE120,$AE$8:$AE$167,0),"")</f>
        <v/>
      </c>
      <c r="AG120" s="559" t="s">
        <v>176</v>
      </c>
      <c r="AH120" s="503" t="s">
        <v>176</v>
      </c>
    </row>
    <row r="121" spans="1:34" s="8" customFormat="1" ht="15.75" thickBot="1" x14ac:dyDescent="0.25">
      <c r="A121" s="512"/>
      <c r="B121" s="517"/>
      <c r="C121" s="519"/>
      <c r="D121" s="49" t="str">
        <f>B120&amp;"B"</f>
        <v>181910300B</v>
      </c>
      <c r="E121" s="239" t="s">
        <v>260</v>
      </c>
      <c r="F121" s="253"/>
      <c r="G121" s="240"/>
      <c r="H121" s="240"/>
      <c r="I121" s="240"/>
      <c r="J121" s="240"/>
      <c r="K121" s="240"/>
      <c r="L121" s="240"/>
      <c r="M121" s="240"/>
      <c r="N121" s="240"/>
      <c r="O121" s="240"/>
      <c r="P121" s="240"/>
      <c r="Q121" s="240"/>
      <c r="R121" s="240"/>
      <c r="S121" s="240"/>
      <c r="T121" s="240"/>
      <c r="U121" s="240"/>
      <c r="V121" s="341"/>
      <c r="W121" s="527"/>
      <c r="X121" s="527"/>
      <c r="Y121" s="544"/>
      <c r="Z121" s="547"/>
      <c r="AA121" s="541"/>
      <c r="AB121" s="241" t="s">
        <v>36</v>
      </c>
      <c r="AC121" s="242" t="s">
        <v>36</v>
      </c>
      <c r="AD121" s="435" t="str">
        <f>IFERROR(AVERAGE(F121:V121),"")</f>
        <v/>
      </c>
      <c r="AE121" s="510"/>
      <c r="AF121" s="507"/>
      <c r="AG121" s="557"/>
      <c r="AH121" s="503"/>
    </row>
    <row r="122" spans="1:34" s="8" customFormat="1" ht="15.75" thickBot="1" x14ac:dyDescent="0.25">
      <c r="A122" s="512"/>
      <c r="B122" s="517"/>
      <c r="C122" s="519"/>
      <c r="D122" s="49" t="str">
        <f>B120&amp;"C"</f>
        <v>181910300C</v>
      </c>
      <c r="E122" s="243" t="s">
        <v>150</v>
      </c>
      <c r="F122" s="244" t="str">
        <f>IFERROR(VLOOKUP(F120,$AJ$8:$AK$12,2,TRUE),"")</f>
        <v/>
      </c>
      <c r="G122" s="345" t="str">
        <f t="shared" ref="G122:V122" si="82">IFERROR(VLOOKUP(G120,$AJ$8:$AK$12,2,TRUE),"")</f>
        <v/>
      </c>
      <c r="H122" s="345" t="str">
        <f t="shared" si="82"/>
        <v/>
      </c>
      <c r="I122" s="345" t="str">
        <f t="shared" si="82"/>
        <v/>
      </c>
      <c r="J122" s="345" t="str">
        <f t="shared" si="82"/>
        <v/>
      </c>
      <c r="K122" s="345" t="str">
        <f t="shared" si="82"/>
        <v/>
      </c>
      <c r="L122" s="345" t="str">
        <f t="shared" si="82"/>
        <v/>
      </c>
      <c r="M122" s="345" t="str">
        <f t="shared" si="82"/>
        <v/>
      </c>
      <c r="N122" s="345" t="str">
        <f t="shared" si="82"/>
        <v/>
      </c>
      <c r="O122" s="345" t="str">
        <f t="shared" si="82"/>
        <v/>
      </c>
      <c r="P122" s="345" t="str">
        <f t="shared" si="82"/>
        <v/>
      </c>
      <c r="Q122" s="345" t="str">
        <f t="shared" si="82"/>
        <v/>
      </c>
      <c r="R122" s="345" t="str">
        <f t="shared" si="82"/>
        <v/>
      </c>
      <c r="S122" s="345" t="str">
        <f t="shared" si="82"/>
        <v/>
      </c>
      <c r="T122" s="345" t="str">
        <f t="shared" si="82"/>
        <v/>
      </c>
      <c r="U122" s="345" t="str">
        <f t="shared" si="82"/>
        <v/>
      </c>
      <c r="V122" s="342" t="str">
        <f t="shared" si="82"/>
        <v/>
      </c>
      <c r="W122" s="527"/>
      <c r="X122" s="527"/>
      <c r="Y122" s="544"/>
      <c r="Z122" s="547"/>
      <c r="AA122" s="541"/>
      <c r="AB122" s="241" t="s">
        <v>36</v>
      </c>
      <c r="AC122" s="242" t="s">
        <v>36</v>
      </c>
      <c r="AD122" s="553">
        <f>SUM(F120:V121)</f>
        <v>0</v>
      </c>
      <c r="AE122" s="510"/>
      <c r="AF122" s="507"/>
      <c r="AG122" s="557"/>
      <c r="AH122" s="503"/>
    </row>
    <row r="123" spans="1:34" s="8" customFormat="1" ht="15.75" thickBot="1" x14ac:dyDescent="0.25">
      <c r="A123" s="515"/>
      <c r="B123" s="245"/>
      <c r="C123" s="246"/>
      <c r="D123" s="49" t="str">
        <f>B120&amp;"D"</f>
        <v>181910300D</v>
      </c>
      <c r="E123" s="247" t="s">
        <v>151</v>
      </c>
      <c r="F123" s="248" t="str">
        <f>IFERROR(VLOOKUP(F121,$AJ$8:$AK$12,2,TRUE),"")</f>
        <v/>
      </c>
      <c r="G123" s="344" t="str">
        <f t="shared" ref="G123:U123" si="83">IFERROR(VLOOKUP(G121,$AJ$8:$AK$12,2,TRUE),"")</f>
        <v/>
      </c>
      <c r="H123" s="344" t="str">
        <f t="shared" si="83"/>
        <v/>
      </c>
      <c r="I123" s="344" t="str">
        <f t="shared" si="83"/>
        <v/>
      </c>
      <c r="J123" s="344" t="str">
        <f t="shared" si="83"/>
        <v/>
      </c>
      <c r="K123" s="344" t="str">
        <f t="shared" si="83"/>
        <v/>
      </c>
      <c r="L123" s="344" t="str">
        <f t="shared" si="83"/>
        <v/>
      </c>
      <c r="M123" s="344" t="str">
        <f t="shared" si="83"/>
        <v/>
      </c>
      <c r="N123" s="344" t="str">
        <f t="shared" si="83"/>
        <v/>
      </c>
      <c r="O123" s="344" t="str">
        <f t="shared" si="83"/>
        <v/>
      </c>
      <c r="P123" s="344" t="str">
        <f t="shared" si="83"/>
        <v/>
      </c>
      <c r="Q123" s="344" t="str">
        <f t="shared" si="83"/>
        <v/>
      </c>
      <c r="R123" s="344" t="str">
        <f t="shared" si="83"/>
        <v/>
      </c>
      <c r="S123" s="344" t="str">
        <f t="shared" si="83"/>
        <v/>
      </c>
      <c r="T123" s="344" t="str">
        <f t="shared" si="83"/>
        <v/>
      </c>
      <c r="U123" s="344" t="str">
        <f t="shared" si="83"/>
        <v/>
      </c>
      <c r="V123" s="343" t="str">
        <f>IFERROR(VLOOKUP(V121,$AJ$8:$AK$12,2,TRUE),"")</f>
        <v/>
      </c>
      <c r="W123" s="528"/>
      <c r="X123" s="528"/>
      <c r="Y123" s="545"/>
      <c r="Z123" s="548"/>
      <c r="AA123" s="542"/>
      <c r="AB123" s="249" t="s">
        <v>36</v>
      </c>
      <c r="AC123" s="250" t="s">
        <v>36</v>
      </c>
      <c r="AD123" s="554"/>
      <c r="AE123" s="510"/>
      <c r="AF123" s="508"/>
      <c r="AG123" s="558"/>
      <c r="AH123" s="503"/>
    </row>
    <row r="124" spans="1:34" s="8" customFormat="1" ht="15.75" thickBot="1" x14ac:dyDescent="0.25">
      <c r="A124" s="511">
        <v>30</v>
      </c>
      <c r="B124" s="516" t="str">
        <f>VLOOKUP(A124,biononis,2,1)</f>
        <v>181910318</v>
      </c>
      <c r="C124" s="518" t="str">
        <f>VLOOKUP(A124,biononis,3,1)</f>
        <v>RISMA SURYANI</v>
      </c>
      <c r="D124" s="49" t="str">
        <f>B124&amp;"A"</f>
        <v>181910318A</v>
      </c>
      <c r="E124" s="235" t="s">
        <v>259</v>
      </c>
      <c r="F124" s="251">
        <v>70</v>
      </c>
      <c r="G124" s="252">
        <v>82</v>
      </c>
      <c r="H124" s="252">
        <v>81</v>
      </c>
      <c r="I124" s="252">
        <v>72</v>
      </c>
      <c r="J124" s="252">
        <v>70</v>
      </c>
      <c r="K124" s="252">
        <v>70</v>
      </c>
      <c r="L124" s="252">
        <v>78</v>
      </c>
      <c r="M124" s="252">
        <v>80</v>
      </c>
      <c r="N124" s="252">
        <v>60</v>
      </c>
      <c r="O124" s="252">
        <v>80</v>
      </c>
      <c r="P124" s="252">
        <v>82</v>
      </c>
      <c r="Q124" s="252">
        <v>82</v>
      </c>
      <c r="R124" s="252">
        <v>80</v>
      </c>
      <c r="S124" s="252">
        <v>70</v>
      </c>
      <c r="T124" s="252">
        <v>76</v>
      </c>
      <c r="U124" s="252">
        <v>75</v>
      </c>
      <c r="V124" s="238">
        <v>75</v>
      </c>
      <c r="W124" s="526" t="s">
        <v>6</v>
      </c>
      <c r="X124" s="526" t="s">
        <v>6</v>
      </c>
      <c r="Y124" s="543" t="s">
        <v>36</v>
      </c>
      <c r="Z124" s="546" t="s">
        <v>36</v>
      </c>
      <c r="AA124" s="540">
        <v>1</v>
      </c>
      <c r="AB124" s="237" t="s">
        <v>177</v>
      </c>
      <c r="AC124" s="238" t="s">
        <v>36</v>
      </c>
      <c r="AD124" s="434">
        <f>IFERROR(AVERAGE(F124:V124),"")</f>
        <v>75.470588235294116</v>
      </c>
      <c r="AE124" s="510">
        <f t="shared" ref="AE124" si="84">IFERROR((AD124+AD125)/2,"")</f>
        <v>75.85294117647058</v>
      </c>
      <c r="AF124" s="506">
        <f>IFERROR(RANK(AE124,$AE$8:$AE$167,0),"")</f>
        <v>6</v>
      </c>
      <c r="AG124" s="559" t="s">
        <v>277</v>
      </c>
      <c r="AH124" s="503" t="s">
        <v>348</v>
      </c>
    </row>
    <row r="125" spans="1:34" s="8" customFormat="1" ht="15.75" thickBot="1" x14ac:dyDescent="0.25">
      <c r="A125" s="512"/>
      <c r="B125" s="517"/>
      <c r="C125" s="519"/>
      <c r="D125" s="49" t="str">
        <f>B124&amp;"B"</f>
        <v>181910318B</v>
      </c>
      <c r="E125" s="239" t="s">
        <v>260</v>
      </c>
      <c r="F125" s="253">
        <v>70</v>
      </c>
      <c r="G125" s="240">
        <v>80</v>
      </c>
      <c r="H125" s="240">
        <v>82</v>
      </c>
      <c r="I125" s="240">
        <v>76</v>
      </c>
      <c r="J125" s="240">
        <v>70</v>
      </c>
      <c r="K125" s="240">
        <v>74</v>
      </c>
      <c r="L125" s="240">
        <v>77</v>
      </c>
      <c r="M125" s="240">
        <v>65</v>
      </c>
      <c r="N125" s="240">
        <v>65</v>
      </c>
      <c r="O125" s="240">
        <v>90</v>
      </c>
      <c r="P125" s="240">
        <v>70</v>
      </c>
      <c r="Q125" s="240">
        <v>84</v>
      </c>
      <c r="R125" s="240">
        <v>80</v>
      </c>
      <c r="S125" s="240">
        <v>80</v>
      </c>
      <c r="T125" s="240">
        <v>80</v>
      </c>
      <c r="U125" s="240">
        <v>78</v>
      </c>
      <c r="V125" s="341">
        <v>75</v>
      </c>
      <c r="W125" s="527"/>
      <c r="X125" s="527"/>
      <c r="Y125" s="544"/>
      <c r="Z125" s="547"/>
      <c r="AA125" s="541"/>
      <c r="AB125" s="241" t="s">
        <v>36</v>
      </c>
      <c r="AC125" s="242" t="s">
        <v>36</v>
      </c>
      <c r="AD125" s="435">
        <f>IFERROR(AVERAGE(F125:V125),"")</f>
        <v>76.235294117647058</v>
      </c>
      <c r="AE125" s="510"/>
      <c r="AF125" s="507"/>
      <c r="AG125" s="557"/>
      <c r="AH125" s="503"/>
    </row>
    <row r="126" spans="1:34" s="8" customFormat="1" ht="15.75" thickBot="1" x14ac:dyDescent="0.25">
      <c r="A126" s="512"/>
      <c r="B126" s="517"/>
      <c r="C126" s="519"/>
      <c r="D126" s="49" t="str">
        <f>B124&amp;"C"</f>
        <v>181910318C</v>
      </c>
      <c r="E126" s="243" t="s">
        <v>150</v>
      </c>
      <c r="F126" s="244" t="str">
        <f>IFERROR(VLOOKUP(F124,$AJ$8:$AK$12,2,TRUE),"")</f>
        <v>C</v>
      </c>
      <c r="G126" s="345" t="str">
        <f t="shared" ref="G126:V126" si="85">IFERROR(VLOOKUP(G124,$AJ$8:$AK$12,2,TRUE),"")</f>
        <v>B</v>
      </c>
      <c r="H126" s="345" t="str">
        <f t="shared" si="85"/>
        <v>B</v>
      </c>
      <c r="I126" s="345" t="str">
        <f t="shared" si="85"/>
        <v>C</v>
      </c>
      <c r="J126" s="345" t="str">
        <f t="shared" si="85"/>
        <v>C</v>
      </c>
      <c r="K126" s="345" t="str">
        <f t="shared" si="85"/>
        <v>C</v>
      </c>
      <c r="L126" s="345" t="str">
        <f t="shared" si="85"/>
        <v>C</v>
      </c>
      <c r="M126" s="345" t="str">
        <f t="shared" si="85"/>
        <v>B</v>
      </c>
      <c r="N126" s="345" t="str">
        <f t="shared" si="85"/>
        <v>D</v>
      </c>
      <c r="O126" s="345" t="str">
        <f t="shared" si="85"/>
        <v>B</v>
      </c>
      <c r="P126" s="345" t="str">
        <f t="shared" si="85"/>
        <v>B</v>
      </c>
      <c r="Q126" s="345" t="str">
        <f t="shared" si="85"/>
        <v>B</v>
      </c>
      <c r="R126" s="345" t="str">
        <f t="shared" si="85"/>
        <v>B</v>
      </c>
      <c r="S126" s="345" t="str">
        <f t="shared" si="85"/>
        <v>C</v>
      </c>
      <c r="T126" s="345" t="str">
        <f t="shared" si="85"/>
        <v>C</v>
      </c>
      <c r="U126" s="345" t="str">
        <f t="shared" si="85"/>
        <v>C</v>
      </c>
      <c r="V126" s="342" t="str">
        <f t="shared" si="85"/>
        <v>C</v>
      </c>
      <c r="W126" s="527"/>
      <c r="X126" s="527"/>
      <c r="Y126" s="544"/>
      <c r="Z126" s="547"/>
      <c r="AA126" s="541"/>
      <c r="AB126" s="241" t="s">
        <v>36</v>
      </c>
      <c r="AC126" s="242" t="s">
        <v>36</v>
      </c>
      <c r="AD126" s="553">
        <f>SUM(F124:V125)</f>
        <v>2579</v>
      </c>
      <c r="AE126" s="510"/>
      <c r="AF126" s="507"/>
      <c r="AG126" s="557"/>
      <c r="AH126" s="503"/>
    </row>
    <row r="127" spans="1:34" s="8" customFormat="1" ht="15.75" thickBot="1" x14ac:dyDescent="0.25">
      <c r="A127" s="513"/>
      <c r="B127" s="254"/>
      <c r="C127" s="255"/>
      <c r="D127" s="49" t="str">
        <f>B124&amp;"D"</f>
        <v>181910318D</v>
      </c>
      <c r="E127" s="247" t="s">
        <v>151</v>
      </c>
      <c r="F127" s="248" t="str">
        <f>IFERROR(VLOOKUP(F125,$AJ$8:$AK$12,2,TRUE),"")</f>
        <v>C</v>
      </c>
      <c r="G127" s="344" t="str">
        <f t="shared" ref="G127:U127" si="86">IFERROR(VLOOKUP(G125,$AJ$8:$AK$12,2,TRUE),"")</f>
        <v>B</v>
      </c>
      <c r="H127" s="344" t="str">
        <f t="shared" si="86"/>
        <v>B</v>
      </c>
      <c r="I127" s="344" t="str">
        <f t="shared" si="86"/>
        <v>C</v>
      </c>
      <c r="J127" s="344" t="str">
        <f t="shared" si="86"/>
        <v>C</v>
      </c>
      <c r="K127" s="344" t="str">
        <f t="shared" si="86"/>
        <v>C</v>
      </c>
      <c r="L127" s="344" t="str">
        <f t="shared" si="86"/>
        <v>C</v>
      </c>
      <c r="M127" s="344" t="str">
        <f t="shared" si="86"/>
        <v>D</v>
      </c>
      <c r="N127" s="344" t="str">
        <f t="shared" si="86"/>
        <v>D</v>
      </c>
      <c r="O127" s="344" t="str">
        <f t="shared" si="86"/>
        <v>A</v>
      </c>
      <c r="P127" s="344" t="str">
        <f t="shared" si="86"/>
        <v>C</v>
      </c>
      <c r="Q127" s="344" t="str">
        <f t="shared" si="86"/>
        <v>B</v>
      </c>
      <c r="R127" s="344" t="str">
        <f t="shared" si="86"/>
        <v>B</v>
      </c>
      <c r="S127" s="344" t="str">
        <f t="shared" si="86"/>
        <v>B</v>
      </c>
      <c r="T127" s="344" t="str">
        <f t="shared" si="86"/>
        <v>B</v>
      </c>
      <c r="U127" s="344" t="str">
        <f t="shared" si="86"/>
        <v>C</v>
      </c>
      <c r="V127" s="343" t="str">
        <f>IFERROR(VLOOKUP(V125,$AJ$8:$AK$12,2,TRUE),"")</f>
        <v>C</v>
      </c>
      <c r="W127" s="528"/>
      <c r="X127" s="528"/>
      <c r="Y127" s="545"/>
      <c r="Z127" s="548"/>
      <c r="AA127" s="542"/>
      <c r="AB127" s="249" t="s">
        <v>36</v>
      </c>
      <c r="AC127" s="250" t="s">
        <v>36</v>
      </c>
      <c r="AD127" s="554"/>
      <c r="AE127" s="510"/>
      <c r="AF127" s="508"/>
      <c r="AG127" s="558"/>
      <c r="AH127" s="503"/>
    </row>
    <row r="128" spans="1:34" s="8" customFormat="1" ht="15.75" thickBot="1" x14ac:dyDescent="0.25">
      <c r="A128" s="514">
        <v>31</v>
      </c>
      <c r="B128" s="517" t="str">
        <f>VLOOKUP(A128,biononis,2,1)</f>
        <v>181910320</v>
      </c>
      <c r="C128" s="519" t="str">
        <f>VLOOKUP(A128,biononis,3,1)</f>
        <v>RISNA TIRANI</v>
      </c>
      <c r="D128" s="49" t="str">
        <f>B128&amp;"A"</f>
        <v>181910320A</v>
      </c>
      <c r="E128" s="235" t="s">
        <v>259</v>
      </c>
      <c r="F128" s="251">
        <v>80</v>
      </c>
      <c r="G128" s="252">
        <v>82</v>
      </c>
      <c r="H128" s="252">
        <v>85</v>
      </c>
      <c r="I128" s="252">
        <v>82</v>
      </c>
      <c r="J128" s="252">
        <v>80</v>
      </c>
      <c r="K128" s="252">
        <v>81</v>
      </c>
      <c r="L128" s="252">
        <v>77</v>
      </c>
      <c r="M128" s="252">
        <v>83</v>
      </c>
      <c r="N128" s="252">
        <v>80</v>
      </c>
      <c r="O128" s="252">
        <v>77</v>
      </c>
      <c r="P128" s="252">
        <v>74</v>
      </c>
      <c r="Q128" s="252">
        <v>88</v>
      </c>
      <c r="R128" s="252">
        <v>80</v>
      </c>
      <c r="S128" s="252">
        <v>73</v>
      </c>
      <c r="T128" s="252">
        <v>82</v>
      </c>
      <c r="U128" s="252">
        <v>76</v>
      </c>
      <c r="V128" s="238">
        <v>90</v>
      </c>
      <c r="W128" s="526" t="s">
        <v>285</v>
      </c>
      <c r="X128" s="526" t="s">
        <v>285</v>
      </c>
      <c r="Y128" s="543" t="s">
        <v>36</v>
      </c>
      <c r="Z128" s="546" t="s">
        <v>36</v>
      </c>
      <c r="AA128" s="540">
        <v>0</v>
      </c>
      <c r="AB128" s="237" t="s">
        <v>177</v>
      </c>
      <c r="AC128" s="238" t="s">
        <v>36</v>
      </c>
      <c r="AD128" s="434">
        <f>IFERROR(AVERAGE(F128:V128),"")</f>
        <v>80.588235294117652</v>
      </c>
      <c r="AE128" s="510">
        <f t="shared" ref="AE128" si="87">IFERROR((AD128+AD129)/2,"")</f>
        <v>80.5</v>
      </c>
      <c r="AF128" s="506">
        <f>IFERROR(RANK(AE128,$AE$8:$AE$167,0),"")</f>
        <v>1</v>
      </c>
      <c r="AG128" s="559" t="s">
        <v>278</v>
      </c>
      <c r="AH128" s="503" t="s">
        <v>348</v>
      </c>
    </row>
    <row r="129" spans="1:34" s="8" customFormat="1" ht="15.75" thickBot="1" x14ac:dyDescent="0.25">
      <c r="A129" s="512"/>
      <c r="B129" s="517"/>
      <c r="C129" s="519"/>
      <c r="D129" s="49" t="str">
        <f>B128&amp;"B"</f>
        <v>181910320B</v>
      </c>
      <c r="E129" s="239" t="s">
        <v>260</v>
      </c>
      <c r="F129" s="253">
        <v>80</v>
      </c>
      <c r="G129" s="240">
        <v>82</v>
      </c>
      <c r="H129" s="240">
        <v>84</v>
      </c>
      <c r="I129" s="240">
        <v>80</v>
      </c>
      <c r="J129" s="240">
        <v>75</v>
      </c>
      <c r="K129" s="240">
        <v>77</v>
      </c>
      <c r="L129" s="240">
        <v>76</v>
      </c>
      <c r="M129" s="240">
        <v>87</v>
      </c>
      <c r="N129" s="240">
        <v>76</v>
      </c>
      <c r="O129" s="240">
        <v>85</v>
      </c>
      <c r="P129" s="240">
        <v>70</v>
      </c>
      <c r="Q129" s="240">
        <v>89</v>
      </c>
      <c r="R129" s="240">
        <v>80</v>
      </c>
      <c r="S129" s="240">
        <v>80</v>
      </c>
      <c r="T129" s="240">
        <v>81</v>
      </c>
      <c r="U129" s="240">
        <v>80</v>
      </c>
      <c r="V129" s="341">
        <v>85</v>
      </c>
      <c r="W129" s="527"/>
      <c r="X129" s="527"/>
      <c r="Y129" s="544"/>
      <c r="Z129" s="547"/>
      <c r="AA129" s="541"/>
      <c r="AB129" s="241" t="s">
        <v>437</v>
      </c>
      <c r="AC129" s="242" t="s">
        <v>6</v>
      </c>
      <c r="AD129" s="435">
        <f>IFERROR(AVERAGE(F129:V129),"")</f>
        <v>80.411764705882348</v>
      </c>
      <c r="AE129" s="510"/>
      <c r="AF129" s="507"/>
      <c r="AG129" s="557"/>
      <c r="AH129" s="503"/>
    </row>
    <row r="130" spans="1:34" s="8" customFormat="1" ht="15.75" thickBot="1" x14ac:dyDescent="0.25">
      <c r="A130" s="512"/>
      <c r="B130" s="517"/>
      <c r="C130" s="519"/>
      <c r="D130" s="49" t="str">
        <f>B128&amp;"C"</f>
        <v>181910320C</v>
      </c>
      <c r="E130" s="243" t="s">
        <v>150</v>
      </c>
      <c r="F130" s="244" t="str">
        <f>IFERROR(VLOOKUP(F128,$AJ$8:$AK$12,2,TRUE),"")</f>
        <v>B</v>
      </c>
      <c r="G130" s="345" t="str">
        <f t="shared" ref="G130:V130" si="88">IFERROR(VLOOKUP(G128,$AJ$8:$AK$12,2,TRUE),"")</f>
        <v>B</v>
      </c>
      <c r="H130" s="345" t="str">
        <f t="shared" si="88"/>
        <v>B</v>
      </c>
      <c r="I130" s="345" t="str">
        <f t="shared" si="88"/>
        <v>B</v>
      </c>
      <c r="J130" s="345" t="str">
        <f t="shared" si="88"/>
        <v>B</v>
      </c>
      <c r="K130" s="345" t="str">
        <f t="shared" si="88"/>
        <v>B</v>
      </c>
      <c r="L130" s="345" t="str">
        <f t="shared" si="88"/>
        <v>C</v>
      </c>
      <c r="M130" s="345" t="str">
        <f t="shared" si="88"/>
        <v>B</v>
      </c>
      <c r="N130" s="345" t="str">
        <f t="shared" si="88"/>
        <v>B</v>
      </c>
      <c r="O130" s="345" t="str">
        <f t="shared" si="88"/>
        <v>C</v>
      </c>
      <c r="P130" s="345" t="str">
        <f t="shared" si="88"/>
        <v>C</v>
      </c>
      <c r="Q130" s="345" t="str">
        <f t="shared" si="88"/>
        <v>B</v>
      </c>
      <c r="R130" s="345" t="str">
        <f t="shared" si="88"/>
        <v>B</v>
      </c>
      <c r="S130" s="345" t="str">
        <f t="shared" si="88"/>
        <v>C</v>
      </c>
      <c r="T130" s="345" t="str">
        <f t="shared" si="88"/>
        <v>B</v>
      </c>
      <c r="U130" s="345" t="str">
        <f t="shared" si="88"/>
        <v>C</v>
      </c>
      <c r="V130" s="342" t="str">
        <f t="shared" si="88"/>
        <v>A</v>
      </c>
      <c r="W130" s="527"/>
      <c r="X130" s="527"/>
      <c r="Y130" s="544"/>
      <c r="Z130" s="547"/>
      <c r="AA130" s="541"/>
      <c r="AB130" s="241" t="s">
        <v>36</v>
      </c>
      <c r="AC130" s="242" t="s">
        <v>36</v>
      </c>
      <c r="AD130" s="553">
        <f>SUM(F128:V129)</f>
        <v>2737</v>
      </c>
      <c r="AE130" s="510"/>
      <c r="AF130" s="507"/>
      <c r="AG130" s="557"/>
      <c r="AH130" s="503"/>
    </row>
    <row r="131" spans="1:34" s="8" customFormat="1" ht="15.75" thickBot="1" x14ac:dyDescent="0.25">
      <c r="A131" s="515"/>
      <c r="B131" s="245"/>
      <c r="C131" s="246"/>
      <c r="D131" s="49" t="str">
        <f>B128&amp;"D"</f>
        <v>181910320D</v>
      </c>
      <c r="E131" s="247" t="s">
        <v>151</v>
      </c>
      <c r="F131" s="248" t="str">
        <f>IFERROR(VLOOKUP(F129,$AJ$8:$AK$12,2,TRUE),"")</f>
        <v>B</v>
      </c>
      <c r="G131" s="344" t="str">
        <f t="shared" ref="G131:U131" si="89">IFERROR(VLOOKUP(G129,$AJ$8:$AK$12,2,TRUE),"")</f>
        <v>B</v>
      </c>
      <c r="H131" s="344" t="str">
        <f t="shared" si="89"/>
        <v>B</v>
      </c>
      <c r="I131" s="344" t="str">
        <f t="shared" si="89"/>
        <v>B</v>
      </c>
      <c r="J131" s="344" t="str">
        <f t="shared" si="89"/>
        <v>C</v>
      </c>
      <c r="K131" s="344" t="str">
        <f t="shared" si="89"/>
        <v>C</v>
      </c>
      <c r="L131" s="344" t="str">
        <f t="shared" si="89"/>
        <v>C</v>
      </c>
      <c r="M131" s="344" t="str">
        <f t="shared" si="89"/>
        <v>B</v>
      </c>
      <c r="N131" s="344" t="str">
        <f t="shared" si="89"/>
        <v>C</v>
      </c>
      <c r="O131" s="344" t="str">
        <f t="shared" si="89"/>
        <v>B</v>
      </c>
      <c r="P131" s="344" t="str">
        <f t="shared" si="89"/>
        <v>C</v>
      </c>
      <c r="Q131" s="344" t="str">
        <f t="shared" si="89"/>
        <v>B</v>
      </c>
      <c r="R131" s="344" t="str">
        <f t="shared" si="89"/>
        <v>B</v>
      </c>
      <c r="S131" s="344" t="str">
        <f t="shared" si="89"/>
        <v>B</v>
      </c>
      <c r="T131" s="344" t="str">
        <f t="shared" si="89"/>
        <v>B</v>
      </c>
      <c r="U131" s="344" t="str">
        <f t="shared" si="89"/>
        <v>B</v>
      </c>
      <c r="V131" s="343" t="str">
        <f>IFERROR(VLOOKUP(V129,$AJ$8:$AK$12,2,TRUE),"")</f>
        <v>B</v>
      </c>
      <c r="W131" s="528"/>
      <c r="X131" s="528"/>
      <c r="Y131" s="545"/>
      <c r="Z131" s="548"/>
      <c r="AA131" s="542"/>
      <c r="AB131" s="249" t="s">
        <v>36</v>
      </c>
      <c r="AC131" s="250" t="s">
        <v>36</v>
      </c>
      <c r="AD131" s="554"/>
      <c r="AE131" s="510"/>
      <c r="AF131" s="508"/>
      <c r="AG131" s="558"/>
      <c r="AH131" s="503"/>
    </row>
    <row r="132" spans="1:34" s="8" customFormat="1" ht="15.75" thickBot="1" x14ac:dyDescent="0.25">
      <c r="A132" s="511">
        <v>32</v>
      </c>
      <c r="B132" s="516" t="str">
        <f>VLOOKUP(A132,biononis,2,1)</f>
        <v>181910331</v>
      </c>
      <c r="C132" s="518" t="str">
        <f>VLOOKUP(A132,biononis,3,1)</f>
        <v>RULLY PRATAMA S.</v>
      </c>
      <c r="D132" s="49" t="str">
        <f>B132&amp;"A"</f>
        <v>181910331A</v>
      </c>
      <c r="E132" s="235" t="s">
        <v>259</v>
      </c>
      <c r="F132" s="251">
        <v>50</v>
      </c>
      <c r="G132" s="252">
        <v>65</v>
      </c>
      <c r="H132" s="252">
        <v>80</v>
      </c>
      <c r="I132" s="252">
        <v>61</v>
      </c>
      <c r="J132" s="252">
        <v>54</v>
      </c>
      <c r="K132" s="252">
        <v>70</v>
      </c>
      <c r="L132" s="252">
        <v>74</v>
      </c>
      <c r="M132" s="252">
        <v>75</v>
      </c>
      <c r="N132" s="252">
        <v>60</v>
      </c>
      <c r="O132" s="252">
        <v>29</v>
      </c>
      <c r="P132" s="252">
        <v>10</v>
      </c>
      <c r="Q132" s="252">
        <v>77</v>
      </c>
      <c r="R132" s="252">
        <v>70</v>
      </c>
      <c r="S132" s="252">
        <v>70</v>
      </c>
      <c r="T132" s="252">
        <v>56</v>
      </c>
      <c r="U132" s="252">
        <v>70</v>
      </c>
      <c r="V132" s="238">
        <v>70</v>
      </c>
      <c r="W132" s="526" t="s">
        <v>6</v>
      </c>
      <c r="X132" s="526" t="s">
        <v>6</v>
      </c>
      <c r="Y132" s="543" t="s">
        <v>36</v>
      </c>
      <c r="Z132" s="546" t="s">
        <v>36</v>
      </c>
      <c r="AA132" s="540">
        <v>15</v>
      </c>
      <c r="AB132" s="237" t="s">
        <v>177</v>
      </c>
      <c r="AC132" s="238" t="s">
        <v>36</v>
      </c>
      <c r="AD132" s="434">
        <f>IFERROR(AVERAGE(F132:V132),"")</f>
        <v>61.235294117647058</v>
      </c>
      <c r="AE132" s="510">
        <f t="shared" ref="AE132" si="90">IFERROR((AD132+AD133)/2,"")</f>
        <v>60.32352941176471</v>
      </c>
      <c r="AF132" s="506">
        <f>IFERROR(RANK(AE132,$AE$8:$AE$167,0),"")</f>
        <v>16</v>
      </c>
      <c r="AG132" s="559" t="s">
        <v>280</v>
      </c>
      <c r="AH132" s="503" t="s">
        <v>330</v>
      </c>
    </row>
    <row r="133" spans="1:34" s="8" customFormat="1" ht="15.75" thickBot="1" x14ac:dyDescent="0.25">
      <c r="A133" s="512"/>
      <c r="B133" s="517"/>
      <c r="C133" s="519"/>
      <c r="D133" s="49" t="str">
        <f>B132&amp;"B"</f>
        <v>181910331B</v>
      </c>
      <c r="E133" s="239" t="s">
        <v>260</v>
      </c>
      <c r="F133" s="253">
        <v>50</v>
      </c>
      <c r="G133" s="240">
        <v>70</v>
      </c>
      <c r="H133" s="240">
        <v>85</v>
      </c>
      <c r="I133" s="240">
        <v>65</v>
      </c>
      <c r="J133" s="240">
        <v>54</v>
      </c>
      <c r="K133" s="240">
        <v>71</v>
      </c>
      <c r="L133" s="240">
        <v>74</v>
      </c>
      <c r="M133" s="240">
        <v>60</v>
      </c>
      <c r="N133" s="240">
        <v>65</v>
      </c>
      <c r="O133" s="240">
        <v>80</v>
      </c>
      <c r="P133" s="240">
        <v>0</v>
      </c>
      <c r="Q133" s="240">
        <v>79</v>
      </c>
      <c r="R133" s="240">
        <v>70</v>
      </c>
      <c r="S133" s="240">
        <v>0</v>
      </c>
      <c r="T133" s="240">
        <v>52</v>
      </c>
      <c r="U133" s="240">
        <v>70</v>
      </c>
      <c r="V133" s="341">
        <v>65</v>
      </c>
      <c r="W133" s="527"/>
      <c r="X133" s="527"/>
      <c r="Y133" s="544"/>
      <c r="Z133" s="547"/>
      <c r="AA133" s="541"/>
      <c r="AB133" s="241" t="s">
        <v>36</v>
      </c>
      <c r="AC133" s="242" t="s">
        <v>36</v>
      </c>
      <c r="AD133" s="435">
        <f>IFERROR(AVERAGE(F133:V133),"")</f>
        <v>59.411764705882355</v>
      </c>
      <c r="AE133" s="510"/>
      <c r="AF133" s="507"/>
      <c r="AG133" s="557"/>
      <c r="AH133" s="503"/>
    </row>
    <row r="134" spans="1:34" s="8" customFormat="1" ht="15.75" thickBot="1" x14ac:dyDescent="0.25">
      <c r="A134" s="512"/>
      <c r="B134" s="517"/>
      <c r="C134" s="519"/>
      <c r="D134" s="49" t="str">
        <f>B132&amp;"C"</f>
        <v>181910331C</v>
      </c>
      <c r="E134" s="243" t="s">
        <v>150</v>
      </c>
      <c r="F134" s="244" t="str">
        <f>IFERROR(VLOOKUP(F132,$AJ$8:$AK$12,2,TRUE),"")</f>
        <v>D</v>
      </c>
      <c r="G134" s="345" t="str">
        <f t="shared" ref="G134:V134" si="91">IFERROR(VLOOKUP(G132,$AJ$8:$AK$12,2,TRUE),"")</f>
        <v>D</v>
      </c>
      <c r="H134" s="345" t="str">
        <f t="shared" si="91"/>
        <v>B</v>
      </c>
      <c r="I134" s="345" t="str">
        <f t="shared" si="91"/>
        <v>D</v>
      </c>
      <c r="J134" s="345" t="str">
        <f t="shared" si="91"/>
        <v>D</v>
      </c>
      <c r="K134" s="345" t="str">
        <f t="shared" si="91"/>
        <v>C</v>
      </c>
      <c r="L134" s="345" t="str">
        <f t="shared" si="91"/>
        <v>C</v>
      </c>
      <c r="M134" s="345" t="str">
        <f t="shared" si="91"/>
        <v>C</v>
      </c>
      <c r="N134" s="345" t="str">
        <f t="shared" si="91"/>
        <v>D</v>
      </c>
      <c r="O134" s="345" t="str">
        <f t="shared" si="91"/>
        <v>D</v>
      </c>
      <c r="P134" s="345" t="str">
        <f t="shared" si="91"/>
        <v>D</v>
      </c>
      <c r="Q134" s="345" t="str">
        <f t="shared" si="91"/>
        <v>C</v>
      </c>
      <c r="R134" s="345" t="str">
        <f t="shared" si="91"/>
        <v>C</v>
      </c>
      <c r="S134" s="345" t="str">
        <f t="shared" si="91"/>
        <v>C</v>
      </c>
      <c r="T134" s="345" t="str">
        <f t="shared" si="91"/>
        <v>D</v>
      </c>
      <c r="U134" s="345" t="str">
        <f t="shared" si="91"/>
        <v>C</v>
      </c>
      <c r="V134" s="342" t="str">
        <f t="shared" si="91"/>
        <v>C</v>
      </c>
      <c r="W134" s="527"/>
      <c r="X134" s="527"/>
      <c r="Y134" s="544"/>
      <c r="Z134" s="547"/>
      <c r="AA134" s="541"/>
      <c r="AB134" s="241" t="s">
        <v>36</v>
      </c>
      <c r="AC134" s="242" t="s">
        <v>36</v>
      </c>
      <c r="AD134" s="553">
        <f>SUM(F132:V133)</f>
        <v>2051</v>
      </c>
      <c r="AE134" s="510"/>
      <c r="AF134" s="507"/>
      <c r="AG134" s="557"/>
      <c r="AH134" s="503"/>
    </row>
    <row r="135" spans="1:34" s="8" customFormat="1" ht="15.75" thickBot="1" x14ac:dyDescent="0.25">
      <c r="A135" s="513"/>
      <c r="B135" s="254"/>
      <c r="C135" s="255"/>
      <c r="D135" s="49" t="str">
        <f>B132&amp;"D"</f>
        <v>181910331D</v>
      </c>
      <c r="E135" s="247" t="s">
        <v>151</v>
      </c>
      <c r="F135" s="248" t="str">
        <f>IFERROR(VLOOKUP(F133,$AJ$8:$AK$12,2,TRUE),"")</f>
        <v>D</v>
      </c>
      <c r="G135" s="344" t="str">
        <f t="shared" ref="G135:U135" si="92">IFERROR(VLOOKUP(G133,$AJ$8:$AK$12,2,TRUE),"")</f>
        <v>C</v>
      </c>
      <c r="H135" s="344" t="str">
        <f t="shared" si="92"/>
        <v>B</v>
      </c>
      <c r="I135" s="344" t="str">
        <f t="shared" si="92"/>
        <v>D</v>
      </c>
      <c r="J135" s="344" t="str">
        <f t="shared" si="92"/>
        <v>D</v>
      </c>
      <c r="K135" s="344" t="str">
        <f t="shared" si="92"/>
        <v>C</v>
      </c>
      <c r="L135" s="344" t="str">
        <f t="shared" si="92"/>
        <v>C</v>
      </c>
      <c r="M135" s="344" t="str">
        <f t="shared" si="92"/>
        <v>D</v>
      </c>
      <c r="N135" s="344" t="str">
        <f t="shared" si="92"/>
        <v>D</v>
      </c>
      <c r="O135" s="344" t="str">
        <f t="shared" si="92"/>
        <v>B</v>
      </c>
      <c r="P135" s="344" t="str">
        <f t="shared" si="92"/>
        <v/>
      </c>
      <c r="Q135" s="344" t="str">
        <f t="shared" si="92"/>
        <v>C</v>
      </c>
      <c r="R135" s="344" t="str">
        <f t="shared" si="92"/>
        <v>C</v>
      </c>
      <c r="S135" s="344" t="str">
        <f t="shared" si="92"/>
        <v/>
      </c>
      <c r="T135" s="344" t="str">
        <f t="shared" si="92"/>
        <v>D</v>
      </c>
      <c r="U135" s="344" t="str">
        <f t="shared" si="92"/>
        <v>C</v>
      </c>
      <c r="V135" s="343" t="str">
        <f>IFERROR(VLOOKUP(V133,$AJ$8:$AK$12,2,TRUE),"")</f>
        <v>D</v>
      </c>
      <c r="W135" s="528"/>
      <c r="X135" s="528"/>
      <c r="Y135" s="545"/>
      <c r="Z135" s="548"/>
      <c r="AA135" s="542"/>
      <c r="AB135" s="249" t="s">
        <v>36</v>
      </c>
      <c r="AC135" s="250" t="s">
        <v>36</v>
      </c>
      <c r="AD135" s="554"/>
      <c r="AE135" s="510"/>
      <c r="AF135" s="508"/>
      <c r="AG135" s="558"/>
      <c r="AH135" s="503"/>
    </row>
    <row r="136" spans="1:34" s="8" customFormat="1" ht="15.75" thickBot="1" x14ac:dyDescent="0.25">
      <c r="A136" s="514">
        <v>33</v>
      </c>
      <c r="B136" s="517" t="str">
        <f>VLOOKUP(A136,biononis,2,1)</f>
        <v>181910335</v>
      </c>
      <c r="C136" s="519" t="str">
        <f>VLOOKUP(A136,biononis,3,1)</f>
        <v>SALSA ASYKIYA</v>
      </c>
      <c r="D136" s="49" t="str">
        <f>B136&amp;"A"</f>
        <v>181910335A</v>
      </c>
      <c r="E136" s="235" t="s">
        <v>259</v>
      </c>
      <c r="F136" s="251">
        <v>80</v>
      </c>
      <c r="G136" s="252">
        <v>82</v>
      </c>
      <c r="H136" s="252">
        <v>86</v>
      </c>
      <c r="I136" s="252">
        <v>84</v>
      </c>
      <c r="J136" s="252">
        <v>80</v>
      </c>
      <c r="K136" s="252">
        <v>78</v>
      </c>
      <c r="L136" s="252">
        <v>76</v>
      </c>
      <c r="M136" s="252">
        <v>80</v>
      </c>
      <c r="N136" s="252">
        <v>80</v>
      </c>
      <c r="O136" s="252">
        <v>80</v>
      </c>
      <c r="P136" s="252">
        <v>85</v>
      </c>
      <c r="Q136" s="252">
        <v>87</v>
      </c>
      <c r="R136" s="252">
        <v>82</v>
      </c>
      <c r="S136" s="252">
        <v>83</v>
      </c>
      <c r="T136" s="252">
        <v>81</v>
      </c>
      <c r="U136" s="252">
        <v>76</v>
      </c>
      <c r="V136" s="238">
        <v>75</v>
      </c>
      <c r="W136" s="526" t="s">
        <v>285</v>
      </c>
      <c r="X136" s="526" t="s">
        <v>6</v>
      </c>
      <c r="Y136" s="543" t="s">
        <v>36</v>
      </c>
      <c r="Z136" s="546" t="s">
        <v>36</v>
      </c>
      <c r="AA136" s="540">
        <v>0</v>
      </c>
      <c r="AB136" s="237" t="s">
        <v>177</v>
      </c>
      <c r="AC136" s="238" t="s">
        <v>36</v>
      </c>
      <c r="AD136" s="434">
        <f>IFERROR(AVERAGE(F136:V136),"")</f>
        <v>80.882352941176464</v>
      </c>
      <c r="AE136" s="510">
        <f t="shared" ref="AE136" si="93">IFERROR((AD136+AD137)/2,"")</f>
        <v>80.411764705882348</v>
      </c>
      <c r="AF136" s="506">
        <f>IFERROR(RANK(AE136,$AE$8:$AE$167,0),"")</f>
        <v>2</v>
      </c>
      <c r="AG136" s="559" t="s">
        <v>277</v>
      </c>
      <c r="AH136" s="503" t="s">
        <v>348</v>
      </c>
    </row>
    <row r="137" spans="1:34" s="8" customFormat="1" ht="15.75" thickBot="1" x14ac:dyDescent="0.25">
      <c r="A137" s="512"/>
      <c r="B137" s="517"/>
      <c r="C137" s="519"/>
      <c r="D137" s="49" t="str">
        <f>B136&amp;"B"</f>
        <v>181910335B</v>
      </c>
      <c r="E137" s="239" t="s">
        <v>260</v>
      </c>
      <c r="F137" s="253">
        <v>80</v>
      </c>
      <c r="G137" s="240">
        <v>80</v>
      </c>
      <c r="H137" s="240">
        <v>87</v>
      </c>
      <c r="I137" s="240">
        <v>85</v>
      </c>
      <c r="J137" s="240">
        <v>75</v>
      </c>
      <c r="K137" s="240">
        <v>77</v>
      </c>
      <c r="L137" s="240">
        <v>76</v>
      </c>
      <c r="M137" s="240">
        <v>83</v>
      </c>
      <c r="N137" s="240">
        <v>78</v>
      </c>
      <c r="O137" s="240">
        <v>90</v>
      </c>
      <c r="P137" s="240">
        <v>70</v>
      </c>
      <c r="Q137" s="240">
        <v>88</v>
      </c>
      <c r="R137" s="240">
        <v>80</v>
      </c>
      <c r="S137" s="240">
        <v>80</v>
      </c>
      <c r="T137" s="240">
        <v>80</v>
      </c>
      <c r="U137" s="240">
        <v>80</v>
      </c>
      <c r="V137" s="341">
        <v>70</v>
      </c>
      <c r="W137" s="527"/>
      <c r="X137" s="527"/>
      <c r="Y137" s="544"/>
      <c r="Z137" s="547"/>
      <c r="AA137" s="541"/>
      <c r="AB137" s="241" t="s">
        <v>437</v>
      </c>
      <c r="AC137" s="242" t="s">
        <v>6</v>
      </c>
      <c r="AD137" s="435">
        <f>IFERROR(AVERAGE(F137:V137),"")</f>
        <v>79.941176470588232</v>
      </c>
      <c r="AE137" s="510"/>
      <c r="AF137" s="507"/>
      <c r="AG137" s="557"/>
      <c r="AH137" s="503"/>
    </row>
    <row r="138" spans="1:34" s="8" customFormat="1" ht="15.75" thickBot="1" x14ac:dyDescent="0.25">
      <c r="A138" s="512"/>
      <c r="B138" s="517"/>
      <c r="C138" s="519"/>
      <c r="D138" s="49" t="str">
        <f>B136&amp;"C"</f>
        <v>181910335C</v>
      </c>
      <c r="E138" s="243" t="s">
        <v>150</v>
      </c>
      <c r="F138" s="244" t="str">
        <f>IFERROR(VLOOKUP(F136,$AJ$8:$AK$12,2,TRUE),"")</f>
        <v>B</v>
      </c>
      <c r="G138" s="345" t="str">
        <f t="shared" ref="G138:V138" si="94">IFERROR(VLOOKUP(G136,$AJ$8:$AK$12,2,TRUE),"")</f>
        <v>B</v>
      </c>
      <c r="H138" s="345" t="str">
        <f t="shared" si="94"/>
        <v>B</v>
      </c>
      <c r="I138" s="345" t="str">
        <f t="shared" si="94"/>
        <v>B</v>
      </c>
      <c r="J138" s="345" t="str">
        <f t="shared" si="94"/>
        <v>B</v>
      </c>
      <c r="K138" s="345" t="str">
        <f t="shared" si="94"/>
        <v>C</v>
      </c>
      <c r="L138" s="345" t="str">
        <f t="shared" si="94"/>
        <v>C</v>
      </c>
      <c r="M138" s="345" t="str">
        <f t="shared" si="94"/>
        <v>B</v>
      </c>
      <c r="N138" s="345" t="str">
        <f t="shared" si="94"/>
        <v>B</v>
      </c>
      <c r="O138" s="345" t="str">
        <f t="shared" si="94"/>
        <v>B</v>
      </c>
      <c r="P138" s="345" t="str">
        <f t="shared" si="94"/>
        <v>B</v>
      </c>
      <c r="Q138" s="345" t="str">
        <f t="shared" si="94"/>
        <v>B</v>
      </c>
      <c r="R138" s="345" t="str">
        <f t="shared" si="94"/>
        <v>B</v>
      </c>
      <c r="S138" s="345" t="str">
        <f t="shared" si="94"/>
        <v>B</v>
      </c>
      <c r="T138" s="345" t="str">
        <f t="shared" si="94"/>
        <v>B</v>
      </c>
      <c r="U138" s="345" t="str">
        <f t="shared" si="94"/>
        <v>C</v>
      </c>
      <c r="V138" s="342" t="str">
        <f t="shared" si="94"/>
        <v>C</v>
      </c>
      <c r="W138" s="527"/>
      <c r="X138" s="527"/>
      <c r="Y138" s="544"/>
      <c r="Z138" s="547"/>
      <c r="AA138" s="541"/>
      <c r="AB138" s="241" t="s">
        <v>438</v>
      </c>
      <c r="AC138" s="242" t="s">
        <v>6</v>
      </c>
      <c r="AD138" s="553">
        <f>SUM(F136:V137)</f>
        <v>2734</v>
      </c>
      <c r="AE138" s="510"/>
      <c r="AF138" s="507"/>
      <c r="AG138" s="557"/>
      <c r="AH138" s="503"/>
    </row>
    <row r="139" spans="1:34" s="8" customFormat="1" ht="15.75" thickBot="1" x14ac:dyDescent="0.25">
      <c r="A139" s="515"/>
      <c r="B139" s="245"/>
      <c r="C139" s="246"/>
      <c r="D139" s="49" t="str">
        <f>B136&amp;"D"</f>
        <v>181910335D</v>
      </c>
      <c r="E139" s="247" t="s">
        <v>151</v>
      </c>
      <c r="F139" s="248" t="str">
        <f>IFERROR(VLOOKUP(F137,$AJ$8:$AK$12,2,TRUE),"")</f>
        <v>B</v>
      </c>
      <c r="G139" s="344" t="str">
        <f t="shared" ref="G139:U139" si="95">IFERROR(VLOOKUP(G137,$AJ$8:$AK$12,2,TRUE),"")</f>
        <v>B</v>
      </c>
      <c r="H139" s="344" t="str">
        <f t="shared" si="95"/>
        <v>B</v>
      </c>
      <c r="I139" s="344" t="str">
        <f t="shared" si="95"/>
        <v>B</v>
      </c>
      <c r="J139" s="344" t="str">
        <f t="shared" si="95"/>
        <v>C</v>
      </c>
      <c r="K139" s="344" t="str">
        <f t="shared" si="95"/>
        <v>C</v>
      </c>
      <c r="L139" s="344" t="str">
        <f t="shared" si="95"/>
        <v>C</v>
      </c>
      <c r="M139" s="344" t="str">
        <f t="shared" si="95"/>
        <v>B</v>
      </c>
      <c r="N139" s="344" t="str">
        <f t="shared" si="95"/>
        <v>C</v>
      </c>
      <c r="O139" s="344" t="str">
        <f t="shared" si="95"/>
        <v>A</v>
      </c>
      <c r="P139" s="344" t="str">
        <f t="shared" si="95"/>
        <v>C</v>
      </c>
      <c r="Q139" s="344" t="str">
        <f t="shared" si="95"/>
        <v>B</v>
      </c>
      <c r="R139" s="344" t="str">
        <f t="shared" si="95"/>
        <v>B</v>
      </c>
      <c r="S139" s="344" t="str">
        <f t="shared" si="95"/>
        <v>B</v>
      </c>
      <c r="T139" s="344" t="str">
        <f t="shared" si="95"/>
        <v>B</v>
      </c>
      <c r="U139" s="344" t="str">
        <f t="shared" si="95"/>
        <v>B</v>
      </c>
      <c r="V139" s="343" t="str">
        <f>IFERROR(VLOOKUP(V137,$AJ$8:$AK$12,2,TRUE),"")</f>
        <v>C</v>
      </c>
      <c r="W139" s="528"/>
      <c r="X139" s="528"/>
      <c r="Y139" s="545"/>
      <c r="Z139" s="548"/>
      <c r="AA139" s="542"/>
      <c r="AB139" s="249" t="s">
        <v>36</v>
      </c>
      <c r="AC139" s="250" t="s">
        <v>36</v>
      </c>
      <c r="AD139" s="554"/>
      <c r="AE139" s="510"/>
      <c r="AF139" s="508"/>
      <c r="AG139" s="558"/>
      <c r="AH139" s="503"/>
    </row>
    <row r="140" spans="1:34" s="8" customFormat="1" ht="15.75" thickBot="1" x14ac:dyDescent="0.25">
      <c r="A140" s="511">
        <v>34</v>
      </c>
      <c r="B140" s="516" t="str">
        <f>VLOOKUP(A140,biononis,2,1)</f>
        <v>181910353</v>
      </c>
      <c r="C140" s="518" t="str">
        <f>VLOOKUP(A140,biononis,3,1)</f>
        <v>SILFI HAMIDAH</v>
      </c>
      <c r="D140" s="49" t="str">
        <f>B140&amp;"A"</f>
        <v>181910353A</v>
      </c>
      <c r="E140" s="235" t="s">
        <v>259</v>
      </c>
      <c r="F140" s="251">
        <v>75</v>
      </c>
      <c r="G140" s="252">
        <v>80</v>
      </c>
      <c r="H140" s="252">
        <v>80</v>
      </c>
      <c r="I140" s="252">
        <v>78</v>
      </c>
      <c r="J140" s="252">
        <v>80</v>
      </c>
      <c r="K140" s="252">
        <v>70</v>
      </c>
      <c r="L140" s="252">
        <v>76</v>
      </c>
      <c r="M140" s="252">
        <v>80</v>
      </c>
      <c r="N140" s="252">
        <v>73</v>
      </c>
      <c r="O140" s="252">
        <v>78</v>
      </c>
      <c r="P140" s="252">
        <v>73</v>
      </c>
      <c r="Q140" s="252">
        <v>86</v>
      </c>
      <c r="R140" s="252">
        <v>80</v>
      </c>
      <c r="S140" s="252">
        <v>73</v>
      </c>
      <c r="T140" s="252">
        <v>80</v>
      </c>
      <c r="U140" s="252">
        <v>77</v>
      </c>
      <c r="V140" s="238">
        <v>85</v>
      </c>
      <c r="W140" s="526" t="s">
        <v>285</v>
      </c>
      <c r="X140" s="526" t="s">
        <v>285</v>
      </c>
      <c r="Y140" s="543" t="s">
        <v>36</v>
      </c>
      <c r="Z140" s="546" t="s">
        <v>36</v>
      </c>
      <c r="AA140" s="540">
        <v>0</v>
      </c>
      <c r="AB140" s="237" t="s">
        <v>177</v>
      </c>
      <c r="AC140" s="238" t="s">
        <v>36</v>
      </c>
      <c r="AD140" s="434">
        <f>IFERROR(AVERAGE(F140:V140),"")</f>
        <v>77.882352941176464</v>
      </c>
      <c r="AE140" s="510">
        <f t="shared" ref="AE140" si="96">IFERROR((AD140+AD141)/2,"")</f>
        <v>78.35294117647058</v>
      </c>
      <c r="AF140" s="506">
        <f>IFERROR(RANK(AE140,$AE$8:$AE$167,0),"")</f>
        <v>3</v>
      </c>
      <c r="AG140" s="559" t="s">
        <v>277</v>
      </c>
      <c r="AH140" s="503" t="s">
        <v>348</v>
      </c>
    </row>
    <row r="141" spans="1:34" s="8" customFormat="1" ht="15.75" thickBot="1" x14ac:dyDescent="0.25">
      <c r="A141" s="512"/>
      <c r="B141" s="517"/>
      <c r="C141" s="519"/>
      <c r="D141" s="49" t="str">
        <f>B140&amp;"B"</f>
        <v>181910353B</v>
      </c>
      <c r="E141" s="239" t="s">
        <v>260</v>
      </c>
      <c r="F141" s="253">
        <v>75</v>
      </c>
      <c r="G141" s="240">
        <v>80</v>
      </c>
      <c r="H141" s="240">
        <v>80</v>
      </c>
      <c r="I141" s="240">
        <v>76</v>
      </c>
      <c r="J141" s="240">
        <v>75</v>
      </c>
      <c r="K141" s="240">
        <v>71</v>
      </c>
      <c r="L141" s="240">
        <v>76</v>
      </c>
      <c r="M141" s="240">
        <v>83</v>
      </c>
      <c r="N141" s="240">
        <v>75</v>
      </c>
      <c r="O141" s="240">
        <v>90</v>
      </c>
      <c r="P141" s="240">
        <v>70</v>
      </c>
      <c r="Q141" s="240">
        <v>88</v>
      </c>
      <c r="R141" s="240">
        <v>80</v>
      </c>
      <c r="S141" s="240">
        <v>80</v>
      </c>
      <c r="T141" s="240">
        <v>80</v>
      </c>
      <c r="U141" s="240">
        <v>81</v>
      </c>
      <c r="V141" s="341">
        <v>80</v>
      </c>
      <c r="W141" s="527"/>
      <c r="X141" s="527"/>
      <c r="Y141" s="544"/>
      <c r="Z141" s="547"/>
      <c r="AA141" s="541"/>
      <c r="AB141" s="241" t="s">
        <v>36</v>
      </c>
      <c r="AC141" s="242" t="s">
        <v>36</v>
      </c>
      <c r="AD141" s="435">
        <f>IFERROR(AVERAGE(F141:V141),"")</f>
        <v>78.82352941176471</v>
      </c>
      <c r="AE141" s="510"/>
      <c r="AF141" s="507"/>
      <c r="AG141" s="557"/>
      <c r="AH141" s="503"/>
    </row>
    <row r="142" spans="1:34" s="8" customFormat="1" ht="15.75" thickBot="1" x14ac:dyDescent="0.25">
      <c r="A142" s="512"/>
      <c r="B142" s="517"/>
      <c r="C142" s="519"/>
      <c r="D142" s="49" t="str">
        <f>B140&amp;"C"</f>
        <v>181910353C</v>
      </c>
      <c r="E142" s="243" t="s">
        <v>150</v>
      </c>
      <c r="F142" s="244" t="str">
        <f>IFERROR(VLOOKUP(F140,$AJ$8:$AK$12,2,TRUE),"")</f>
        <v>C</v>
      </c>
      <c r="G142" s="345" t="str">
        <f t="shared" ref="G142:V142" si="97">IFERROR(VLOOKUP(G140,$AJ$8:$AK$12,2,TRUE),"")</f>
        <v>B</v>
      </c>
      <c r="H142" s="345" t="str">
        <f t="shared" si="97"/>
        <v>B</v>
      </c>
      <c r="I142" s="345" t="str">
        <f t="shared" si="97"/>
        <v>C</v>
      </c>
      <c r="J142" s="345" t="str">
        <f t="shared" si="97"/>
        <v>B</v>
      </c>
      <c r="K142" s="345" t="str">
        <f t="shared" si="97"/>
        <v>C</v>
      </c>
      <c r="L142" s="345" t="str">
        <f t="shared" si="97"/>
        <v>C</v>
      </c>
      <c r="M142" s="345" t="str">
        <f t="shared" si="97"/>
        <v>B</v>
      </c>
      <c r="N142" s="345" t="str">
        <f t="shared" si="97"/>
        <v>C</v>
      </c>
      <c r="O142" s="345" t="str">
        <f t="shared" si="97"/>
        <v>C</v>
      </c>
      <c r="P142" s="345" t="str">
        <f t="shared" si="97"/>
        <v>C</v>
      </c>
      <c r="Q142" s="345" t="str">
        <f t="shared" si="97"/>
        <v>B</v>
      </c>
      <c r="R142" s="345" t="str">
        <f t="shared" si="97"/>
        <v>B</v>
      </c>
      <c r="S142" s="345" t="str">
        <f t="shared" si="97"/>
        <v>C</v>
      </c>
      <c r="T142" s="345" t="str">
        <f t="shared" si="97"/>
        <v>B</v>
      </c>
      <c r="U142" s="345" t="str">
        <f t="shared" si="97"/>
        <v>C</v>
      </c>
      <c r="V142" s="342" t="str">
        <f t="shared" si="97"/>
        <v>B</v>
      </c>
      <c r="W142" s="527"/>
      <c r="X142" s="527"/>
      <c r="Y142" s="544"/>
      <c r="Z142" s="547"/>
      <c r="AA142" s="541"/>
      <c r="AB142" s="241" t="s">
        <v>36</v>
      </c>
      <c r="AC142" s="242" t="s">
        <v>36</v>
      </c>
      <c r="AD142" s="553">
        <f>SUM(F140:V141)</f>
        <v>2664</v>
      </c>
      <c r="AE142" s="510"/>
      <c r="AF142" s="507"/>
      <c r="AG142" s="557"/>
      <c r="AH142" s="503"/>
    </row>
    <row r="143" spans="1:34" s="8" customFormat="1" ht="15.75" thickBot="1" x14ac:dyDescent="0.25">
      <c r="A143" s="513"/>
      <c r="B143" s="254"/>
      <c r="C143" s="255"/>
      <c r="D143" s="49" t="str">
        <f>B140&amp;"D"</f>
        <v>181910353D</v>
      </c>
      <c r="E143" s="247" t="s">
        <v>151</v>
      </c>
      <c r="F143" s="248" t="str">
        <f>IFERROR(VLOOKUP(F141,$AJ$8:$AK$12,2,TRUE),"")</f>
        <v>C</v>
      </c>
      <c r="G143" s="344" t="str">
        <f t="shared" ref="G143:U143" si="98">IFERROR(VLOOKUP(G141,$AJ$8:$AK$12,2,TRUE),"")</f>
        <v>B</v>
      </c>
      <c r="H143" s="344" t="str">
        <f t="shared" si="98"/>
        <v>B</v>
      </c>
      <c r="I143" s="344" t="str">
        <f t="shared" si="98"/>
        <v>C</v>
      </c>
      <c r="J143" s="344" t="str">
        <f t="shared" si="98"/>
        <v>C</v>
      </c>
      <c r="K143" s="344" t="str">
        <f t="shared" si="98"/>
        <v>C</v>
      </c>
      <c r="L143" s="344" t="str">
        <f t="shared" si="98"/>
        <v>C</v>
      </c>
      <c r="M143" s="344" t="str">
        <f t="shared" si="98"/>
        <v>B</v>
      </c>
      <c r="N143" s="344" t="str">
        <f t="shared" si="98"/>
        <v>C</v>
      </c>
      <c r="O143" s="344" t="str">
        <f t="shared" si="98"/>
        <v>A</v>
      </c>
      <c r="P143" s="344" t="str">
        <f t="shared" si="98"/>
        <v>C</v>
      </c>
      <c r="Q143" s="344" t="str">
        <f t="shared" si="98"/>
        <v>B</v>
      </c>
      <c r="R143" s="344" t="str">
        <f t="shared" si="98"/>
        <v>B</v>
      </c>
      <c r="S143" s="344" t="str">
        <f t="shared" si="98"/>
        <v>B</v>
      </c>
      <c r="T143" s="344" t="str">
        <f t="shared" si="98"/>
        <v>B</v>
      </c>
      <c r="U143" s="344" t="str">
        <f t="shared" si="98"/>
        <v>B</v>
      </c>
      <c r="V143" s="343" t="str">
        <f>IFERROR(VLOOKUP(V141,$AJ$8:$AK$12,2,TRUE),"")</f>
        <v>B</v>
      </c>
      <c r="W143" s="528"/>
      <c r="X143" s="528"/>
      <c r="Y143" s="545"/>
      <c r="Z143" s="548"/>
      <c r="AA143" s="542"/>
      <c r="AB143" s="249" t="s">
        <v>36</v>
      </c>
      <c r="AC143" s="250" t="s">
        <v>36</v>
      </c>
      <c r="AD143" s="554"/>
      <c r="AE143" s="510"/>
      <c r="AF143" s="508"/>
      <c r="AG143" s="558"/>
      <c r="AH143" s="503"/>
    </row>
    <row r="144" spans="1:34" s="8" customFormat="1" ht="15.75" thickBot="1" x14ac:dyDescent="0.25">
      <c r="A144" s="514">
        <v>35</v>
      </c>
      <c r="B144" s="517" t="str">
        <f>VLOOKUP(A144,biononis,2,1)</f>
        <v>181910408</v>
      </c>
      <c r="C144" s="519" t="str">
        <f>VLOOKUP(A144,biononis,3,1)</f>
        <v>YESHA RAHAYU</v>
      </c>
      <c r="D144" s="49" t="str">
        <f>B144&amp;"A"</f>
        <v>181910408A</v>
      </c>
      <c r="E144" s="235" t="s">
        <v>259</v>
      </c>
      <c r="F144" s="251">
        <v>0</v>
      </c>
      <c r="G144" s="252">
        <v>0</v>
      </c>
      <c r="H144" s="252"/>
      <c r="I144" s="252"/>
      <c r="J144" s="252"/>
      <c r="K144" s="252"/>
      <c r="L144" s="252"/>
      <c r="M144" s="252"/>
      <c r="N144" s="252"/>
      <c r="O144" s="252"/>
      <c r="P144" s="252"/>
      <c r="Q144" s="252"/>
      <c r="R144" s="252"/>
      <c r="S144" s="252"/>
      <c r="T144" s="252"/>
      <c r="U144" s="252"/>
      <c r="V144" s="238"/>
      <c r="W144" s="526" t="s">
        <v>36</v>
      </c>
      <c r="X144" s="526" t="s">
        <v>36</v>
      </c>
      <c r="Y144" s="543" t="s">
        <v>36</v>
      </c>
      <c r="Z144" s="546" t="s">
        <v>36</v>
      </c>
      <c r="AA144" s="540" t="s">
        <v>36</v>
      </c>
      <c r="AB144" s="237" t="s">
        <v>177</v>
      </c>
      <c r="AC144" s="238" t="s">
        <v>36</v>
      </c>
      <c r="AD144" s="434">
        <f>IFERROR(AVERAGE(F144:V144),"")</f>
        <v>0</v>
      </c>
      <c r="AE144" s="510">
        <f t="shared" ref="AE144" si="99">IFERROR((AD144+AD145)/2,"")</f>
        <v>0</v>
      </c>
      <c r="AF144" s="506">
        <f>IFERROR(RANK(AE144,$AE$8:$AE$167,0),"")</f>
        <v>32</v>
      </c>
      <c r="AG144" s="559" t="s">
        <v>176</v>
      </c>
      <c r="AH144" s="503" t="s">
        <v>176</v>
      </c>
    </row>
    <row r="145" spans="1:34" s="8" customFormat="1" ht="15.75" thickBot="1" x14ac:dyDescent="0.25">
      <c r="A145" s="512"/>
      <c r="B145" s="517"/>
      <c r="C145" s="519"/>
      <c r="D145" s="49" t="str">
        <f>B144&amp;"B"</f>
        <v>181910408B</v>
      </c>
      <c r="E145" s="239" t="s">
        <v>260</v>
      </c>
      <c r="F145" s="253">
        <v>0</v>
      </c>
      <c r="G145" s="240">
        <v>0</v>
      </c>
      <c r="H145" s="240"/>
      <c r="I145" s="240"/>
      <c r="J145" s="240"/>
      <c r="K145" s="240"/>
      <c r="L145" s="240"/>
      <c r="M145" s="240"/>
      <c r="N145" s="240"/>
      <c r="O145" s="240"/>
      <c r="P145" s="240"/>
      <c r="Q145" s="240"/>
      <c r="R145" s="240"/>
      <c r="S145" s="240"/>
      <c r="T145" s="240"/>
      <c r="U145" s="240"/>
      <c r="V145" s="341"/>
      <c r="W145" s="527"/>
      <c r="X145" s="527"/>
      <c r="Y145" s="544"/>
      <c r="Z145" s="547"/>
      <c r="AA145" s="541"/>
      <c r="AB145" s="241" t="s">
        <v>36</v>
      </c>
      <c r="AC145" s="242" t="s">
        <v>36</v>
      </c>
      <c r="AD145" s="435">
        <f>IFERROR(AVERAGE(F145:V145),"")</f>
        <v>0</v>
      </c>
      <c r="AE145" s="510"/>
      <c r="AF145" s="507"/>
      <c r="AG145" s="557"/>
      <c r="AH145" s="503"/>
    </row>
    <row r="146" spans="1:34" s="8" customFormat="1" ht="15.75" thickBot="1" x14ac:dyDescent="0.25">
      <c r="A146" s="512"/>
      <c r="B146" s="517"/>
      <c r="C146" s="519"/>
      <c r="D146" s="49" t="str">
        <f>B144&amp;"C"</f>
        <v>181910408C</v>
      </c>
      <c r="E146" s="243" t="s">
        <v>150</v>
      </c>
      <c r="F146" s="244" t="str">
        <f>IFERROR(VLOOKUP(F144,$AJ$8:$AK$12,2,TRUE),"")</f>
        <v/>
      </c>
      <c r="G146" s="345" t="str">
        <f t="shared" ref="G146:V146" si="100">IFERROR(VLOOKUP(G144,$AJ$8:$AK$12,2,TRUE),"")</f>
        <v/>
      </c>
      <c r="H146" s="345" t="str">
        <f t="shared" si="100"/>
        <v/>
      </c>
      <c r="I146" s="345" t="str">
        <f t="shared" si="100"/>
        <v/>
      </c>
      <c r="J146" s="345" t="str">
        <f t="shared" si="100"/>
        <v/>
      </c>
      <c r="K146" s="345" t="str">
        <f t="shared" si="100"/>
        <v/>
      </c>
      <c r="L146" s="345" t="str">
        <f t="shared" si="100"/>
        <v/>
      </c>
      <c r="M146" s="345" t="str">
        <f t="shared" si="100"/>
        <v/>
      </c>
      <c r="N146" s="345" t="str">
        <f t="shared" si="100"/>
        <v/>
      </c>
      <c r="O146" s="345" t="str">
        <f t="shared" si="100"/>
        <v/>
      </c>
      <c r="P146" s="345" t="str">
        <f t="shared" si="100"/>
        <v/>
      </c>
      <c r="Q146" s="345" t="str">
        <f t="shared" si="100"/>
        <v/>
      </c>
      <c r="R146" s="345" t="str">
        <f t="shared" si="100"/>
        <v/>
      </c>
      <c r="S146" s="345" t="str">
        <f t="shared" si="100"/>
        <v/>
      </c>
      <c r="T146" s="345" t="str">
        <f t="shared" si="100"/>
        <v/>
      </c>
      <c r="U146" s="345" t="str">
        <f t="shared" si="100"/>
        <v/>
      </c>
      <c r="V146" s="342" t="str">
        <f t="shared" si="100"/>
        <v/>
      </c>
      <c r="W146" s="527"/>
      <c r="X146" s="527"/>
      <c r="Y146" s="544"/>
      <c r="Z146" s="547"/>
      <c r="AA146" s="541"/>
      <c r="AB146" s="241" t="s">
        <v>36</v>
      </c>
      <c r="AC146" s="242" t="s">
        <v>36</v>
      </c>
      <c r="AD146" s="553">
        <f>SUM(F144:V145)</f>
        <v>0</v>
      </c>
      <c r="AE146" s="510"/>
      <c r="AF146" s="507"/>
      <c r="AG146" s="557"/>
      <c r="AH146" s="503"/>
    </row>
    <row r="147" spans="1:34" s="8" customFormat="1" ht="15.75" thickBot="1" x14ac:dyDescent="0.25">
      <c r="A147" s="515"/>
      <c r="B147" s="245"/>
      <c r="C147" s="246"/>
      <c r="D147" s="49" t="str">
        <f>B144&amp;"D"</f>
        <v>181910408D</v>
      </c>
      <c r="E147" s="247" t="s">
        <v>151</v>
      </c>
      <c r="F147" s="248" t="str">
        <f>IFERROR(VLOOKUP(F145,$AJ$8:$AK$12,2,TRUE),"")</f>
        <v/>
      </c>
      <c r="G147" s="344" t="str">
        <f t="shared" ref="G147:U147" si="101">IFERROR(VLOOKUP(G145,$AJ$8:$AK$12,2,TRUE),"")</f>
        <v/>
      </c>
      <c r="H147" s="344" t="str">
        <f t="shared" si="101"/>
        <v/>
      </c>
      <c r="I147" s="344" t="str">
        <f t="shared" si="101"/>
        <v/>
      </c>
      <c r="J147" s="344" t="str">
        <f t="shared" si="101"/>
        <v/>
      </c>
      <c r="K147" s="344" t="str">
        <f t="shared" si="101"/>
        <v/>
      </c>
      <c r="L147" s="344" t="str">
        <f t="shared" si="101"/>
        <v/>
      </c>
      <c r="M147" s="344" t="str">
        <f t="shared" si="101"/>
        <v/>
      </c>
      <c r="N147" s="344" t="str">
        <f t="shared" si="101"/>
        <v/>
      </c>
      <c r="O147" s="344" t="str">
        <f t="shared" si="101"/>
        <v/>
      </c>
      <c r="P147" s="344" t="str">
        <f t="shared" si="101"/>
        <v/>
      </c>
      <c r="Q147" s="344" t="str">
        <f t="shared" si="101"/>
        <v/>
      </c>
      <c r="R147" s="344" t="str">
        <f t="shared" si="101"/>
        <v/>
      </c>
      <c r="S147" s="344" t="str">
        <f t="shared" si="101"/>
        <v/>
      </c>
      <c r="T147" s="344" t="str">
        <f t="shared" si="101"/>
        <v/>
      </c>
      <c r="U147" s="344" t="str">
        <f t="shared" si="101"/>
        <v/>
      </c>
      <c r="V147" s="343" t="str">
        <f>IFERROR(VLOOKUP(V145,$AJ$8:$AK$12,2,TRUE),"")</f>
        <v/>
      </c>
      <c r="W147" s="528"/>
      <c r="X147" s="528"/>
      <c r="Y147" s="545"/>
      <c r="Z147" s="548"/>
      <c r="AA147" s="542"/>
      <c r="AB147" s="249" t="s">
        <v>36</v>
      </c>
      <c r="AC147" s="250" t="s">
        <v>36</v>
      </c>
      <c r="AD147" s="554"/>
      <c r="AE147" s="510"/>
      <c r="AF147" s="508"/>
      <c r="AG147" s="558"/>
      <c r="AH147" s="503"/>
    </row>
    <row r="148" spans="1:34" s="8" customFormat="1" ht="15.75" thickBot="1" x14ac:dyDescent="0.25">
      <c r="A148" s="511">
        <v>36</v>
      </c>
      <c r="B148" s="516" t="str">
        <f>VLOOKUP(A148,biononis,2,1)</f>
        <v>036</v>
      </c>
      <c r="C148" s="518" t="str">
        <f>VLOOKUP(A148,biononis,3,1)</f>
        <v>A36</v>
      </c>
      <c r="D148" s="49" t="str">
        <f>B148&amp;"A"</f>
        <v>036A</v>
      </c>
      <c r="E148" s="235" t="s">
        <v>259</v>
      </c>
      <c r="F148" s="251"/>
      <c r="G148" s="252"/>
      <c r="H148" s="252"/>
      <c r="I148" s="252"/>
      <c r="J148" s="252"/>
      <c r="K148" s="252"/>
      <c r="L148" s="252"/>
      <c r="M148" s="252"/>
      <c r="N148" s="252"/>
      <c r="O148" s="252"/>
      <c r="P148" s="252"/>
      <c r="Q148" s="252"/>
      <c r="R148" s="252"/>
      <c r="S148" s="252"/>
      <c r="T148" s="252"/>
      <c r="U148" s="252"/>
      <c r="V148" s="238"/>
      <c r="W148" s="526" t="s">
        <v>36</v>
      </c>
      <c r="X148" s="526" t="s">
        <v>36</v>
      </c>
      <c r="Y148" s="543" t="s">
        <v>36</v>
      </c>
      <c r="Z148" s="546" t="s">
        <v>36</v>
      </c>
      <c r="AA148" s="540" t="s">
        <v>36</v>
      </c>
      <c r="AB148" s="237" t="s">
        <v>177</v>
      </c>
      <c r="AC148" s="238" t="s">
        <v>36</v>
      </c>
      <c r="AD148" s="434" t="str">
        <f>IFERROR(AVERAGE(F148:V148),"")</f>
        <v/>
      </c>
      <c r="AE148" s="510" t="str">
        <f t="shared" ref="AE148" si="102">IFERROR((AD148+AD149)/2,"")</f>
        <v/>
      </c>
      <c r="AF148" s="506" t="str">
        <f>IFERROR(RANK(AE148,$AE$8:$AE$167,0),"")</f>
        <v/>
      </c>
      <c r="AG148" s="559" t="s">
        <v>176</v>
      </c>
      <c r="AH148" s="503" t="s">
        <v>176</v>
      </c>
    </row>
    <row r="149" spans="1:34" s="8" customFormat="1" ht="15.75" thickBot="1" x14ac:dyDescent="0.25">
      <c r="A149" s="512"/>
      <c r="B149" s="517"/>
      <c r="C149" s="519"/>
      <c r="D149" s="49" t="str">
        <f>B148&amp;"B"</f>
        <v>036B</v>
      </c>
      <c r="E149" s="239" t="s">
        <v>260</v>
      </c>
      <c r="F149" s="253"/>
      <c r="G149" s="240"/>
      <c r="H149" s="240"/>
      <c r="I149" s="240"/>
      <c r="J149" s="240"/>
      <c r="K149" s="240"/>
      <c r="L149" s="240"/>
      <c r="M149" s="240"/>
      <c r="N149" s="240"/>
      <c r="O149" s="240"/>
      <c r="P149" s="240"/>
      <c r="Q149" s="240"/>
      <c r="R149" s="240"/>
      <c r="S149" s="240"/>
      <c r="T149" s="240"/>
      <c r="U149" s="240"/>
      <c r="V149" s="341"/>
      <c r="W149" s="527"/>
      <c r="X149" s="527"/>
      <c r="Y149" s="544"/>
      <c r="Z149" s="547"/>
      <c r="AA149" s="541"/>
      <c r="AB149" s="241" t="s">
        <v>36</v>
      </c>
      <c r="AC149" s="242" t="s">
        <v>36</v>
      </c>
      <c r="AD149" s="435" t="str">
        <f>IFERROR(AVERAGE(F149:V149),"")</f>
        <v/>
      </c>
      <c r="AE149" s="510"/>
      <c r="AF149" s="507"/>
      <c r="AG149" s="557"/>
      <c r="AH149" s="503"/>
    </row>
    <row r="150" spans="1:34" s="8" customFormat="1" ht="15.75" thickBot="1" x14ac:dyDescent="0.25">
      <c r="A150" s="512"/>
      <c r="B150" s="517"/>
      <c r="C150" s="519"/>
      <c r="D150" s="49" t="str">
        <f>B148&amp;"C"</f>
        <v>036C</v>
      </c>
      <c r="E150" s="243" t="s">
        <v>150</v>
      </c>
      <c r="F150" s="244" t="str">
        <f>IFERROR(VLOOKUP(F148,$AJ$8:$AK$12,2,TRUE),"")</f>
        <v/>
      </c>
      <c r="G150" s="345" t="str">
        <f t="shared" ref="G150:V150" si="103">IFERROR(VLOOKUP(G148,$AJ$8:$AK$12,2,TRUE),"")</f>
        <v/>
      </c>
      <c r="H150" s="345" t="str">
        <f t="shared" si="103"/>
        <v/>
      </c>
      <c r="I150" s="345" t="str">
        <f t="shared" si="103"/>
        <v/>
      </c>
      <c r="J150" s="345" t="str">
        <f t="shared" si="103"/>
        <v/>
      </c>
      <c r="K150" s="345" t="str">
        <f t="shared" si="103"/>
        <v/>
      </c>
      <c r="L150" s="345" t="str">
        <f t="shared" si="103"/>
        <v/>
      </c>
      <c r="M150" s="345" t="str">
        <f t="shared" si="103"/>
        <v/>
      </c>
      <c r="N150" s="345" t="str">
        <f t="shared" si="103"/>
        <v/>
      </c>
      <c r="O150" s="345" t="str">
        <f t="shared" si="103"/>
        <v/>
      </c>
      <c r="P150" s="345" t="str">
        <f t="shared" si="103"/>
        <v/>
      </c>
      <c r="Q150" s="345" t="str">
        <f t="shared" si="103"/>
        <v/>
      </c>
      <c r="R150" s="345" t="str">
        <f t="shared" si="103"/>
        <v/>
      </c>
      <c r="S150" s="345" t="str">
        <f t="shared" si="103"/>
        <v/>
      </c>
      <c r="T150" s="345" t="str">
        <f t="shared" si="103"/>
        <v/>
      </c>
      <c r="U150" s="345" t="str">
        <f t="shared" si="103"/>
        <v/>
      </c>
      <c r="V150" s="342" t="str">
        <f t="shared" si="103"/>
        <v/>
      </c>
      <c r="W150" s="527"/>
      <c r="X150" s="527"/>
      <c r="Y150" s="544"/>
      <c r="Z150" s="547"/>
      <c r="AA150" s="541"/>
      <c r="AB150" s="241" t="s">
        <v>36</v>
      </c>
      <c r="AC150" s="242" t="s">
        <v>36</v>
      </c>
      <c r="AD150" s="553">
        <f>SUM(F148:V149)</f>
        <v>0</v>
      </c>
      <c r="AE150" s="510"/>
      <c r="AF150" s="507"/>
      <c r="AG150" s="557"/>
      <c r="AH150" s="503"/>
    </row>
    <row r="151" spans="1:34" s="8" customFormat="1" ht="15.75" thickBot="1" x14ac:dyDescent="0.25">
      <c r="A151" s="513"/>
      <c r="B151" s="254"/>
      <c r="C151" s="255"/>
      <c r="D151" s="49" t="str">
        <f>B148&amp;"D"</f>
        <v>036D</v>
      </c>
      <c r="E151" s="247" t="s">
        <v>151</v>
      </c>
      <c r="F151" s="248" t="str">
        <f>IFERROR(VLOOKUP(F149,$AJ$8:$AK$12,2,TRUE),"")</f>
        <v/>
      </c>
      <c r="G151" s="344" t="str">
        <f t="shared" ref="G151:U151" si="104">IFERROR(VLOOKUP(G149,$AJ$8:$AK$12,2,TRUE),"")</f>
        <v/>
      </c>
      <c r="H151" s="344" t="str">
        <f t="shared" si="104"/>
        <v/>
      </c>
      <c r="I151" s="344" t="str">
        <f t="shared" si="104"/>
        <v/>
      </c>
      <c r="J151" s="344" t="str">
        <f t="shared" si="104"/>
        <v/>
      </c>
      <c r="K151" s="344" t="str">
        <f t="shared" si="104"/>
        <v/>
      </c>
      <c r="L151" s="344" t="str">
        <f t="shared" si="104"/>
        <v/>
      </c>
      <c r="M151" s="344" t="str">
        <f t="shared" si="104"/>
        <v/>
      </c>
      <c r="N151" s="344" t="str">
        <f t="shared" si="104"/>
        <v/>
      </c>
      <c r="O151" s="344" t="str">
        <f t="shared" si="104"/>
        <v/>
      </c>
      <c r="P151" s="344" t="str">
        <f t="shared" si="104"/>
        <v/>
      </c>
      <c r="Q151" s="344" t="str">
        <f t="shared" si="104"/>
        <v/>
      </c>
      <c r="R151" s="344" t="str">
        <f t="shared" si="104"/>
        <v/>
      </c>
      <c r="S151" s="344" t="str">
        <f t="shared" si="104"/>
        <v/>
      </c>
      <c r="T151" s="344" t="str">
        <f t="shared" si="104"/>
        <v/>
      </c>
      <c r="U151" s="344" t="str">
        <f t="shared" si="104"/>
        <v/>
      </c>
      <c r="V151" s="343" t="str">
        <f>IFERROR(VLOOKUP(V149,$AJ$8:$AK$12,2,TRUE),"")</f>
        <v/>
      </c>
      <c r="W151" s="528"/>
      <c r="X151" s="528"/>
      <c r="Y151" s="545"/>
      <c r="Z151" s="548"/>
      <c r="AA151" s="542"/>
      <c r="AB151" s="249" t="s">
        <v>36</v>
      </c>
      <c r="AC151" s="250" t="s">
        <v>36</v>
      </c>
      <c r="AD151" s="554"/>
      <c r="AE151" s="510"/>
      <c r="AF151" s="508"/>
      <c r="AG151" s="558"/>
      <c r="AH151" s="503"/>
    </row>
    <row r="152" spans="1:34" s="8" customFormat="1" ht="15.75" thickBot="1" x14ac:dyDescent="0.25">
      <c r="A152" s="514">
        <v>37</v>
      </c>
      <c r="B152" s="517" t="str">
        <f>VLOOKUP(A152,biononis,2,1)</f>
        <v>037</v>
      </c>
      <c r="C152" s="519" t="str">
        <f>VLOOKUP(A152,biononis,3,1)</f>
        <v>A37</v>
      </c>
      <c r="D152" s="49" t="str">
        <f>B152&amp;"A"</f>
        <v>037A</v>
      </c>
      <c r="E152" s="235" t="s">
        <v>259</v>
      </c>
      <c r="F152" s="251"/>
      <c r="G152" s="252"/>
      <c r="H152" s="252"/>
      <c r="I152" s="252"/>
      <c r="J152" s="252"/>
      <c r="K152" s="252"/>
      <c r="L152" s="252"/>
      <c r="M152" s="252"/>
      <c r="N152" s="252"/>
      <c r="O152" s="252"/>
      <c r="P152" s="252"/>
      <c r="Q152" s="252"/>
      <c r="R152" s="252"/>
      <c r="S152" s="252"/>
      <c r="T152" s="252"/>
      <c r="U152" s="252"/>
      <c r="V152" s="238"/>
      <c r="W152" s="526" t="s">
        <v>36</v>
      </c>
      <c r="X152" s="526" t="s">
        <v>36</v>
      </c>
      <c r="Y152" s="543" t="s">
        <v>36</v>
      </c>
      <c r="Z152" s="546" t="s">
        <v>36</v>
      </c>
      <c r="AA152" s="540" t="s">
        <v>36</v>
      </c>
      <c r="AB152" s="237" t="s">
        <v>177</v>
      </c>
      <c r="AC152" s="238" t="s">
        <v>36</v>
      </c>
      <c r="AD152" s="434" t="str">
        <f>IFERROR(AVERAGE(F152:V152),"")</f>
        <v/>
      </c>
      <c r="AE152" s="510" t="str">
        <f t="shared" ref="AE152" si="105">IFERROR((AD152+AD153)/2,"")</f>
        <v/>
      </c>
      <c r="AF152" s="506" t="str">
        <f>IFERROR(RANK(AE152,$AE$8:$AE$167,0),"")</f>
        <v/>
      </c>
      <c r="AG152" s="559" t="s">
        <v>176</v>
      </c>
      <c r="AH152" s="503" t="s">
        <v>176</v>
      </c>
    </row>
    <row r="153" spans="1:34" s="8" customFormat="1" ht="15.75" thickBot="1" x14ac:dyDescent="0.25">
      <c r="A153" s="512"/>
      <c r="B153" s="517"/>
      <c r="C153" s="519"/>
      <c r="D153" s="49" t="str">
        <f>B152&amp;"B"</f>
        <v>037B</v>
      </c>
      <c r="E153" s="239" t="s">
        <v>260</v>
      </c>
      <c r="F153" s="253"/>
      <c r="G153" s="240"/>
      <c r="H153" s="240"/>
      <c r="I153" s="240"/>
      <c r="J153" s="240"/>
      <c r="K153" s="240"/>
      <c r="L153" s="240"/>
      <c r="M153" s="240"/>
      <c r="N153" s="240"/>
      <c r="O153" s="240"/>
      <c r="P153" s="240"/>
      <c r="Q153" s="240"/>
      <c r="R153" s="240"/>
      <c r="S153" s="240"/>
      <c r="T153" s="240"/>
      <c r="U153" s="240"/>
      <c r="V153" s="341"/>
      <c r="W153" s="527"/>
      <c r="X153" s="527"/>
      <c r="Y153" s="544"/>
      <c r="Z153" s="547"/>
      <c r="AA153" s="541"/>
      <c r="AB153" s="241" t="s">
        <v>36</v>
      </c>
      <c r="AC153" s="242" t="s">
        <v>36</v>
      </c>
      <c r="AD153" s="435" t="str">
        <f>IFERROR(AVERAGE(F153:V153),"")</f>
        <v/>
      </c>
      <c r="AE153" s="510"/>
      <c r="AF153" s="507"/>
      <c r="AG153" s="557"/>
      <c r="AH153" s="503"/>
    </row>
    <row r="154" spans="1:34" s="8" customFormat="1" ht="15.75" thickBot="1" x14ac:dyDescent="0.25">
      <c r="A154" s="512"/>
      <c r="B154" s="517"/>
      <c r="C154" s="519"/>
      <c r="D154" s="49" t="str">
        <f>B152&amp;"C"</f>
        <v>037C</v>
      </c>
      <c r="E154" s="243" t="s">
        <v>150</v>
      </c>
      <c r="F154" s="244" t="str">
        <f>IFERROR(VLOOKUP(F152,$AJ$8:$AK$12,2,TRUE),"")</f>
        <v/>
      </c>
      <c r="G154" s="345" t="str">
        <f t="shared" ref="G154:V154" si="106">IFERROR(VLOOKUP(G152,$AJ$8:$AK$12,2,TRUE),"")</f>
        <v/>
      </c>
      <c r="H154" s="345" t="str">
        <f t="shared" si="106"/>
        <v/>
      </c>
      <c r="I154" s="345" t="str">
        <f t="shared" si="106"/>
        <v/>
      </c>
      <c r="J154" s="345" t="str">
        <f t="shared" si="106"/>
        <v/>
      </c>
      <c r="K154" s="345" t="str">
        <f t="shared" si="106"/>
        <v/>
      </c>
      <c r="L154" s="345" t="str">
        <f t="shared" si="106"/>
        <v/>
      </c>
      <c r="M154" s="345" t="str">
        <f t="shared" si="106"/>
        <v/>
      </c>
      <c r="N154" s="345" t="str">
        <f t="shared" si="106"/>
        <v/>
      </c>
      <c r="O154" s="345" t="str">
        <f t="shared" si="106"/>
        <v/>
      </c>
      <c r="P154" s="345" t="str">
        <f t="shared" si="106"/>
        <v/>
      </c>
      <c r="Q154" s="345" t="str">
        <f t="shared" si="106"/>
        <v/>
      </c>
      <c r="R154" s="345" t="str">
        <f t="shared" si="106"/>
        <v/>
      </c>
      <c r="S154" s="345" t="str">
        <f t="shared" si="106"/>
        <v/>
      </c>
      <c r="T154" s="345" t="str">
        <f t="shared" si="106"/>
        <v/>
      </c>
      <c r="U154" s="345" t="str">
        <f t="shared" si="106"/>
        <v/>
      </c>
      <c r="V154" s="342" t="str">
        <f t="shared" si="106"/>
        <v/>
      </c>
      <c r="W154" s="527"/>
      <c r="X154" s="527"/>
      <c r="Y154" s="544"/>
      <c r="Z154" s="547"/>
      <c r="AA154" s="541"/>
      <c r="AB154" s="241" t="s">
        <v>36</v>
      </c>
      <c r="AC154" s="242" t="s">
        <v>36</v>
      </c>
      <c r="AD154" s="553">
        <f>SUM(F152:V153)</f>
        <v>0</v>
      </c>
      <c r="AE154" s="510"/>
      <c r="AF154" s="507"/>
      <c r="AG154" s="557"/>
      <c r="AH154" s="503"/>
    </row>
    <row r="155" spans="1:34" s="8" customFormat="1" ht="15.75" thickBot="1" x14ac:dyDescent="0.25">
      <c r="A155" s="515"/>
      <c r="B155" s="245"/>
      <c r="C155" s="246"/>
      <c r="D155" s="49" t="str">
        <f>B152&amp;"D"</f>
        <v>037D</v>
      </c>
      <c r="E155" s="247" t="s">
        <v>151</v>
      </c>
      <c r="F155" s="248" t="str">
        <f>IFERROR(VLOOKUP(F153,$AJ$8:$AK$12,2,TRUE),"")</f>
        <v/>
      </c>
      <c r="G155" s="344" t="str">
        <f t="shared" ref="G155:U155" si="107">IFERROR(VLOOKUP(G153,$AJ$8:$AK$12,2,TRUE),"")</f>
        <v/>
      </c>
      <c r="H155" s="344" t="str">
        <f t="shared" si="107"/>
        <v/>
      </c>
      <c r="I155" s="344" t="str">
        <f t="shared" si="107"/>
        <v/>
      </c>
      <c r="J155" s="344" t="str">
        <f t="shared" si="107"/>
        <v/>
      </c>
      <c r="K155" s="344" t="str">
        <f t="shared" si="107"/>
        <v/>
      </c>
      <c r="L155" s="344" t="str">
        <f t="shared" si="107"/>
        <v/>
      </c>
      <c r="M155" s="344" t="str">
        <f t="shared" si="107"/>
        <v/>
      </c>
      <c r="N155" s="344" t="str">
        <f t="shared" si="107"/>
        <v/>
      </c>
      <c r="O155" s="344" t="str">
        <f t="shared" si="107"/>
        <v/>
      </c>
      <c r="P155" s="344" t="str">
        <f t="shared" si="107"/>
        <v/>
      </c>
      <c r="Q155" s="344" t="str">
        <f t="shared" si="107"/>
        <v/>
      </c>
      <c r="R155" s="344" t="str">
        <f t="shared" si="107"/>
        <v/>
      </c>
      <c r="S155" s="344" t="str">
        <f t="shared" si="107"/>
        <v/>
      </c>
      <c r="T155" s="344" t="str">
        <f t="shared" si="107"/>
        <v/>
      </c>
      <c r="U155" s="344" t="str">
        <f t="shared" si="107"/>
        <v/>
      </c>
      <c r="V155" s="343" t="str">
        <f>IFERROR(VLOOKUP(V153,$AJ$8:$AK$12,2,TRUE),"")</f>
        <v/>
      </c>
      <c r="W155" s="528"/>
      <c r="X155" s="528"/>
      <c r="Y155" s="545"/>
      <c r="Z155" s="548"/>
      <c r="AA155" s="542"/>
      <c r="AB155" s="249" t="s">
        <v>36</v>
      </c>
      <c r="AC155" s="250" t="s">
        <v>36</v>
      </c>
      <c r="AD155" s="554"/>
      <c r="AE155" s="510"/>
      <c r="AF155" s="508"/>
      <c r="AG155" s="558"/>
      <c r="AH155" s="503"/>
    </row>
    <row r="156" spans="1:34" s="8" customFormat="1" ht="15.75" thickBot="1" x14ac:dyDescent="0.25">
      <c r="A156" s="511">
        <v>38</v>
      </c>
      <c r="B156" s="516" t="str">
        <f>VLOOKUP(A156,biononis,2,1)</f>
        <v>038</v>
      </c>
      <c r="C156" s="518" t="str">
        <f>VLOOKUP(A156,biononis,3,1)</f>
        <v>A38</v>
      </c>
      <c r="D156" s="49" t="str">
        <f>B156&amp;"A"</f>
        <v>038A</v>
      </c>
      <c r="E156" s="235" t="s">
        <v>259</v>
      </c>
      <c r="F156" s="251"/>
      <c r="G156" s="252"/>
      <c r="H156" s="252"/>
      <c r="I156" s="252"/>
      <c r="J156" s="252"/>
      <c r="K156" s="252"/>
      <c r="L156" s="252"/>
      <c r="M156" s="252"/>
      <c r="N156" s="252"/>
      <c r="O156" s="252"/>
      <c r="P156" s="252"/>
      <c r="Q156" s="252"/>
      <c r="R156" s="252"/>
      <c r="S156" s="252"/>
      <c r="T156" s="252"/>
      <c r="U156" s="252"/>
      <c r="V156" s="238"/>
      <c r="W156" s="526" t="s">
        <v>36</v>
      </c>
      <c r="X156" s="526" t="s">
        <v>36</v>
      </c>
      <c r="Y156" s="543" t="s">
        <v>36</v>
      </c>
      <c r="Z156" s="546" t="s">
        <v>36</v>
      </c>
      <c r="AA156" s="540" t="s">
        <v>36</v>
      </c>
      <c r="AB156" s="237" t="s">
        <v>177</v>
      </c>
      <c r="AC156" s="238" t="s">
        <v>36</v>
      </c>
      <c r="AD156" s="434" t="str">
        <f>IFERROR(AVERAGE(F156:V156),"")</f>
        <v/>
      </c>
      <c r="AE156" s="510" t="str">
        <f t="shared" ref="AE156" si="108">IFERROR((AD156+AD157)/2,"")</f>
        <v/>
      </c>
      <c r="AF156" s="506" t="str">
        <f>IFERROR(RANK(AE156,$AE$8:$AE$167,0),"")</f>
        <v/>
      </c>
      <c r="AG156" s="559" t="s">
        <v>176</v>
      </c>
      <c r="AH156" s="503" t="s">
        <v>176</v>
      </c>
    </row>
    <row r="157" spans="1:34" s="8" customFormat="1" ht="15.75" thickBot="1" x14ac:dyDescent="0.25">
      <c r="A157" s="512"/>
      <c r="B157" s="517"/>
      <c r="C157" s="519"/>
      <c r="D157" s="49" t="str">
        <f>B156&amp;"B"</f>
        <v>038B</v>
      </c>
      <c r="E157" s="239" t="s">
        <v>260</v>
      </c>
      <c r="F157" s="253"/>
      <c r="G157" s="240"/>
      <c r="H157" s="240"/>
      <c r="I157" s="240"/>
      <c r="J157" s="240"/>
      <c r="K157" s="240"/>
      <c r="L157" s="240"/>
      <c r="M157" s="240"/>
      <c r="N157" s="240"/>
      <c r="O157" s="240"/>
      <c r="P157" s="240"/>
      <c r="Q157" s="240"/>
      <c r="R157" s="240"/>
      <c r="S157" s="240"/>
      <c r="T157" s="240"/>
      <c r="U157" s="240"/>
      <c r="V157" s="341"/>
      <c r="W157" s="527"/>
      <c r="X157" s="527"/>
      <c r="Y157" s="544"/>
      <c r="Z157" s="547"/>
      <c r="AA157" s="541"/>
      <c r="AB157" s="241" t="s">
        <v>36</v>
      </c>
      <c r="AC157" s="242" t="s">
        <v>36</v>
      </c>
      <c r="AD157" s="435" t="str">
        <f>IFERROR(AVERAGE(F157:V157),"")</f>
        <v/>
      </c>
      <c r="AE157" s="510"/>
      <c r="AF157" s="507"/>
      <c r="AG157" s="557"/>
      <c r="AH157" s="503"/>
    </row>
    <row r="158" spans="1:34" s="8" customFormat="1" ht="15.75" thickBot="1" x14ac:dyDescent="0.25">
      <c r="A158" s="512"/>
      <c r="B158" s="517"/>
      <c r="C158" s="519"/>
      <c r="D158" s="49" t="str">
        <f>B156&amp;"C"</f>
        <v>038C</v>
      </c>
      <c r="E158" s="243" t="s">
        <v>150</v>
      </c>
      <c r="F158" s="244" t="str">
        <f>IFERROR(VLOOKUP(F156,$AJ$8:$AK$12,2,TRUE),"")</f>
        <v/>
      </c>
      <c r="G158" s="345" t="str">
        <f t="shared" ref="G158:V158" si="109">IFERROR(VLOOKUP(G156,$AJ$8:$AK$12,2,TRUE),"")</f>
        <v/>
      </c>
      <c r="H158" s="345" t="str">
        <f t="shared" si="109"/>
        <v/>
      </c>
      <c r="I158" s="345" t="str">
        <f t="shared" si="109"/>
        <v/>
      </c>
      <c r="J158" s="345" t="str">
        <f t="shared" si="109"/>
        <v/>
      </c>
      <c r="K158" s="345" t="str">
        <f t="shared" si="109"/>
        <v/>
      </c>
      <c r="L158" s="345" t="str">
        <f t="shared" si="109"/>
        <v/>
      </c>
      <c r="M158" s="345" t="str">
        <f t="shared" si="109"/>
        <v/>
      </c>
      <c r="N158" s="345" t="str">
        <f t="shared" si="109"/>
        <v/>
      </c>
      <c r="O158" s="345" t="str">
        <f t="shared" si="109"/>
        <v/>
      </c>
      <c r="P158" s="345" t="str">
        <f t="shared" si="109"/>
        <v/>
      </c>
      <c r="Q158" s="345" t="str">
        <f t="shared" si="109"/>
        <v/>
      </c>
      <c r="R158" s="345" t="str">
        <f t="shared" si="109"/>
        <v/>
      </c>
      <c r="S158" s="345" t="str">
        <f t="shared" si="109"/>
        <v/>
      </c>
      <c r="T158" s="345" t="str">
        <f t="shared" si="109"/>
        <v/>
      </c>
      <c r="U158" s="345" t="str">
        <f t="shared" si="109"/>
        <v/>
      </c>
      <c r="V158" s="342" t="str">
        <f t="shared" si="109"/>
        <v/>
      </c>
      <c r="W158" s="527"/>
      <c r="X158" s="527"/>
      <c r="Y158" s="544"/>
      <c r="Z158" s="547"/>
      <c r="AA158" s="541"/>
      <c r="AB158" s="241" t="s">
        <v>36</v>
      </c>
      <c r="AC158" s="242" t="s">
        <v>36</v>
      </c>
      <c r="AD158" s="553">
        <f>SUM(F156:V157)</f>
        <v>0</v>
      </c>
      <c r="AE158" s="510"/>
      <c r="AF158" s="507"/>
      <c r="AG158" s="557"/>
      <c r="AH158" s="503"/>
    </row>
    <row r="159" spans="1:34" s="8" customFormat="1" ht="15.75" thickBot="1" x14ac:dyDescent="0.25">
      <c r="A159" s="513"/>
      <c r="B159" s="254"/>
      <c r="C159" s="255"/>
      <c r="D159" s="49" t="str">
        <f>B156&amp;"D"</f>
        <v>038D</v>
      </c>
      <c r="E159" s="247" t="s">
        <v>151</v>
      </c>
      <c r="F159" s="248" t="str">
        <f>IFERROR(VLOOKUP(F157,$AJ$8:$AK$12,2,TRUE),"")</f>
        <v/>
      </c>
      <c r="G159" s="344" t="str">
        <f t="shared" ref="G159:U159" si="110">IFERROR(VLOOKUP(G157,$AJ$8:$AK$12,2,TRUE),"")</f>
        <v/>
      </c>
      <c r="H159" s="344" t="str">
        <f t="shared" si="110"/>
        <v/>
      </c>
      <c r="I159" s="344" t="str">
        <f t="shared" si="110"/>
        <v/>
      </c>
      <c r="J159" s="344" t="str">
        <f t="shared" si="110"/>
        <v/>
      </c>
      <c r="K159" s="344" t="str">
        <f t="shared" si="110"/>
        <v/>
      </c>
      <c r="L159" s="344" t="str">
        <f t="shared" si="110"/>
        <v/>
      </c>
      <c r="M159" s="344" t="str">
        <f t="shared" si="110"/>
        <v/>
      </c>
      <c r="N159" s="344" t="str">
        <f t="shared" si="110"/>
        <v/>
      </c>
      <c r="O159" s="344" t="str">
        <f t="shared" si="110"/>
        <v/>
      </c>
      <c r="P159" s="344" t="str">
        <f t="shared" si="110"/>
        <v/>
      </c>
      <c r="Q159" s="344" t="str">
        <f t="shared" si="110"/>
        <v/>
      </c>
      <c r="R159" s="344" t="str">
        <f t="shared" si="110"/>
        <v/>
      </c>
      <c r="S159" s="344" t="str">
        <f t="shared" si="110"/>
        <v/>
      </c>
      <c r="T159" s="344" t="str">
        <f t="shared" si="110"/>
        <v/>
      </c>
      <c r="U159" s="344" t="str">
        <f t="shared" si="110"/>
        <v/>
      </c>
      <c r="V159" s="343" t="str">
        <f>IFERROR(VLOOKUP(V157,$AJ$8:$AK$12,2,TRUE),"")</f>
        <v/>
      </c>
      <c r="W159" s="528"/>
      <c r="X159" s="528"/>
      <c r="Y159" s="545"/>
      <c r="Z159" s="548"/>
      <c r="AA159" s="542"/>
      <c r="AB159" s="249" t="s">
        <v>36</v>
      </c>
      <c r="AC159" s="250" t="s">
        <v>36</v>
      </c>
      <c r="AD159" s="554"/>
      <c r="AE159" s="510"/>
      <c r="AF159" s="508"/>
      <c r="AG159" s="558"/>
      <c r="AH159" s="503"/>
    </row>
    <row r="160" spans="1:34" s="8" customFormat="1" ht="15.75" thickBot="1" x14ac:dyDescent="0.25">
      <c r="A160" s="514">
        <v>39</v>
      </c>
      <c r="B160" s="517" t="str">
        <f>VLOOKUP(A160,biononis,2,1)</f>
        <v>039</v>
      </c>
      <c r="C160" s="519" t="str">
        <f>VLOOKUP(A160,biononis,3,1)</f>
        <v>A39</v>
      </c>
      <c r="D160" s="49" t="str">
        <f>B160&amp;"A"</f>
        <v>039A</v>
      </c>
      <c r="E160" s="235" t="s">
        <v>259</v>
      </c>
      <c r="F160" s="251"/>
      <c r="G160" s="252"/>
      <c r="H160" s="252"/>
      <c r="I160" s="252"/>
      <c r="J160" s="252"/>
      <c r="K160" s="252"/>
      <c r="L160" s="252"/>
      <c r="M160" s="252"/>
      <c r="N160" s="252"/>
      <c r="O160" s="252"/>
      <c r="P160" s="252"/>
      <c r="Q160" s="252"/>
      <c r="R160" s="252"/>
      <c r="S160" s="252"/>
      <c r="T160" s="252"/>
      <c r="U160" s="252"/>
      <c r="V160" s="238"/>
      <c r="W160" s="526" t="s">
        <v>36</v>
      </c>
      <c r="X160" s="526" t="s">
        <v>36</v>
      </c>
      <c r="Y160" s="543" t="s">
        <v>36</v>
      </c>
      <c r="Z160" s="546" t="s">
        <v>36</v>
      </c>
      <c r="AA160" s="540" t="s">
        <v>36</v>
      </c>
      <c r="AB160" s="237" t="s">
        <v>177</v>
      </c>
      <c r="AC160" s="238" t="s">
        <v>36</v>
      </c>
      <c r="AD160" s="434" t="str">
        <f>IFERROR(AVERAGE(F160:V160),"")</f>
        <v/>
      </c>
      <c r="AE160" s="510" t="str">
        <f t="shared" ref="AE160" si="111">IFERROR((AD160+AD161)/2,"")</f>
        <v/>
      </c>
      <c r="AF160" s="506" t="str">
        <f>IFERROR(RANK(AE160,$AE$8:$AE$167,0),"")</f>
        <v/>
      </c>
      <c r="AG160" s="559" t="s">
        <v>176</v>
      </c>
      <c r="AH160" s="503" t="s">
        <v>176</v>
      </c>
    </row>
    <row r="161" spans="1:34" s="8" customFormat="1" ht="15.75" thickBot="1" x14ac:dyDescent="0.25">
      <c r="A161" s="512"/>
      <c r="B161" s="517"/>
      <c r="C161" s="519"/>
      <c r="D161" s="49" t="str">
        <f>B160&amp;"B"</f>
        <v>039B</v>
      </c>
      <c r="E161" s="239" t="s">
        <v>260</v>
      </c>
      <c r="F161" s="253"/>
      <c r="G161" s="240"/>
      <c r="H161" s="240"/>
      <c r="I161" s="240"/>
      <c r="J161" s="240"/>
      <c r="K161" s="240"/>
      <c r="L161" s="240"/>
      <c r="M161" s="240"/>
      <c r="N161" s="240"/>
      <c r="O161" s="240"/>
      <c r="P161" s="240"/>
      <c r="Q161" s="240"/>
      <c r="R161" s="240"/>
      <c r="S161" s="240"/>
      <c r="T161" s="240"/>
      <c r="U161" s="240"/>
      <c r="V161" s="341"/>
      <c r="W161" s="527"/>
      <c r="X161" s="527"/>
      <c r="Y161" s="544"/>
      <c r="Z161" s="547"/>
      <c r="AA161" s="541"/>
      <c r="AB161" s="241" t="s">
        <v>36</v>
      </c>
      <c r="AC161" s="242" t="s">
        <v>36</v>
      </c>
      <c r="AD161" s="435" t="str">
        <f>IFERROR(AVERAGE(F161:V161),"")</f>
        <v/>
      </c>
      <c r="AE161" s="510"/>
      <c r="AF161" s="507"/>
      <c r="AG161" s="557"/>
      <c r="AH161" s="503"/>
    </row>
    <row r="162" spans="1:34" s="8" customFormat="1" ht="15.75" thickBot="1" x14ac:dyDescent="0.25">
      <c r="A162" s="512"/>
      <c r="B162" s="517"/>
      <c r="C162" s="519"/>
      <c r="D162" s="49" t="str">
        <f>B160&amp;"C"</f>
        <v>039C</v>
      </c>
      <c r="E162" s="243" t="s">
        <v>150</v>
      </c>
      <c r="F162" s="244" t="str">
        <f>IFERROR(VLOOKUP(F160,$AJ$8:$AK$12,2,TRUE),"")</f>
        <v/>
      </c>
      <c r="G162" s="345" t="str">
        <f t="shared" ref="G162:V162" si="112">IFERROR(VLOOKUP(G160,$AJ$8:$AK$12,2,TRUE),"")</f>
        <v/>
      </c>
      <c r="H162" s="345" t="str">
        <f t="shared" si="112"/>
        <v/>
      </c>
      <c r="I162" s="345" t="str">
        <f t="shared" si="112"/>
        <v/>
      </c>
      <c r="J162" s="345" t="str">
        <f t="shared" si="112"/>
        <v/>
      </c>
      <c r="K162" s="345" t="str">
        <f t="shared" si="112"/>
        <v/>
      </c>
      <c r="L162" s="345" t="str">
        <f t="shared" si="112"/>
        <v/>
      </c>
      <c r="M162" s="345" t="str">
        <f t="shared" si="112"/>
        <v/>
      </c>
      <c r="N162" s="345" t="str">
        <f t="shared" si="112"/>
        <v/>
      </c>
      <c r="O162" s="345" t="str">
        <f t="shared" si="112"/>
        <v/>
      </c>
      <c r="P162" s="345" t="str">
        <f t="shared" si="112"/>
        <v/>
      </c>
      <c r="Q162" s="345" t="str">
        <f t="shared" si="112"/>
        <v/>
      </c>
      <c r="R162" s="345" t="str">
        <f t="shared" si="112"/>
        <v/>
      </c>
      <c r="S162" s="345" t="str">
        <f t="shared" si="112"/>
        <v/>
      </c>
      <c r="T162" s="345" t="str">
        <f t="shared" si="112"/>
        <v/>
      </c>
      <c r="U162" s="345" t="str">
        <f t="shared" si="112"/>
        <v/>
      </c>
      <c r="V162" s="342" t="str">
        <f t="shared" si="112"/>
        <v/>
      </c>
      <c r="W162" s="527"/>
      <c r="X162" s="527"/>
      <c r="Y162" s="544"/>
      <c r="Z162" s="547"/>
      <c r="AA162" s="541"/>
      <c r="AB162" s="241" t="s">
        <v>36</v>
      </c>
      <c r="AC162" s="242" t="s">
        <v>36</v>
      </c>
      <c r="AD162" s="553">
        <f>SUM(F160:V161)</f>
        <v>0</v>
      </c>
      <c r="AE162" s="510"/>
      <c r="AF162" s="507"/>
      <c r="AG162" s="557"/>
      <c r="AH162" s="503"/>
    </row>
    <row r="163" spans="1:34" s="8" customFormat="1" ht="15.75" thickBot="1" x14ac:dyDescent="0.25">
      <c r="A163" s="515"/>
      <c r="B163" s="245"/>
      <c r="C163" s="246"/>
      <c r="D163" s="49" t="str">
        <f>B160&amp;"D"</f>
        <v>039D</v>
      </c>
      <c r="E163" s="247" t="s">
        <v>151</v>
      </c>
      <c r="F163" s="248" t="str">
        <f>IFERROR(VLOOKUP(F161,$AJ$8:$AK$12,2,TRUE),"")</f>
        <v/>
      </c>
      <c r="G163" s="344" t="str">
        <f t="shared" ref="G163:U163" si="113">IFERROR(VLOOKUP(G161,$AJ$8:$AK$12,2,TRUE),"")</f>
        <v/>
      </c>
      <c r="H163" s="344" t="str">
        <f t="shared" si="113"/>
        <v/>
      </c>
      <c r="I163" s="344" t="str">
        <f t="shared" si="113"/>
        <v/>
      </c>
      <c r="J163" s="344" t="str">
        <f t="shared" si="113"/>
        <v/>
      </c>
      <c r="K163" s="344" t="str">
        <f t="shared" si="113"/>
        <v/>
      </c>
      <c r="L163" s="344" t="str">
        <f t="shared" si="113"/>
        <v/>
      </c>
      <c r="M163" s="344" t="str">
        <f t="shared" si="113"/>
        <v/>
      </c>
      <c r="N163" s="344" t="str">
        <f t="shared" si="113"/>
        <v/>
      </c>
      <c r="O163" s="344" t="str">
        <f t="shared" si="113"/>
        <v/>
      </c>
      <c r="P163" s="344" t="str">
        <f t="shared" si="113"/>
        <v/>
      </c>
      <c r="Q163" s="344" t="str">
        <f t="shared" si="113"/>
        <v/>
      </c>
      <c r="R163" s="344" t="str">
        <f t="shared" si="113"/>
        <v/>
      </c>
      <c r="S163" s="344" t="str">
        <f t="shared" si="113"/>
        <v/>
      </c>
      <c r="T163" s="344" t="str">
        <f t="shared" si="113"/>
        <v/>
      </c>
      <c r="U163" s="344" t="str">
        <f t="shared" si="113"/>
        <v/>
      </c>
      <c r="V163" s="343" t="str">
        <f>IFERROR(VLOOKUP(V161,$AJ$8:$AK$12,2,TRUE),"")</f>
        <v/>
      </c>
      <c r="W163" s="528"/>
      <c r="X163" s="528"/>
      <c r="Y163" s="545"/>
      <c r="Z163" s="548"/>
      <c r="AA163" s="542"/>
      <c r="AB163" s="249" t="s">
        <v>36</v>
      </c>
      <c r="AC163" s="250" t="s">
        <v>36</v>
      </c>
      <c r="AD163" s="554"/>
      <c r="AE163" s="510"/>
      <c r="AF163" s="508"/>
      <c r="AG163" s="558"/>
      <c r="AH163" s="503"/>
    </row>
    <row r="164" spans="1:34" s="8" customFormat="1" ht="15.75" thickBot="1" x14ac:dyDescent="0.25">
      <c r="A164" s="511">
        <v>40</v>
      </c>
      <c r="B164" s="516" t="str">
        <f>VLOOKUP(A164,biononis,2,1)</f>
        <v>040</v>
      </c>
      <c r="C164" s="518" t="str">
        <f>VLOOKUP(A164,biononis,3,1)</f>
        <v>A40</v>
      </c>
      <c r="D164" s="49" t="str">
        <f>B164&amp;"A"</f>
        <v>040A</v>
      </c>
      <c r="E164" s="235" t="s">
        <v>259</v>
      </c>
      <c r="F164" s="251"/>
      <c r="G164" s="252"/>
      <c r="H164" s="252"/>
      <c r="I164" s="252"/>
      <c r="J164" s="252"/>
      <c r="K164" s="252"/>
      <c r="L164" s="252"/>
      <c r="M164" s="252"/>
      <c r="N164" s="252"/>
      <c r="O164" s="252"/>
      <c r="P164" s="252"/>
      <c r="Q164" s="252"/>
      <c r="R164" s="252"/>
      <c r="S164" s="252"/>
      <c r="T164" s="252"/>
      <c r="U164" s="252"/>
      <c r="V164" s="238"/>
      <c r="W164" s="526" t="s">
        <v>36</v>
      </c>
      <c r="X164" s="526" t="s">
        <v>36</v>
      </c>
      <c r="Y164" s="543" t="s">
        <v>36</v>
      </c>
      <c r="Z164" s="546" t="s">
        <v>36</v>
      </c>
      <c r="AA164" s="540" t="s">
        <v>36</v>
      </c>
      <c r="AB164" s="237" t="s">
        <v>177</v>
      </c>
      <c r="AC164" s="238" t="s">
        <v>36</v>
      </c>
      <c r="AD164" s="434" t="str">
        <f>IFERROR(AVERAGE(F164:V164),"")</f>
        <v/>
      </c>
      <c r="AE164" s="510" t="str">
        <f>IFERROR((AD164+AD165)/2,"")</f>
        <v/>
      </c>
      <c r="AF164" s="506" t="str">
        <f>IFERROR(RANK(AE164,$AE$8:$AE$167,0),"")</f>
        <v/>
      </c>
      <c r="AG164" s="559" t="s">
        <v>176</v>
      </c>
      <c r="AH164" s="503" t="s">
        <v>176</v>
      </c>
    </row>
    <row r="165" spans="1:34" s="8" customFormat="1" ht="15.75" thickBot="1" x14ac:dyDescent="0.25">
      <c r="A165" s="512"/>
      <c r="B165" s="517"/>
      <c r="C165" s="519"/>
      <c r="D165" s="49" t="str">
        <f>B164&amp;"B"</f>
        <v>040B</v>
      </c>
      <c r="E165" s="239" t="s">
        <v>260</v>
      </c>
      <c r="F165" s="253"/>
      <c r="G165" s="240"/>
      <c r="H165" s="240"/>
      <c r="I165" s="240"/>
      <c r="J165" s="240"/>
      <c r="K165" s="240"/>
      <c r="L165" s="240"/>
      <c r="M165" s="240"/>
      <c r="N165" s="240"/>
      <c r="O165" s="240"/>
      <c r="P165" s="240"/>
      <c r="Q165" s="240"/>
      <c r="R165" s="240"/>
      <c r="S165" s="240"/>
      <c r="T165" s="240"/>
      <c r="U165" s="240"/>
      <c r="V165" s="341"/>
      <c r="W165" s="527"/>
      <c r="X165" s="527"/>
      <c r="Y165" s="544"/>
      <c r="Z165" s="547"/>
      <c r="AA165" s="541"/>
      <c r="AB165" s="241" t="s">
        <v>36</v>
      </c>
      <c r="AC165" s="242" t="s">
        <v>36</v>
      </c>
      <c r="AD165" s="435" t="str">
        <f>IFERROR(AVERAGE(F165:V165),"")</f>
        <v/>
      </c>
      <c r="AE165" s="510"/>
      <c r="AF165" s="507"/>
      <c r="AG165" s="557"/>
      <c r="AH165" s="503"/>
    </row>
    <row r="166" spans="1:34" s="8" customFormat="1" ht="15.75" thickBot="1" x14ac:dyDescent="0.25">
      <c r="A166" s="512"/>
      <c r="B166" s="517"/>
      <c r="C166" s="519"/>
      <c r="D166" s="49" t="str">
        <f>B164&amp;"C"</f>
        <v>040C</v>
      </c>
      <c r="E166" s="243" t="s">
        <v>150</v>
      </c>
      <c r="F166" s="244" t="str">
        <f>IFERROR(VLOOKUP(F164,$AJ$8:$AK$12,2,TRUE),"")</f>
        <v/>
      </c>
      <c r="G166" s="345" t="str">
        <f t="shared" ref="G166:V166" si="114">IFERROR(VLOOKUP(G164,$AJ$8:$AK$12,2,TRUE),"")</f>
        <v/>
      </c>
      <c r="H166" s="345" t="str">
        <f t="shared" si="114"/>
        <v/>
      </c>
      <c r="I166" s="345" t="str">
        <f t="shared" si="114"/>
        <v/>
      </c>
      <c r="J166" s="345" t="str">
        <f t="shared" si="114"/>
        <v/>
      </c>
      <c r="K166" s="345" t="str">
        <f t="shared" si="114"/>
        <v/>
      </c>
      <c r="L166" s="345" t="str">
        <f t="shared" si="114"/>
        <v/>
      </c>
      <c r="M166" s="345" t="str">
        <f t="shared" si="114"/>
        <v/>
      </c>
      <c r="N166" s="345" t="str">
        <f t="shared" si="114"/>
        <v/>
      </c>
      <c r="O166" s="345" t="str">
        <f t="shared" si="114"/>
        <v/>
      </c>
      <c r="P166" s="345" t="str">
        <f t="shared" si="114"/>
        <v/>
      </c>
      <c r="Q166" s="345" t="str">
        <f t="shared" si="114"/>
        <v/>
      </c>
      <c r="R166" s="345" t="str">
        <f t="shared" si="114"/>
        <v/>
      </c>
      <c r="S166" s="345" t="str">
        <f t="shared" si="114"/>
        <v/>
      </c>
      <c r="T166" s="345" t="str">
        <f t="shared" si="114"/>
        <v/>
      </c>
      <c r="U166" s="345" t="str">
        <f t="shared" si="114"/>
        <v/>
      </c>
      <c r="V166" s="342" t="str">
        <f t="shared" si="114"/>
        <v/>
      </c>
      <c r="W166" s="527"/>
      <c r="X166" s="527"/>
      <c r="Y166" s="544"/>
      <c r="Z166" s="547"/>
      <c r="AA166" s="541"/>
      <c r="AB166" s="241" t="s">
        <v>36</v>
      </c>
      <c r="AC166" s="242" t="s">
        <v>36</v>
      </c>
      <c r="AD166" s="553">
        <f>SUM(F164:V165)</f>
        <v>0</v>
      </c>
      <c r="AE166" s="510"/>
      <c r="AF166" s="507"/>
      <c r="AG166" s="557"/>
      <c r="AH166" s="503"/>
    </row>
    <row r="167" spans="1:34" s="8" customFormat="1" ht="15.75" thickBot="1" x14ac:dyDescent="0.25">
      <c r="A167" s="513"/>
      <c r="B167" s="254"/>
      <c r="C167" s="255"/>
      <c r="D167" s="49" t="str">
        <f>B164&amp;"D"</f>
        <v>040D</v>
      </c>
      <c r="E167" s="247" t="s">
        <v>151</v>
      </c>
      <c r="F167" s="248" t="str">
        <f>IFERROR(VLOOKUP(F165,$AJ$8:$AK$12,2,TRUE),"")</f>
        <v/>
      </c>
      <c r="G167" s="344" t="str">
        <f t="shared" ref="G167:U167" si="115">IFERROR(VLOOKUP(G165,$AJ$8:$AK$12,2,TRUE),"")</f>
        <v/>
      </c>
      <c r="H167" s="344" t="str">
        <f t="shared" si="115"/>
        <v/>
      </c>
      <c r="I167" s="344" t="str">
        <f t="shared" si="115"/>
        <v/>
      </c>
      <c r="J167" s="344" t="str">
        <f t="shared" si="115"/>
        <v/>
      </c>
      <c r="K167" s="344" t="str">
        <f t="shared" si="115"/>
        <v/>
      </c>
      <c r="L167" s="344" t="str">
        <f t="shared" si="115"/>
        <v/>
      </c>
      <c r="M167" s="344" t="str">
        <f t="shared" si="115"/>
        <v/>
      </c>
      <c r="N167" s="344" t="str">
        <f t="shared" si="115"/>
        <v/>
      </c>
      <c r="O167" s="344" t="str">
        <f t="shared" si="115"/>
        <v/>
      </c>
      <c r="P167" s="344" t="str">
        <f t="shared" si="115"/>
        <v/>
      </c>
      <c r="Q167" s="344" t="str">
        <f t="shared" si="115"/>
        <v/>
      </c>
      <c r="R167" s="344" t="str">
        <f t="shared" si="115"/>
        <v/>
      </c>
      <c r="S167" s="344" t="str">
        <f t="shared" si="115"/>
        <v/>
      </c>
      <c r="T167" s="344" t="str">
        <f t="shared" si="115"/>
        <v/>
      </c>
      <c r="U167" s="344" t="str">
        <f t="shared" si="115"/>
        <v/>
      </c>
      <c r="V167" s="343" t="str">
        <f>IFERROR(VLOOKUP(V165,$AJ$8:$AK$12,2,TRUE),"")</f>
        <v/>
      </c>
      <c r="W167" s="528"/>
      <c r="X167" s="528"/>
      <c r="Y167" s="545"/>
      <c r="Z167" s="548"/>
      <c r="AA167" s="542"/>
      <c r="AB167" s="249" t="s">
        <v>36</v>
      </c>
      <c r="AC167" s="250" t="s">
        <v>36</v>
      </c>
      <c r="AD167" s="554"/>
      <c r="AE167" s="510"/>
      <c r="AF167" s="509"/>
      <c r="AG167" s="558"/>
      <c r="AH167" s="503"/>
    </row>
    <row r="168" spans="1:34" x14ac:dyDescent="0.2">
      <c r="A168" s="76"/>
      <c r="B168" s="77"/>
      <c r="C168" s="77"/>
      <c r="D168" s="51"/>
      <c r="E168" s="50"/>
      <c r="F168" s="21"/>
      <c r="G168" s="21"/>
      <c r="H168" s="21"/>
      <c r="I168" s="21"/>
      <c r="J168" s="21"/>
      <c r="K168" s="21"/>
      <c r="L168" s="21"/>
      <c r="M168" s="21"/>
      <c r="N168" s="25"/>
      <c r="O168" s="21"/>
      <c r="P168" s="21"/>
      <c r="Q168" s="21"/>
      <c r="R168" s="21"/>
      <c r="S168" s="21"/>
      <c r="T168" s="21"/>
      <c r="U168" s="21"/>
      <c r="V168" s="21"/>
      <c r="W168" s="21"/>
      <c r="X168" s="21"/>
      <c r="Y168" s="20"/>
      <c r="Z168" s="20"/>
      <c r="AA168" s="20"/>
      <c r="AB168" s="21"/>
      <c r="AC168" s="21"/>
      <c r="AD168" s="45"/>
      <c r="AE168" s="83"/>
      <c r="AF168" s="74"/>
    </row>
    <row r="169" spans="1:34" x14ac:dyDescent="0.2">
      <c r="Y169" s="11"/>
      <c r="Z169" s="11"/>
      <c r="AA169" s="180" t="s">
        <v>436</v>
      </c>
    </row>
    <row r="170" spans="1:34" x14ac:dyDescent="0.2">
      <c r="Y170" s="11"/>
      <c r="Z170" s="11"/>
      <c r="AA170" s="44" t="s">
        <v>2</v>
      </c>
    </row>
    <row r="171" spans="1:34" x14ac:dyDescent="0.2">
      <c r="Y171" s="11"/>
      <c r="Z171" s="11"/>
    </row>
    <row r="172" spans="1:34" x14ac:dyDescent="0.2">
      <c r="Y172" s="11"/>
      <c r="Z172" s="11"/>
      <c r="AA172" s="23" t="str">
        <f>Biodata!E4</f>
        <v>Harun Arrosyid, S.Pd.I</v>
      </c>
    </row>
    <row r="173" spans="1:34" x14ac:dyDescent="0.2">
      <c r="Y173" s="11"/>
      <c r="Z173" s="11"/>
      <c r="AA173" s="23" t="str">
        <f>Biodata!D5</f>
        <v>NIP/NUP/NUPTK:</v>
      </c>
    </row>
    <row r="174" spans="1:34" x14ac:dyDescent="0.2">
      <c r="Y174" s="11"/>
      <c r="Z174" s="11"/>
      <c r="AA174" s="11"/>
    </row>
  </sheetData>
  <sheetProtection sheet="1" objects="1" scenarios="1"/>
  <dataConsolidate/>
  <mergeCells count="533">
    <mergeCell ref="AG156:AG159"/>
    <mergeCell ref="AG160:AG163"/>
    <mergeCell ref="AG164:AG167"/>
    <mergeCell ref="AG120:AG123"/>
    <mergeCell ref="AG124:AG127"/>
    <mergeCell ref="AG128:AG131"/>
    <mergeCell ref="AG132:AG135"/>
    <mergeCell ref="AG136:AG139"/>
    <mergeCell ref="AG140:AG143"/>
    <mergeCell ref="AG144:AG147"/>
    <mergeCell ref="AG148:AG151"/>
    <mergeCell ref="AG152:AG155"/>
    <mergeCell ref="AG84:AG87"/>
    <mergeCell ref="AG88:AG91"/>
    <mergeCell ref="AG92:AG95"/>
    <mergeCell ref="AG96:AG99"/>
    <mergeCell ref="AG100:AG103"/>
    <mergeCell ref="AG104:AG107"/>
    <mergeCell ref="AG108:AG111"/>
    <mergeCell ref="AG112:AG115"/>
    <mergeCell ref="AG116:AG119"/>
    <mergeCell ref="AD150:AD151"/>
    <mergeCell ref="AD154:AD155"/>
    <mergeCell ref="AD158:AD159"/>
    <mergeCell ref="AD162:AD163"/>
    <mergeCell ref="AD166:AD167"/>
    <mergeCell ref="AG8:AG11"/>
    <mergeCell ref="AG12:AG15"/>
    <mergeCell ref="AG16:AG19"/>
    <mergeCell ref="AG20:AG23"/>
    <mergeCell ref="AG24:AG27"/>
    <mergeCell ref="AG28:AG31"/>
    <mergeCell ref="AG32:AG35"/>
    <mergeCell ref="AG36:AG39"/>
    <mergeCell ref="AG40:AG43"/>
    <mergeCell ref="AG44:AG47"/>
    <mergeCell ref="AG48:AG51"/>
    <mergeCell ref="AG52:AG55"/>
    <mergeCell ref="AG56:AG59"/>
    <mergeCell ref="AG60:AG63"/>
    <mergeCell ref="AG64:AG67"/>
    <mergeCell ref="AG68:AG71"/>
    <mergeCell ref="AG72:AG75"/>
    <mergeCell ref="AG76:AG79"/>
    <mergeCell ref="AG80:AG83"/>
    <mergeCell ref="AD114:AD115"/>
    <mergeCell ref="AD118:AD119"/>
    <mergeCell ref="AD122:AD123"/>
    <mergeCell ref="AD126:AD127"/>
    <mergeCell ref="AD130:AD131"/>
    <mergeCell ref="AD134:AD135"/>
    <mergeCell ref="AD138:AD139"/>
    <mergeCell ref="AD142:AD143"/>
    <mergeCell ref="AD146:AD147"/>
    <mergeCell ref="AD78:AD79"/>
    <mergeCell ref="AD82:AD83"/>
    <mergeCell ref="AD86:AD87"/>
    <mergeCell ref="AD90:AD91"/>
    <mergeCell ref="AD94:AD95"/>
    <mergeCell ref="AD98:AD99"/>
    <mergeCell ref="AD102:AD103"/>
    <mergeCell ref="AD106:AD107"/>
    <mergeCell ref="AD110:AD111"/>
    <mergeCell ref="AD42:AD43"/>
    <mergeCell ref="AD46:AD47"/>
    <mergeCell ref="AD50:AD51"/>
    <mergeCell ref="AD54:AD55"/>
    <mergeCell ref="AD58:AD59"/>
    <mergeCell ref="AD62:AD63"/>
    <mergeCell ref="AD66:AD67"/>
    <mergeCell ref="AD70:AD71"/>
    <mergeCell ref="AD74:AD75"/>
    <mergeCell ref="AJ7:AK7"/>
    <mergeCell ref="AD10:AD11"/>
    <mergeCell ref="AD14:AD15"/>
    <mergeCell ref="AD18:AD19"/>
    <mergeCell ref="AD22:AD23"/>
    <mergeCell ref="AD26:AD27"/>
    <mergeCell ref="AD30:AD31"/>
    <mergeCell ref="AD34:AD35"/>
    <mergeCell ref="AD38:AD39"/>
    <mergeCell ref="AH8:AH11"/>
    <mergeCell ref="AH12:AH15"/>
    <mergeCell ref="W160:W163"/>
    <mergeCell ref="X160:X163"/>
    <mergeCell ref="Y160:Y163"/>
    <mergeCell ref="Z160:Z163"/>
    <mergeCell ref="AA160:AA163"/>
    <mergeCell ref="W164:W167"/>
    <mergeCell ref="X164:X167"/>
    <mergeCell ref="Y164:Y167"/>
    <mergeCell ref="Z164:Z167"/>
    <mergeCell ref="AA164:AA167"/>
    <mergeCell ref="W152:W155"/>
    <mergeCell ref="X152:X155"/>
    <mergeCell ref="Y152:Y155"/>
    <mergeCell ref="Z152:Z155"/>
    <mergeCell ref="AA152:AA155"/>
    <mergeCell ref="W156:W159"/>
    <mergeCell ref="X156:X159"/>
    <mergeCell ref="Y156:Y159"/>
    <mergeCell ref="Z156:Z159"/>
    <mergeCell ref="AA156:AA159"/>
    <mergeCell ref="W144:W147"/>
    <mergeCell ref="X144:X147"/>
    <mergeCell ref="Y144:Y147"/>
    <mergeCell ref="Z144:Z147"/>
    <mergeCell ref="AA144:AA147"/>
    <mergeCell ref="W148:W151"/>
    <mergeCell ref="X148:X151"/>
    <mergeCell ref="Y148:Y151"/>
    <mergeCell ref="Z148:Z151"/>
    <mergeCell ref="AA148:AA151"/>
    <mergeCell ref="W136:W139"/>
    <mergeCell ref="X136:X139"/>
    <mergeCell ref="Y136:Y139"/>
    <mergeCell ref="Z136:Z139"/>
    <mergeCell ref="AA136:AA139"/>
    <mergeCell ref="W140:W143"/>
    <mergeCell ref="X140:X143"/>
    <mergeCell ref="Y140:Y143"/>
    <mergeCell ref="Z140:Z143"/>
    <mergeCell ref="AA140:AA143"/>
    <mergeCell ref="W128:W131"/>
    <mergeCell ref="X128:X131"/>
    <mergeCell ref="Y128:Y131"/>
    <mergeCell ref="Z128:Z131"/>
    <mergeCell ref="AA128:AA131"/>
    <mergeCell ref="W132:W135"/>
    <mergeCell ref="X132:X135"/>
    <mergeCell ref="Y132:Y135"/>
    <mergeCell ref="Z132:Z135"/>
    <mergeCell ref="AA132:AA135"/>
    <mergeCell ref="W120:W123"/>
    <mergeCell ref="X120:X123"/>
    <mergeCell ref="Y120:Y123"/>
    <mergeCell ref="Z120:Z123"/>
    <mergeCell ref="AA120:AA123"/>
    <mergeCell ref="W124:W127"/>
    <mergeCell ref="X124:X127"/>
    <mergeCell ref="Y124:Y127"/>
    <mergeCell ref="Z124:Z127"/>
    <mergeCell ref="AA124:AA127"/>
    <mergeCell ref="X112:X115"/>
    <mergeCell ref="Y112:Y115"/>
    <mergeCell ref="Z112:Z115"/>
    <mergeCell ref="AA112:AA115"/>
    <mergeCell ref="W116:W119"/>
    <mergeCell ref="X116:X119"/>
    <mergeCell ref="Y116:Y119"/>
    <mergeCell ref="Z116:Z119"/>
    <mergeCell ref="AA116:AA119"/>
    <mergeCell ref="Y100:Y103"/>
    <mergeCell ref="Z100:Z103"/>
    <mergeCell ref="AA100:AA103"/>
    <mergeCell ref="W104:W107"/>
    <mergeCell ref="X104:X107"/>
    <mergeCell ref="Y104:Y107"/>
    <mergeCell ref="Z104:Z107"/>
    <mergeCell ref="AA104:AA107"/>
    <mergeCell ref="W108:W111"/>
    <mergeCell ref="X108:X111"/>
    <mergeCell ref="Y108:Y111"/>
    <mergeCell ref="Z108:Z111"/>
    <mergeCell ref="AA108:AA111"/>
    <mergeCell ref="Y88:Y91"/>
    <mergeCell ref="Z88:Z91"/>
    <mergeCell ref="AA88:AA91"/>
    <mergeCell ref="W92:W95"/>
    <mergeCell ref="X92:X95"/>
    <mergeCell ref="Y92:Y95"/>
    <mergeCell ref="Z92:Z95"/>
    <mergeCell ref="AA92:AA95"/>
    <mergeCell ref="W96:W99"/>
    <mergeCell ref="X96:X99"/>
    <mergeCell ref="Y96:Y99"/>
    <mergeCell ref="Z96:Z99"/>
    <mergeCell ref="AA96:AA99"/>
    <mergeCell ref="Y76:Y79"/>
    <mergeCell ref="Z76:Z79"/>
    <mergeCell ref="AA76:AA79"/>
    <mergeCell ref="W80:W83"/>
    <mergeCell ref="X80:X83"/>
    <mergeCell ref="Y80:Y83"/>
    <mergeCell ref="Z80:Z83"/>
    <mergeCell ref="AA80:AA83"/>
    <mergeCell ref="W84:W87"/>
    <mergeCell ref="X84:X87"/>
    <mergeCell ref="Y84:Y87"/>
    <mergeCell ref="Z84:Z87"/>
    <mergeCell ref="AA84:AA87"/>
    <mergeCell ref="Y64:Y67"/>
    <mergeCell ref="Z64:Z67"/>
    <mergeCell ref="AA64:AA67"/>
    <mergeCell ref="W68:W71"/>
    <mergeCell ref="X68:X71"/>
    <mergeCell ref="Y68:Y71"/>
    <mergeCell ref="Z68:Z71"/>
    <mergeCell ref="AA68:AA71"/>
    <mergeCell ref="W72:W75"/>
    <mergeCell ref="X72:X75"/>
    <mergeCell ref="Y72:Y75"/>
    <mergeCell ref="Z72:Z75"/>
    <mergeCell ref="AA72:AA75"/>
    <mergeCell ref="Y52:Y55"/>
    <mergeCell ref="Z52:Z55"/>
    <mergeCell ref="AA52:AA55"/>
    <mergeCell ref="W56:W59"/>
    <mergeCell ref="X56:X59"/>
    <mergeCell ref="Y56:Y59"/>
    <mergeCell ref="Z56:Z59"/>
    <mergeCell ref="AA56:AA59"/>
    <mergeCell ref="W60:W63"/>
    <mergeCell ref="X60:X63"/>
    <mergeCell ref="Y60:Y63"/>
    <mergeCell ref="Z60:Z63"/>
    <mergeCell ref="AA60:AA63"/>
    <mergeCell ref="Y40:Y43"/>
    <mergeCell ref="Z40:Z43"/>
    <mergeCell ref="AA40:AA43"/>
    <mergeCell ref="W44:W47"/>
    <mergeCell ref="X44:X47"/>
    <mergeCell ref="Y44:Y47"/>
    <mergeCell ref="Z44:Z47"/>
    <mergeCell ref="AA44:AA47"/>
    <mergeCell ref="W48:W51"/>
    <mergeCell ref="X48:X51"/>
    <mergeCell ref="Y48:Y51"/>
    <mergeCell ref="Z48:Z51"/>
    <mergeCell ref="AA48:AA51"/>
    <mergeCell ref="Y28:Y31"/>
    <mergeCell ref="Z28:Z31"/>
    <mergeCell ref="AA28:AA31"/>
    <mergeCell ref="W32:W35"/>
    <mergeCell ref="X32:X35"/>
    <mergeCell ref="Y32:Y35"/>
    <mergeCell ref="Z32:Z35"/>
    <mergeCell ref="AA32:AA35"/>
    <mergeCell ref="W36:W39"/>
    <mergeCell ref="X36:X39"/>
    <mergeCell ref="Y36:Y39"/>
    <mergeCell ref="Z36:Z39"/>
    <mergeCell ref="AA36:AA39"/>
    <mergeCell ref="Y20:Y23"/>
    <mergeCell ref="Z20:Z23"/>
    <mergeCell ref="AA20:AA23"/>
    <mergeCell ref="W12:W15"/>
    <mergeCell ref="X12:X15"/>
    <mergeCell ref="Y12:Y15"/>
    <mergeCell ref="Z12:Z15"/>
    <mergeCell ref="W24:W27"/>
    <mergeCell ref="X24:X27"/>
    <mergeCell ref="Y24:Y27"/>
    <mergeCell ref="Z24:Z27"/>
    <mergeCell ref="AA24:AA27"/>
    <mergeCell ref="B156:B158"/>
    <mergeCell ref="B140:B142"/>
    <mergeCell ref="B112:B114"/>
    <mergeCell ref="C96:C98"/>
    <mergeCell ref="C52:C54"/>
    <mergeCell ref="B52:B54"/>
    <mergeCell ref="B80:B82"/>
    <mergeCell ref="W20:W23"/>
    <mergeCell ref="X20:X23"/>
    <mergeCell ref="W28:W31"/>
    <mergeCell ref="X28:X31"/>
    <mergeCell ref="W40:W43"/>
    <mergeCell ref="X40:X43"/>
    <mergeCell ref="W52:W55"/>
    <mergeCell ref="X52:X55"/>
    <mergeCell ref="W64:W67"/>
    <mergeCell ref="X64:X67"/>
    <mergeCell ref="W76:W79"/>
    <mergeCell ref="X76:X79"/>
    <mergeCell ref="W88:W91"/>
    <mergeCell ref="X88:X91"/>
    <mergeCell ref="W100:W103"/>
    <mergeCell ref="X100:X103"/>
    <mergeCell ref="W112:W115"/>
    <mergeCell ref="C152:C154"/>
    <mergeCell ref="C148:C150"/>
    <mergeCell ref="C144:C146"/>
    <mergeCell ref="C140:C142"/>
    <mergeCell ref="C136:C138"/>
    <mergeCell ref="C132:C134"/>
    <mergeCell ref="C128:C130"/>
    <mergeCell ref="C124:C126"/>
    <mergeCell ref="C116:C118"/>
    <mergeCell ref="A5:A6"/>
    <mergeCell ref="B5:B6"/>
    <mergeCell ref="C5:C6"/>
    <mergeCell ref="B144:B146"/>
    <mergeCell ref="A128:A131"/>
    <mergeCell ref="A132:A135"/>
    <mergeCell ref="A136:A139"/>
    <mergeCell ref="A140:A143"/>
    <mergeCell ref="A144:A147"/>
    <mergeCell ref="A88:A91"/>
    <mergeCell ref="A84:A87"/>
    <mergeCell ref="A80:A83"/>
    <mergeCell ref="A124:A127"/>
    <mergeCell ref="A120:A123"/>
    <mergeCell ref="A116:A119"/>
    <mergeCell ref="A112:A115"/>
    <mergeCell ref="A108:A111"/>
    <mergeCell ref="A92:A95"/>
    <mergeCell ref="A96:A99"/>
    <mergeCell ref="A100:A103"/>
    <mergeCell ref="A20:A23"/>
    <mergeCell ref="B8:B10"/>
    <mergeCell ref="C8:C10"/>
    <mergeCell ref="C12:C14"/>
    <mergeCell ref="B12:B14"/>
    <mergeCell ref="B16:B18"/>
    <mergeCell ref="AB5:AC5"/>
    <mergeCell ref="Y5:AA5"/>
    <mergeCell ref="E5:E6"/>
    <mergeCell ref="F5:K5"/>
    <mergeCell ref="L5:O5"/>
    <mergeCell ref="P5:S5"/>
    <mergeCell ref="T5:U5"/>
    <mergeCell ref="W8:W11"/>
    <mergeCell ref="X8:X11"/>
    <mergeCell ref="Y8:Y11"/>
    <mergeCell ref="Z8:Z11"/>
    <mergeCell ref="AA8:AA11"/>
    <mergeCell ref="W5:X5"/>
    <mergeCell ref="C16:C18"/>
    <mergeCell ref="AA12:AA15"/>
    <mergeCell ref="W16:W19"/>
    <mergeCell ref="X16:X19"/>
    <mergeCell ref="Y16:Y19"/>
    <mergeCell ref="Z16:Z19"/>
    <mergeCell ref="AA16:AA19"/>
    <mergeCell ref="A156:A159"/>
    <mergeCell ref="A160:A163"/>
    <mergeCell ref="B164:B166"/>
    <mergeCell ref="C164:C166"/>
    <mergeCell ref="A104:A107"/>
    <mergeCell ref="C92:C94"/>
    <mergeCell ref="B100:B102"/>
    <mergeCell ref="C112:C114"/>
    <mergeCell ref="C108:C110"/>
    <mergeCell ref="B124:B126"/>
    <mergeCell ref="B128:B130"/>
    <mergeCell ref="B116:B118"/>
    <mergeCell ref="B108:B110"/>
    <mergeCell ref="C160:C162"/>
    <mergeCell ref="B148:B150"/>
    <mergeCell ref="B152:B154"/>
    <mergeCell ref="A164:A167"/>
    <mergeCell ref="B92:B94"/>
    <mergeCell ref="B96:B98"/>
    <mergeCell ref="B160:B162"/>
    <mergeCell ref="B104:B106"/>
    <mergeCell ref="B132:B134"/>
    <mergeCell ref="B136:B138"/>
    <mergeCell ref="C156:C158"/>
    <mergeCell ref="C80:C82"/>
    <mergeCell ref="C40:C42"/>
    <mergeCell ref="B120:B122"/>
    <mergeCell ref="C100:C102"/>
    <mergeCell ref="C84:C86"/>
    <mergeCell ref="B48:B50"/>
    <mergeCell ref="C68:C70"/>
    <mergeCell ref="C48:C50"/>
    <mergeCell ref="B60:B62"/>
    <mergeCell ref="B72:B74"/>
    <mergeCell ref="B68:B70"/>
    <mergeCell ref="C88:C90"/>
    <mergeCell ref="B76:B78"/>
    <mergeCell ref="C76:C78"/>
    <mergeCell ref="C72:C74"/>
    <mergeCell ref="B84:B86"/>
    <mergeCell ref="B88:B90"/>
    <mergeCell ref="C120:C122"/>
    <mergeCell ref="C60:C62"/>
    <mergeCell ref="C104:C106"/>
    <mergeCell ref="B20:B22"/>
    <mergeCell ref="C20:C22"/>
    <mergeCell ref="B64:B66"/>
    <mergeCell ref="C64:C66"/>
    <mergeCell ref="B40:B42"/>
    <mergeCell ref="B36:B38"/>
    <mergeCell ref="C36:C38"/>
    <mergeCell ref="B28:B30"/>
    <mergeCell ref="C28:C30"/>
    <mergeCell ref="B32:B34"/>
    <mergeCell ref="C32:C34"/>
    <mergeCell ref="B44:B46"/>
    <mergeCell ref="C44:C46"/>
    <mergeCell ref="B56:B58"/>
    <mergeCell ref="C56:C58"/>
    <mergeCell ref="C24:C26"/>
    <mergeCell ref="B24:B26"/>
    <mergeCell ref="A44:A47"/>
    <mergeCell ref="A16:A19"/>
    <mergeCell ref="A12:A15"/>
    <mergeCell ref="A8:A11"/>
    <mergeCell ref="A148:A151"/>
    <mergeCell ref="A152:A155"/>
    <mergeCell ref="A52:A55"/>
    <mergeCell ref="A56:A59"/>
    <mergeCell ref="A60:A63"/>
    <mergeCell ref="A64:A67"/>
    <mergeCell ref="A68:A71"/>
    <mergeCell ref="A72:A75"/>
    <mergeCell ref="A28:A31"/>
    <mergeCell ref="A24:A27"/>
    <mergeCell ref="A76:A79"/>
    <mergeCell ref="A40:A43"/>
    <mergeCell ref="A36:A39"/>
    <mergeCell ref="A32:A35"/>
    <mergeCell ref="A48:A51"/>
    <mergeCell ref="AE64:AE67"/>
    <mergeCell ref="AE28:AE31"/>
    <mergeCell ref="AE32:AE35"/>
    <mergeCell ref="AE36:AE39"/>
    <mergeCell ref="AE40:AE43"/>
    <mergeCell ref="AE44:AE47"/>
    <mergeCell ref="AE68:AE71"/>
    <mergeCell ref="AE72:AE75"/>
    <mergeCell ref="AE76:AE79"/>
    <mergeCell ref="AE56:AE59"/>
    <mergeCell ref="AE60:AE63"/>
    <mergeCell ref="AE80:AE83"/>
    <mergeCell ref="AE84:AE87"/>
    <mergeCell ref="AE88:AE91"/>
    <mergeCell ref="AE92:AE95"/>
    <mergeCell ref="AE96:AE99"/>
    <mergeCell ref="AE100:AE103"/>
    <mergeCell ref="AE104:AE107"/>
    <mergeCell ref="AE108:AE111"/>
    <mergeCell ref="AE112:AE115"/>
    <mergeCell ref="AE152:AE155"/>
    <mergeCell ref="AE156:AE159"/>
    <mergeCell ref="AE160:AE163"/>
    <mergeCell ref="AE164:AE167"/>
    <mergeCell ref="AE116:AE119"/>
    <mergeCell ref="AE120:AE123"/>
    <mergeCell ref="AE124:AE127"/>
    <mergeCell ref="AE128:AE131"/>
    <mergeCell ref="AE132:AE135"/>
    <mergeCell ref="AE136:AE139"/>
    <mergeCell ref="AE140:AE143"/>
    <mergeCell ref="AE144:AE147"/>
    <mergeCell ref="AE148:AE151"/>
    <mergeCell ref="AF48:AF51"/>
    <mergeCell ref="AF52:AF55"/>
    <mergeCell ref="AF56:AF59"/>
    <mergeCell ref="AF60:AF63"/>
    <mergeCell ref="AE48:AE51"/>
    <mergeCell ref="AE52:AE55"/>
    <mergeCell ref="AE8:AE11"/>
    <mergeCell ref="AE12:AE15"/>
    <mergeCell ref="AE16:AE19"/>
    <mergeCell ref="AE20:AE23"/>
    <mergeCell ref="AE24:AE27"/>
    <mergeCell ref="AF8:AF11"/>
    <mergeCell ref="AF12:AF15"/>
    <mergeCell ref="AF16:AF19"/>
    <mergeCell ref="AF20:AF23"/>
    <mergeCell ref="AF140:AF143"/>
    <mergeCell ref="AF144:AF147"/>
    <mergeCell ref="AF148:AF151"/>
    <mergeCell ref="AF152:AF155"/>
    <mergeCell ref="AF156:AF159"/>
    <mergeCell ref="AF160:AF163"/>
    <mergeCell ref="AF164:AF167"/>
    <mergeCell ref="AF100:AF103"/>
    <mergeCell ref="AF104:AF107"/>
    <mergeCell ref="AF108:AF111"/>
    <mergeCell ref="AF112:AF115"/>
    <mergeCell ref="AF116:AF119"/>
    <mergeCell ref="AF120:AF123"/>
    <mergeCell ref="AF124:AF127"/>
    <mergeCell ref="AF128:AF131"/>
    <mergeCell ref="AF132:AF135"/>
    <mergeCell ref="AG5:AH5"/>
    <mergeCell ref="AH16:AH19"/>
    <mergeCell ref="AH20:AH23"/>
    <mergeCell ref="AH24:AH27"/>
    <mergeCell ref="AH28:AH31"/>
    <mergeCell ref="AH32:AH35"/>
    <mergeCell ref="AF136:AF139"/>
    <mergeCell ref="AF64:AF67"/>
    <mergeCell ref="AF68:AF71"/>
    <mergeCell ref="AF72:AF75"/>
    <mergeCell ref="AF76:AF79"/>
    <mergeCell ref="AF80:AF83"/>
    <mergeCell ref="AF84:AF87"/>
    <mergeCell ref="AF88:AF91"/>
    <mergeCell ref="AF92:AF95"/>
    <mergeCell ref="AF96:AF99"/>
    <mergeCell ref="AF24:AF27"/>
    <mergeCell ref="AF28:AF31"/>
    <mergeCell ref="AF32:AF35"/>
    <mergeCell ref="AF36:AF39"/>
    <mergeCell ref="AF40:AF43"/>
    <mergeCell ref="AF44:AF47"/>
    <mergeCell ref="AH36:AH39"/>
    <mergeCell ref="AH40:AH43"/>
    <mergeCell ref="AH44:AH47"/>
    <mergeCell ref="AH48:AH51"/>
    <mergeCell ref="AH52:AH55"/>
    <mergeCell ref="AH56:AH59"/>
    <mergeCell ref="AH60:AH63"/>
    <mergeCell ref="AH64:AH67"/>
    <mergeCell ref="AH68:AH71"/>
    <mergeCell ref="AH72:AH75"/>
    <mergeCell ref="AH76:AH79"/>
    <mergeCell ref="AH80:AH83"/>
    <mergeCell ref="AH84:AH87"/>
    <mergeCell ref="AH88:AH91"/>
    <mergeCell ref="AH92:AH95"/>
    <mergeCell ref="AH96:AH99"/>
    <mergeCell ref="AH100:AH103"/>
    <mergeCell ref="AH104:AH107"/>
    <mergeCell ref="AH144:AH147"/>
    <mergeCell ref="AH148:AH151"/>
    <mergeCell ref="AH152:AH155"/>
    <mergeCell ref="AH156:AH159"/>
    <mergeCell ref="AH160:AH163"/>
    <mergeCell ref="AH164:AH167"/>
    <mergeCell ref="AH108:AH111"/>
    <mergeCell ref="AH112:AH115"/>
    <mergeCell ref="AH116:AH119"/>
    <mergeCell ref="AH120:AH123"/>
    <mergeCell ref="AH124:AH127"/>
    <mergeCell ref="AH128:AH131"/>
    <mergeCell ref="AH132:AH135"/>
    <mergeCell ref="AH136:AH139"/>
    <mergeCell ref="AH140:AH143"/>
  </mergeCells>
  <phoneticPr fontId="1" type="noConversion"/>
  <conditionalFormatting sqref="F8:V167 AD8:AE167">
    <cfRule type="cellIs" dxfId="6" priority="2" operator="lessThan">
      <formula>70</formula>
    </cfRule>
  </conditionalFormatting>
  <conditionalFormatting sqref="F8:V9">
    <cfRule type="cellIs" dxfId="5" priority="1" operator="lessThan">
      <formula>70</formula>
    </cfRule>
  </conditionalFormatting>
  <dataValidations count="3">
    <dataValidation type="list" allowBlank="1" showInputMessage="1" showErrorMessage="1" sqref="W8:X167 AC8:AC167">
      <formula1>$AL$8:$AL$12</formula1>
    </dataValidation>
    <dataValidation type="list" allowBlank="1" showInputMessage="1" showErrorMessage="1" sqref="AH8 AH12 AH16 AH20 AH24 AH28 AH32 AH36 AH40 AH44 AH48 AH52 AH56 AH60 AH64 AH68 AH72 AH76 AH80 AH84 AH88 AH92 AH96 AH100 AH104 AH108 AH112 AH116 AH120 AH124 AH128 AH132 AH136 AH140 AH144 AH148 AH152 AH156 AH160 AH164">
      <formula1>$AN$19:$AN$24</formula1>
    </dataValidation>
    <dataValidation type="list" allowBlank="1" showInputMessage="1" showErrorMessage="1" sqref="AG12 AG164 AG8 AG160 AG156 AG152 AG148 AG144 AG140 AG136 AG132 AG128 AG124 AG120 AG116 AG112 AG108 AG104 AG100 AG96 AG92 AG88 AG84 AG80 AG76 AG72 AG68 AG64 AG60 AG56 AG52 AG48 AG44 AG40 AG36 AG32 AG28 AG24 AG20 AG16">
      <formula1>$AN$8:$AN$16</formula1>
    </dataValidation>
  </dataValidations>
  <printOptions horizontalCentered="1"/>
  <pageMargins left="0.15748031496062992" right="0.11811023622047245" top="0.4" bottom="0.26" header="0.23622047244094491" footer="0.11811023622047245"/>
  <pageSetup paperSize="9" scale="78" orientation="portrait" horizontalDpi="4294967294" r:id="rId1"/>
  <headerFooter alignWithMargins="0">
    <oddHeader>&amp;C&amp;"Arial Rounded MT Bold,Regular"DKN  SMA PASUNDAN BANJARAN</oddHeader>
    <oddFooter>&amp;R&amp;"Calibri,Regular"&amp;9&amp;P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B050"/>
  </sheetPr>
  <dimension ref="A1:I165"/>
  <sheetViews>
    <sheetView showGridLines="0" zoomScale="115" zoomScaleNormal="115" workbookViewId="0">
      <pane xSplit="4" ySplit="4" topLeftCell="E117" activePane="bottomRight" state="frozen"/>
      <selection pane="topRight" activeCell="E1" sqref="E1"/>
      <selection pane="bottomLeft" activeCell="A5" sqref="A5"/>
      <selection pane="bottomRight" activeCell="F117" sqref="F117"/>
    </sheetView>
  </sheetViews>
  <sheetFormatPr defaultRowHeight="12.75" x14ac:dyDescent="0.2"/>
  <cols>
    <col min="1" max="1" width="4" style="48" customWidth="1"/>
    <col min="2" max="2" width="4.42578125" style="46" customWidth="1"/>
    <col min="3" max="3" width="23" style="46" customWidth="1"/>
    <col min="4" max="4" width="9.28515625" style="47" hidden="1" customWidth="1"/>
    <col min="5" max="5" width="19.7109375" style="47" customWidth="1"/>
    <col min="6" max="7" width="25.7109375" style="292" customWidth="1"/>
    <col min="8" max="8" width="4.7109375" style="292" customWidth="1"/>
    <col min="9" max="9" width="12.42578125" style="10" customWidth="1"/>
    <col min="10" max="16384" width="9.140625" style="10"/>
  </cols>
  <sheetData>
    <row r="1" spans="1:9" ht="15.75" x14ac:dyDescent="0.2">
      <c r="A1" s="259"/>
      <c r="B1" s="260"/>
      <c r="C1" s="261" t="s">
        <v>162</v>
      </c>
      <c r="D1" s="262"/>
      <c r="E1" s="262"/>
      <c r="F1" s="263"/>
      <c r="G1" s="263"/>
      <c r="H1" s="263"/>
    </row>
    <row r="2" spans="1:9" ht="12.75" customHeight="1" x14ac:dyDescent="0.2">
      <c r="A2" s="572" t="s">
        <v>9</v>
      </c>
      <c r="B2" s="572" t="s">
        <v>10</v>
      </c>
      <c r="C2" s="573" t="s">
        <v>41</v>
      </c>
      <c r="D2" s="264" t="s">
        <v>54</v>
      </c>
      <c r="E2" s="572" t="s">
        <v>163</v>
      </c>
      <c r="F2" s="572"/>
      <c r="G2" s="572" t="s">
        <v>165</v>
      </c>
      <c r="H2" s="561" t="s">
        <v>317</v>
      </c>
      <c r="I2" s="565" t="s">
        <v>295</v>
      </c>
    </row>
    <row r="3" spans="1:9" x14ac:dyDescent="0.2">
      <c r="A3" s="572"/>
      <c r="B3" s="572"/>
      <c r="C3" s="573"/>
      <c r="D3" s="265" t="s">
        <v>55</v>
      </c>
      <c r="E3" s="264" t="s">
        <v>145</v>
      </c>
      <c r="F3" s="264" t="s">
        <v>164</v>
      </c>
      <c r="G3" s="572"/>
      <c r="H3" s="562"/>
      <c r="I3" s="565"/>
    </row>
    <row r="4" spans="1:9" ht="13.5" thickBot="1" x14ac:dyDescent="0.25">
      <c r="A4" s="266">
        <v>0</v>
      </c>
      <c r="B4" s="266"/>
      <c r="C4" s="266">
        <v>1</v>
      </c>
      <c r="D4" s="266">
        <v>1</v>
      </c>
      <c r="E4" s="267">
        <v>2</v>
      </c>
      <c r="F4" s="268">
        <v>3</v>
      </c>
      <c r="G4" s="269">
        <v>4</v>
      </c>
      <c r="H4" s="269">
        <v>5</v>
      </c>
      <c r="I4" s="293">
        <v>6</v>
      </c>
    </row>
    <row r="5" spans="1:9" x14ac:dyDescent="0.2">
      <c r="A5" s="574">
        <v>1</v>
      </c>
      <c r="B5" s="516" t="str">
        <f>VLOOKUP(A5,biononis,2,1)</f>
        <v>181910008</v>
      </c>
      <c r="C5" s="518" t="str">
        <f>VLOOKUP(A5,biononis,3,1)</f>
        <v>ADITA TRI KURNIA PUTRI</v>
      </c>
      <c r="D5" s="270" t="str">
        <f>B5&amp;"A"</f>
        <v>181910008A</v>
      </c>
      <c r="E5" s="271" t="s">
        <v>36</v>
      </c>
      <c r="F5" s="272" t="s">
        <v>36</v>
      </c>
      <c r="G5" s="575">
        <f>LEGER!AG8</f>
        <v>0</v>
      </c>
      <c r="H5" s="563" t="str">
        <f>LEGER!AF8</f>
        <v/>
      </c>
      <c r="I5" s="566">
        <f>LEGER!AH8</f>
        <v>0</v>
      </c>
    </row>
    <row r="6" spans="1:9" x14ac:dyDescent="0.2">
      <c r="A6" s="567"/>
      <c r="B6" s="517"/>
      <c r="C6" s="519"/>
      <c r="D6" s="49" t="str">
        <f>B5&amp;"B"</f>
        <v>181910008B</v>
      </c>
      <c r="E6" s="273" t="s">
        <v>36</v>
      </c>
      <c r="F6" s="274" t="s">
        <v>36</v>
      </c>
      <c r="G6" s="576"/>
      <c r="H6" s="560"/>
      <c r="I6" s="564"/>
    </row>
    <row r="7" spans="1:9" x14ac:dyDescent="0.2">
      <c r="A7" s="567"/>
      <c r="B7" s="517"/>
      <c r="C7" s="519"/>
      <c r="D7" s="49" t="str">
        <f>B5&amp;"C"</f>
        <v>181910008C</v>
      </c>
      <c r="E7" s="275" t="s">
        <v>36</v>
      </c>
      <c r="F7" s="276" t="s">
        <v>36</v>
      </c>
      <c r="G7" s="576"/>
      <c r="H7" s="560"/>
      <c r="I7" s="564"/>
    </row>
    <row r="8" spans="1:9" x14ac:dyDescent="0.2">
      <c r="A8" s="571"/>
      <c r="B8" s="245"/>
      <c r="C8" s="246"/>
      <c r="D8" s="277" t="str">
        <f>B5&amp;"D"</f>
        <v>181910008D</v>
      </c>
      <c r="E8" s="278" t="s">
        <v>36</v>
      </c>
      <c r="F8" s="279" t="s">
        <v>36</v>
      </c>
      <c r="G8" s="576"/>
      <c r="H8" s="560"/>
      <c r="I8" s="564"/>
    </row>
    <row r="9" spans="1:9" ht="13.5" customHeight="1" x14ac:dyDescent="0.2">
      <c r="A9" s="567">
        <v>2</v>
      </c>
      <c r="B9" s="568" t="str">
        <f>VLOOKUP(A9,biononis,2,1)</f>
        <v>181910011</v>
      </c>
      <c r="C9" s="569" t="str">
        <f>VLOOKUP(A9,biononis,3,1)</f>
        <v xml:space="preserve">ADNES KOMALA DEWI </v>
      </c>
      <c r="D9" s="49" t="str">
        <f>B9&amp;"A"</f>
        <v>181910011A</v>
      </c>
      <c r="E9" s="280" t="s">
        <v>36</v>
      </c>
      <c r="F9" s="281" t="s">
        <v>36</v>
      </c>
      <c r="G9" s="577" t="str">
        <f>LEGER!AG12</f>
        <v>Belajarlah lebih rajin dan minta pengayaan !</v>
      </c>
      <c r="H9" s="560">
        <f>LEGER!AF12</f>
        <v>17</v>
      </c>
      <c r="I9" s="564" t="str">
        <f>LEGER!AH12</f>
        <v>Naik dengan Remedial</v>
      </c>
    </row>
    <row r="10" spans="1:9" ht="13.5" customHeight="1" x14ac:dyDescent="0.2">
      <c r="A10" s="567"/>
      <c r="B10" s="517"/>
      <c r="C10" s="519"/>
      <c r="D10" s="49" t="str">
        <f>B9&amp;"B"</f>
        <v>181910011B</v>
      </c>
      <c r="E10" s="273" t="s">
        <v>36</v>
      </c>
      <c r="F10" s="276" t="s">
        <v>36</v>
      </c>
      <c r="G10" s="576"/>
      <c r="H10" s="560"/>
      <c r="I10" s="564"/>
    </row>
    <row r="11" spans="1:9" ht="13.5" customHeight="1" x14ac:dyDescent="0.2">
      <c r="A11" s="567"/>
      <c r="B11" s="517"/>
      <c r="C11" s="519"/>
      <c r="D11" s="49" t="str">
        <f>B9&amp;"C"</f>
        <v>181910011C</v>
      </c>
      <c r="E11" s="282" t="s">
        <v>36</v>
      </c>
      <c r="F11" s="276" t="s">
        <v>36</v>
      </c>
      <c r="G11" s="576"/>
      <c r="H11" s="560"/>
      <c r="I11" s="564"/>
    </row>
    <row r="12" spans="1:9" ht="13.5" customHeight="1" x14ac:dyDescent="0.2">
      <c r="A12" s="567"/>
      <c r="B12" s="283"/>
      <c r="C12" s="284"/>
      <c r="D12" s="49" t="str">
        <f>B9&amp;"D"</f>
        <v>181910011D</v>
      </c>
      <c r="E12" s="285" t="s">
        <v>36</v>
      </c>
      <c r="F12" s="286" t="s">
        <v>36</v>
      </c>
      <c r="G12" s="578"/>
      <c r="H12" s="560"/>
      <c r="I12" s="564"/>
    </row>
    <row r="13" spans="1:9" ht="13.5" customHeight="1" x14ac:dyDescent="0.2">
      <c r="A13" s="570">
        <v>3</v>
      </c>
      <c r="B13" s="517" t="str">
        <f>VLOOKUP(A13,biononis,2,1)</f>
        <v>181910014</v>
      </c>
      <c r="C13" s="519" t="str">
        <f>VLOOKUP(A13,biononis,3,1)</f>
        <v>AGUNG BUDI PRASTAWA</v>
      </c>
      <c r="D13" s="57" t="str">
        <f>B13&amp;"A"</f>
        <v>181910014A</v>
      </c>
      <c r="E13" s="287" t="s">
        <v>36</v>
      </c>
      <c r="F13" s="274" t="s">
        <v>36</v>
      </c>
      <c r="G13" s="577" t="str">
        <f>LEGER!AG16</f>
        <v>Perlu berlatih untuk meningkatkan kompetensi dan remedial mapel yang belum tuntas !</v>
      </c>
      <c r="H13" s="560">
        <f>LEGER!AF16</f>
        <v>23</v>
      </c>
      <c r="I13" s="564" t="str">
        <f>LEGER!AH16</f>
        <v>Naik dengan Remedial</v>
      </c>
    </row>
    <row r="14" spans="1:9" ht="13.5" customHeight="1" x14ac:dyDescent="0.2">
      <c r="A14" s="567"/>
      <c r="B14" s="517"/>
      <c r="C14" s="519"/>
      <c r="D14" s="49" t="str">
        <f>B13&amp;"B"</f>
        <v>181910014B</v>
      </c>
      <c r="E14" s="282" t="s">
        <v>36</v>
      </c>
      <c r="F14" s="276" t="s">
        <v>36</v>
      </c>
      <c r="G14" s="576"/>
      <c r="H14" s="560"/>
      <c r="I14" s="564"/>
    </row>
    <row r="15" spans="1:9" ht="13.5" customHeight="1" x14ac:dyDescent="0.2">
      <c r="A15" s="567"/>
      <c r="B15" s="517"/>
      <c r="C15" s="519"/>
      <c r="D15" s="49" t="str">
        <f>B13&amp;"C"</f>
        <v>181910014C</v>
      </c>
      <c r="E15" s="282" t="s">
        <v>36</v>
      </c>
      <c r="F15" s="276" t="s">
        <v>36</v>
      </c>
      <c r="G15" s="576"/>
      <c r="H15" s="560"/>
      <c r="I15" s="564"/>
    </row>
    <row r="16" spans="1:9" ht="13.5" customHeight="1" x14ac:dyDescent="0.2">
      <c r="A16" s="571"/>
      <c r="B16" s="245"/>
      <c r="C16" s="246"/>
      <c r="D16" s="277" t="str">
        <f>B13&amp;"D"</f>
        <v>181910014D</v>
      </c>
      <c r="E16" s="288" t="s">
        <v>36</v>
      </c>
      <c r="F16" s="289" t="s">
        <v>36</v>
      </c>
      <c r="G16" s="578"/>
      <c r="H16" s="560"/>
      <c r="I16" s="564"/>
    </row>
    <row r="17" spans="1:9" ht="13.5" customHeight="1" x14ac:dyDescent="0.2">
      <c r="A17" s="567">
        <v>4</v>
      </c>
      <c r="B17" s="568" t="str">
        <f>VLOOKUP(A17,biononis,2,1)</f>
        <v>181910045</v>
      </c>
      <c r="C17" s="569" t="str">
        <f>VLOOKUP(A17,biononis,3,1)</f>
        <v>ARYA DYTA WIGUNA</v>
      </c>
      <c r="D17" s="49" t="str">
        <f>B17&amp;"A"</f>
        <v>181910045A</v>
      </c>
      <c r="E17" s="280" t="s">
        <v>36</v>
      </c>
      <c r="F17" s="281" t="s">
        <v>36</v>
      </c>
      <c r="G17" s="577" t="str">
        <f>LEGER!AG20</f>
        <v>Belajarlah lebih rajin dan minta pengayaan !</v>
      </c>
      <c r="H17" s="560">
        <f>LEGER!AF20</f>
        <v>11</v>
      </c>
      <c r="I17" s="564" t="str">
        <f>LEGER!AH20</f>
        <v>Naik dengan Remedial</v>
      </c>
    </row>
    <row r="18" spans="1:9" ht="13.5" customHeight="1" x14ac:dyDescent="0.2">
      <c r="A18" s="567"/>
      <c r="B18" s="517"/>
      <c r="C18" s="519"/>
      <c r="D18" s="49" t="str">
        <f>B17&amp;"B"</f>
        <v>181910045B</v>
      </c>
      <c r="E18" s="282" t="s">
        <v>36</v>
      </c>
      <c r="F18" s="276" t="s">
        <v>36</v>
      </c>
      <c r="G18" s="576"/>
      <c r="H18" s="560"/>
      <c r="I18" s="564"/>
    </row>
    <row r="19" spans="1:9" ht="13.5" customHeight="1" x14ac:dyDescent="0.2">
      <c r="A19" s="567"/>
      <c r="B19" s="517"/>
      <c r="C19" s="519"/>
      <c r="D19" s="49" t="str">
        <f>B17&amp;"C"</f>
        <v>181910045C</v>
      </c>
      <c r="E19" s="282" t="s">
        <v>36</v>
      </c>
      <c r="F19" s="276" t="s">
        <v>36</v>
      </c>
      <c r="G19" s="576"/>
      <c r="H19" s="560"/>
      <c r="I19" s="564"/>
    </row>
    <row r="20" spans="1:9" ht="13.5" customHeight="1" x14ac:dyDescent="0.2">
      <c r="A20" s="567"/>
      <c r="B20" s="283"/>
      <c r="C20" s="284"/>
      <c r="D20" s="49" t="str">
        <f>B17&amp;"D"</f>
        <v>181910045D</v>
      </c>
      <c r="E20" s="285" t="s">
        <v>36</v>
      </c>
      <c r="F20" s="286" t="s">
        <v>36</v>
      </c>
      <c r="G20" s="578"/>
      <c r="H20" s="560"/>
      <c r="I20" s="564"/>
    </row>
    <row r="21" spans="1:9" ht="13.5" customHeight="1" x14ac:dyDescent="0.2">
      <c r="A21" s="570">
        <v>5</v>
      </c>
      <c r="B21" s="517" t="str">
        <f>VLOOKUP(A21,biononis,2,1)</f>
        <v>181910054</v>
      </c>
      <c r="C21" s="519" t="str">
        <f>VLOOKUP(A21,biononis,3,1)</f>
        <v>AZRIEL TAMA SANTIAJI</v>
      </c>
      <c r="D21" s="57" t="str">
        <f>B21&amp;"A"</f>
        <v>181910054A</v>
      </c>
      <c r="E21" s="287" t="s">
        <v>36</v>
      </c>
      <c r="F21" s="274" t="s">
        <v>36</v>
      </c>
      <c r="G21" s="577" t="str">
        <f>LEGER!AG24</f>
        <v>Perlu berlatih untuk meningkatkan kompetensi dan remedial mapel yang belum tuntas !</v>
      </c>
      <c r="H21" s="560">
        <f>LEGER!AF24</f>
        <v>26</v>
      </c>
      <c r="I21" s="564" t="str">
        <f>LEGER!AH24</f>
        <v>Naik dengan Remedial</v>
      </c>
    </row>
    <row r="22" spans="1:9" ht="13.5" customHeight="1" x14ac:dyDescent="0.2">
      <c r="A22" s="567"/>
      <c r="B22" s="517"/>
      <c r="C22" s="519"/>
      <c r="D22" s="49" t="str">
        <f>B21&amp;"B"</f>
        <v>181910054B</v>
      </c>
      <c r="E22" s="282" t="s">
        <v>36</v>
      </c>
      <c r="F22" s="276" t="s">
        <v>36</v>
      </c>
      <c r="G22" s="576"/>
      <c r="H22" s="560"/>
      <c r="I22" s="564"/>
    </row>
    <row r="23" spans="1:9" ht="13.5" customHeight="1" x14ac:dyDescent="0.2">
      <c r="A23" s="567"/>
      <c r="B23" s="517"/>
      <c r="C23" s="519"/>
      <c r="D23" s="49" t="str">
        <f>B21&amp;"C"</f>
        <v>181910054C</v>
      </c>
      <c r="E23" s="282" t="s">
        <v>36</v>
      </c>
      <c r="F23" s="276" t="s">
        <v>36</v>
      </c>
      <c r="G23" s="576"/>
      <c r="H23" s="560"/>
      <c r="I23" s="564"/>
    </row>
    <row r="24" spans="1:9" ht="13.5" customHeight="1" x14ac:dyDescent="0.2">
      <c r="A24" s="571"/>
      <c r="B24" s="245"/>
      <c r="C24" s="246"/>
      <c r="D24" s="277" t="str">
        <f>B21&amp;"D"</f>
        <v>181910054D</v>
      </c>
      <c r="E24" s="288" t="s">
        <v>36</v>
      </c>
      <c r="F24" s="289" t="s">
        <v>36</v>
      </c>
      <c r="G24" s="578"/>
      <c r="H24" s="560"/>
      <c r="I24" s="564"/>
    </row>
    <row r="25" spans="1:9" ht="13.5" customHeight="1" x14ac:dyDescent="0.2">
      <c r="A25" s="567">
        <v>6</v>
      </c>
      <c r="B25" s="568" t="str">
        <f>VLOOKUP(A25,biononis,2,1)</f>
        <v>181910055</v>
      </c>
      <c r="C25" s="569" t="str">
        <f>VLOOKUP(A25,biononis,3,1)</f>
        <v>AZZUHRI HAUDI</v>
      </c>
      <c r="D25" s="49" t="str">
        <f>B25&amp;"A"</f>
        <v>181910055A</v>
      </c>
      <c r="E25" s="280" t="s">
        <v>36</v>
      </c>
      <c r="F25" s="281" t="s">
        <v>36</v>
      </c>
      <c r="G25" s="577" t="str">
        <f>LEGER!AG28</f>
        <v>Belajarlah lebih rajin dan minta pengayaan !</v>
      </c>
      <c r="H25" s="560">
        <f>LEGER!AF28</f>
        <v>14</v>
      </c>
      <c r="I25" s="564" t="str">
        <f>LEGER!AH28</f>
        <v>Naik dengan Remedial</v>
      </c>
    </row>
    <row r="26" spans="1:9" ht="13.5" customHeight="1" x14ac:dyDescent="0.2">
      <c r="A26" s="567"/>
      <c r="B26" s="517"/>
      <c r="C26" s="519"/>
      <c r="D26" s="49" t="str">
        <f>B25&amp;"B"</f>
        <v>181910055B</v>
      </c>
      <c r="E26" s="282" t="s">
        <v>36</v>
      </c>
      <c r="F26" s="276" t="s">
        <v>36</v>
      </c>
      <c r="G26" s="576"/>
      <c r="H26" s="560"/>
      <c r="I26" s="564"/>
    </row>
    <row r="27" spans="1:9" ht="13.5" customHeight="1" x14ac:dyDescent="0.2">
      <c r="A27" s="567"/>
      <c r="B27" s="517"/>
      <c r="C27" s="519"/>
      <c r="D27" s="49" t="str">
        <f>B25&amp;"C"</f>
        <v>181910055C</v>
      </c>
      <c r="E27" s="282" t="s">
        <v>36</v>
      </c>
      <c r="F27" s="276" t="s">
        <v>36</v>
      </c>
      <c r="G27" s="576"/>
      <c r="H27" s="560"/>
      <c r="I27" s="564"/>
    </row>
    <row r="28" spans="1:9" ht="13.5" customHeight="1" x14ac:dyDescent="0.2">
      <c r="A28" s="567"/>
      <c r="B28" s="283"/>
      <c r="C28" s="284"/>
      <c r="D28" s="49" t="str">
        <f>B25&amp;"D"</f>
        <v>181910055D</v>
      </c>
      <c r="E28" s="285" t="s">
        <v>36</v>
      </c>
      <c r="F28" s="286" t="s">
        <v>36</v>
      </c>
      <c r="G28" s="578"/>
      <c r="H28" s="560"/>
      <c r="I28" s="564"/>
    </row>
    <row r="29" spans="1:9" ht="13.5" customHeight="1" x14ac:dyDescent="0.2">
      <c r="A29" s="570">
        <v>7</v>
      </c>
      <c r="B29" s="517" t="str">
        <f>VLOOKUP(A29,biononis,2,1)</f>
        <v>181910056</v>
      </c>
      <c r="C29" s="519" t="str">
        <f>VLOOKUP(A29,biononis,3,1)</f>
        <v>BAYU BATARA SURYA PUTRA</v>
      </c>
      <c r="D29" s="57" t="str">
        <f>B29&amp;"A"</f>
        <v>181910056A</v>
      </c>
      <c r="E29" s="287" t="s">
        <v>36</v>
      </c>
      <c r="F29" s="274" t="s">
        <v>36</v>
      </c>
      <c r="G29" s="577" t="str">
        <f>LEGER!AG32</f>
        <v>Belajarlah lebih rajin dan minta pengayaan !</v>
      </c>
      <c r="H29" s="560">
        <f>LEGER!AF32</f>
        <v>19</v>
      </c>
      <c r="I29" s="564" t="str">
        <f>LEGER!AH32</f>
        <v>Naik dengan Remedial</v>
      </c>
    </row>
    <row r="30" spans="1:9" ht="13.5" customHeight="1" x14ac:dyDescent="0.2">
      <c r="A30" s="567"/>
      <c r="B30" s="517"/>
      <c r="C30" s="519"/>
      <c r="D30" s="49" t="str">
        <f>B29&amp;"B"</f>
        <v>181910056B</v>
      </c>
      <c r="E30" s="282" t="s">
        <v>36</v>
      </c>
      <c r="F30" s="276" t="s">
        <v>36</v>
      </c>
      <c r="G30" s="576"/>
      <c r="H30" s="560"/>
      <c r="I30" s="564"/>
    </row>
    <row r="31" spans="1:9" ht="13.5" customHeight="1" x14ac:dyDescent="0.2">
      <c r="A31" s="567"/>
      <c r="B31" s="517"/>
      <c r="C31" s="519"/>
      <c r="D31" s="49" t="str">
        <f>B29&amp;"C"</f>
        <v>181910056C</v>
      </c>
      <c r="E31" s="282" t="s">
        <v>36</v>
      </c>
      <c r="F31" s="276" t="s">
        <v>36</v>
      </c>
      <c r="G31" s="576"/>
      <c r="H31" s="560"/>
      <c r="I31" s="564"/>
    </row>
    <row r="32" spans="1:9" ht="13.5" customHeight="1" x14ac:dyDescent="0.2">
      <c r="A32" s="571"/>
      <c r="B32" s="245"/>
      <c r="C32" s="246"/>
      <c r="D32" s="277" t="str">
        <f>B29&amp;"D"</f>
        <v>181910056D</v>
      </c>
      <c r="E32" s="288" t="s">
        <v>36</v>
      </c>
      <c r="F32" s="289" t="s">
        <v>36</v>
      </c>
      <c r="G32" s="578"/>
      <c r="H32" s="560"/>
      <c r="I32" s="564"/>
    </row>
    <row r="33" spans="1:9" ht="13.5" customHeight="1" x14ac:dyDescent="0.2">
      <c r="A33" s="567">
        <v>8</v>
      </c>
      <c r="B33" s="568" t="str">
        <f>VLOOKUP(A33,biononis,2,1)</f>
        <v>181910069</v>
      </c>
      <c r="C33" s="569" t="str">
        <f>VLOOKUP(A33,biononis,3,1)</f>
        <v>DANDY ERVAN PRATAMA</v>
      </c>
      <c r="D33" s="49" t="str">
        <f>B33&amp;"A"</f>
        <v>181910069A</v>
      </c>
      <c r="E33" s="280" t="s">
        <v>36</v>
      </c>
      <c r="F33" s="281" t="s">
        <v>36</v>
      </c>
      <c r="G33" s="577" t="str">
        <f>LEGER!AG36</f>
        <v>Perlu berlatih untuk meningkatkan kompetensi dan remedial mapel yang belum tuntas !</v>
      </c>
      <c r="H33" s="560">
        <f>LEGER!AF36</f>
        <v>30</v>
      </c>
      <c r="I33" s="564" t="str">
        <f>LEGER!AH36</f>
        <v>Naik dengan Remedial</v>
      </c>
    </row>
    <row r="34" spans="1:9" ht="13.5" customHeight="1" x14ac:dyDescent="0.2">
      <c r="A34" s="567"/>
      <c r="B34" s="517"/>
      <c r="C34" s="519"/>
      <c r="D34" s="49" t="str">
        <f>B33&amp;"B"</f>
        <v>181910069B</v>
      </c>
      <c r="E34" s="282" t="s">
        <v>36</v>
      </c>
      <c r="F34" s="276" t="s">
        <v>36</v>
      </c>
      <c r="G34" s="576"/>
      <c r="H34" s="560"/>
      <c r="I34" s="564"/>
    </row>
    <row r="35" spans="1:9" ht="13.5" customHeight="1" x14ac:dyDescent="0.2">
      <c r="A35" s="567"/>
      <c r="B35" s="517"/>
      <c r="C35" s="519"/>
      <c r="D35" s="49" t="str">
        <f>B33&amp;"C"</f>
        <v>181910069C</v>
      </c>
      <c r="E35" s="282" t="s">
        <v>36</v>
      </c>
      <c r="F35" s="276" t="s">
        <v>36</v>
      </c>
      <c r="G35" s="576"/>
      <c r="H35" s="560"/>
      <c r="I35" s="564"/>
    </row>
    <row r="36" spans="1:9" ht="13.5" customHeight="1" x14ac:dyDescent="0.2">
      <c r="A36" s="567"/>
      <c r="B36" s="283"/>
      <c r="C36" s="284"/>
      <c r="D36" s="49" t="str">
        <f>B33&amp;"D"</f>
        <v>181910069D</v>
      </c>
      <c r="E36" s="285" t="s">
        <v>36</v>
      </c>
      <c r="F36" s="286" t="s">
        <v>36</v>
      </c>
      <c r="G36" s="578"/>
      <c r="H36" s="560"/>
      <c r="I36" s="564"/>
    </row>
    <row r="37" spans="1:9" ht="13.5" customHeight="1" x14ac:dyDescent="0.2">
      <c r="A37" s="570">
        <v>9</v>
      </c>
      <c r="B37" s="517" t="str">
        <f>VLOOKUP(A37,biononis,2,1)</f>
        <v>181910085</v>
      </c>
      <c r="C37" s="519" t="str">
        <f>VLOOKUP(A37,biononis,3,1)</f>
        <v>DENISA ASTI RAHMAWATI</v>
      </c>
      <c r="D37" s="57" t="str">
        <f>B37&amp;"A"</f>
        <v>181910085A</v>
      </c>
      <c r="E37" s="287" t="s">
        <v>36</v>
      </c>
      <c r="F37" s="274" t="s">
        <v>36</v>
      </c>
      <c r="G37" s="577" t="str">
        <f>LEGER!AG40</f>
        <v>Belajarlah lebih rajin dan minta pengayaan !</v>
      </c>
      <c r="H37" s="560">
        <f>LEGER!AF40</f>
        <v>18</v>
      </c>
      <c r="I37" s="564" t="str">
        <f>LEGER!AH40</f>
        <v>Naik dengan Remedial</v>
      </c>
    </row>
    <row r="38" spans="1:9" ht="13.5" customHeight="1" x14ac:dyDescent="0.2">
      <c r="A38" s="567"/>
      <c r="B38" s="517"/>
      <c r="C38" s="519"/>
      <c r="D38" s="49" t="str">
        <f>B37&amp;"B"</f>
        <v>181910085B</v>
      </c>
      <c r="E38" s="282" t="s">
        <v>36</v>
      </c>
      <c r="F38" s="276" t="s">
        <v>36</v>
      </c>
      <c r="G38" s="576"/>
      <c r="H38" s="560"/>
      <c r="I38" s="564"/>
    </row>
    <row r="39" spans="1:9" ht="13.5" customHeight="1" x14ac:dyDescent="0.2">
      <c r="A39" s="567"/>
      <c r="B39" s="517"/>
      <c r="C39" s="519"/>
      <c r="D39" s="49" t="str">
        <f>B37&amp;"C"</f>
        <v>181910085C</v>
      </c>
      <c r="E39" s="282" t="s">
        <v>36</v>
      </c>
      <c r="F39" s="276" t="s">
        <v>36</v>
      </c>
      <c r="G39" s="576"/>
      <c r="H39" s="560"/>
      <c r="I39" s="564"/>
    </row>
    <row r="40" spans="1:9" ht="13.5" customHeight="1" x14ac:dyDescent="0.2">
      <c r="A40" s="571"/>
      <c r="B40" s="245"/>
      <c r="C40" s="246"/>
      <c r="D40" s="277" t="str">
        <f>B37&amp;"D"</f>
        <v>181910085D</v>
      </c>
      <c r="E40" s="288" t="s">
        <v>36</v>
      </c>
      <c r="F40" s="289" t="s">
        <v>36</v>
      </c>
      <c r="G40" s="578"/>
      <c r="H40" s="560"/>
      <c r="I40" s="564"/>
    </row>
    <row r="41" spans="1:9" ht="13.5" customHeight="1" x14ac:dyDescent="0.2">
      <c r="A41" s="567">
        <v>10</v>
      </c>
      <c r="B41" s="568" t="str">
        <f>VLOOKUP(A41,biononis,2,1)</f>
        <v>181910093</v>
      </c>
      <c r="C41" s="569" t="str">
        <f>VLOOKUP(A41,biononis,3,1)</f>
        <v>DIAN RAMDHAN SAPTIAN</v>
      </c>
      <c r="D41" s="49" t="str">
        <f>B41&amp;"A"</f>
        <v>181910093A</v>
      </c>
      <c r="E41" s="280" t="s">
        <v>36</v>
      </c>
      <c r="F41" s="281" t="s">
        <v>36</v>
      </c>
      <c r="G41" s="577" t="str">
        <f>LEGER!AG44</f>
        <v>Perlu berlatih untuk meningkatkan kompetensi dan remedial mapel yang belum tuntas !</v>
      </c>
      <c r="H41" s="560">
        <f>LEGER!AF44</f>
        <v>22</v>
      </c>
      <c r="I41" s="564" t="str">
        <f>LEGER!AH44</f>
        <v>Naik dengan Remedial</v>
      </c>
    </row>
    <row r="42" spans="1:9" ht="13.5" customHeight="1" x14ac:dyDescent="0.2">
      <c r="A42" s="567"/>
      <c r="B42" s="517"/>
      <c r="C42" s="519"/>
      <c r="D42" s="49" t="str">
        <f>B41&amp;"B"</f>
        <v>181910093B</v>
      </c>
      <c r="E42" s="282" t="s">
        <v>36</v>
      </c>
      <c r="F42" s="276" t="s">
        <v>36</v>
      </c>
      <c r="G42" s="576"/>
      <c r="H42" s="560"/>
      <c r="I42" s="564"/>
    </row>
    <row r="43" spans="1:9" ht="13.5" customHeight="1" x14ac:dyDescent="0.2">
      <c r="A43" s="567"/>
      <c r="B43" s="517"/>
      <c r="C43" s="519"/>
      <c r="D43" s="49" t="str">
        <f>B41&amp;"C"</f>
        <v>181910093C</v>
      </c>
      <c r="E43" s="282" t="s">
        <v>36</v>
      </c>
      <c r="F43" s="276" t="s">
        <v>36</v>
      </c>
      <c r="G43" s="576"/>
      <c r="H43" s="560"/>
      <c r="I43" s="564"/>
    </row>
    <row r="44" spans="1:9" ht="13.5" customHeight="1" x14ac:dyDescent="0.2">
      <c r="A44" s="567"/>
      <c r="B44" s="283"/>
      <c r="C44" s="284"/>
      <c r="D44" s="49" t="str">
        <f>B41&amp;"D"</f>
        <v>181910093D</v>
      </c>
      <c r="E44" s="285" t="s">
        <v>36</v>
      </c>
      <c r="F44" s="286" t="s">
        <v>36</v>
      </c>
      <c r="G44" s="578"/>
      <c r="H44" s="560"/>
      <c r="I44" s="564"/>
    </row>
    <row r="45" spans="1:9" ht="13.5" customHeight="1" x14ac:dyDescent="0.2">
      <c r="A45" s="570">
        <v>11</v>
      </c>
      <c r="B45" s="517" t="str">
        <f>VLOOKUP(A45,biononis,2,1)</f>
        <v>181910103</v>
      </c>
      <c r="C45" s="519" t="str">
        <f>VLOOKUP(A45,biononis,3,1)</f>
        <v>DIVYA ADHIANI NURDIN</v>
      </c>
      <c r="D45" s="57" t="str">
        <f>B45&amp;"A"</f>
        <v>181910103A</v>
      </c>
      <c r="E45" s="287" t="s">
        <v>36</v>
      </c>
      <c r="F45" s="274" t="s">
        <v>36</v>
      </c>
      <c r="G45" s="577" t="str">
        <f>LEGER!AG48</f>
        <v>Belajarlah lebih rajin dan minta pengayaan !</v>
      </c>
      <c r="H45" s="560">
        <f>LEGER!AF48</f>
        <v>10</v>
      </c>
      <c r="I45" s="564" t="str">
        <f>LEGER!AH48</f>
        <v>Naik ke Kelas XI MIPA</v>
      </c>
    </row>
    <row r="46" spans="1:9" ht="13.5" customHeight="1" x14ac:dyDescent="0.2">
      <c r="A46" s="567"/>
      <c r="B46" s="517"/>
      <c r="C46" s="519"/>
      <c r="D46" s="49" t="str">
        <f>B45&amp;"B"</f>
        <v>181910103B</v>
      </c>
      <c r="E46" s="282" t="s">
        <v>36</v>
      </c>
      <c r="F46" s="276" t="s">
        <v>36</v>
      </c>
      <c r="G46" s="576"/>
      <c r="H46" s="560"/>
      <c r="I46" s="564"/>
    </row>
    <row r="47" spans="1:9" ht="13.5" customHeight="1" x14ac:dyDescent="0.2">
      <c r="A47" s="567"/>
      <c r="B47" s="517"/>
      <c r="C47" s="519"/>
      <c r="D47" s="49" t="str">
        <f>B45&amp;"C"</f>
        <v>181910103C</v>
      </c>
      <c r="E47" s="282" t="s">
        <v>36</v>
      </c>
      <c r="F47" s="276" t="s">
        <v>36</v>
      </c>
      <c r="G47" s="576"/>
      <c r="H47" s="560"/>
      <c r="I47" s="564"/>
    </row>
    <row r="48" spans="1:9" ht="13.5" customHeight="1" x14ac:dyDescent="0.2">
      <c r="A48" s="571"/>
      <c r="B48" s="245"/>
      <c r="C48" s="246"/>
      <c r="D48" s="277" t="str">
        <f>B45&amp;"D"</f>
        <v>181910103D</v>
      </c>
      <c r="E48" s="288" t="s">
        <v>36</v>
      </c>
      <c r="F48" s="289" t="s">
        <v>36</v>
      </c>
      <c r="G48" s="578"/>
      <c r="H48" s="560"/>
      <c r="I48" s="564"/>
    </row>
    <row r="49" spans="1:9" ht="13.5" customHeight="1" x14ac:dyDescent="0.2">
      <c r="A49" s="567">
        <v>12</v>
      </c>
      <c r="B49" s="568" t="str">
        <f>VLOOKUP(A49,biononis,2,1)</f>
        <v>181910104</v>
      </c>
      <c r="C49" s="569" t="str">
        <f>VLOOKUP(A49,biononis,3,1)</f>
        <v>DWIKI DERMAWAN</v>
      </c>
      <c r="D49" s="49" t="str">
        <f>B49&amp;"A"</f>
        <v>181910104A</v>
      </c>
      <c r="E49" s="280" t="s">
        <v>36</v>
      </c>
      <c r="F49" s="281" t="s">
        <v>36</v>
      </c>
      <c r="G49" s="577" t="str">
        <f>LEGER!AG52</f>
        <v>Perlu berlatih untuk meningkatkan kompetensi dan remedial mapel yang belum tuntas !</v>
      </c>
      <c r="H49" s="560">
        <f>LEGER!AF52</f>
        <v>25</v>
      </c>
      <c r="I49" s="564" t="str">
        <f>LEGER!AH52</f>
        <v>Naik dengan Remedial</v>
      </c>
    </row>
    <row r="50" spans="1:9" ht="13.5" customHeight="1" x14ac:dyDescent="0.2">
      <c r="A50" s="567"/>
      <c r="B50" s="517"/>
      <c r="C50" s="519"/>
      <c r="D50" s="49" t="str">
        <f>B49&amp;"B"</f>
        <v>181910104B</v>
      </c>
      <c r="E50" s="282" t="s">
        <v>36</v>
      </c>
      <c r="F50" s="276" t="s">
        <v>36</v>
      </c>
      <c r="G50" s="576"/>
      <c r="H50" s="560"/>
      <c r="I50" s="564"/>
    </row>
    <row r="51" spans="1:9" ht="13.5" customHeight="1" x14ac:dyDescent="0.2">
      <c r="A51" s="567"/>
      <c r="B51" s="517"/>
      <c r="C51" s="519"/>
      <c r="D51" s="49" t="str">
        <f>B49&amp;"C"</f>
        <v>181910104C</v>
      </c>
      <c r="E51" s="282" t="s">
        <v>36</v>
      </c>
      <c r="F51" s="276" t="s">
        <v>36</v>
      </c>
      <c r="G51" s="576"/>
      <c r="H51" s="560"/>
      <c r="I51" s="564"/>
    </row>
    <row r="52" spans="1:9" ht="13.5" customHeight="1" x14ac:dyDescent="0.2">
      <c r="A52" s="567"/>
      <c r="B52" s="283"/>
      <c r="C52" s="284"/>
      <c r="D52" s="49" t="str">
        <f>B49&amp;"D"</f>
        <v>181910104D</v>
      </c>
      <c r="E52" s="285" t="s">
        <v>36</v>
      </c>
      <c r="F52" s="286" t="s">
        <v>36</v>
      </c>
      <c r="G52" s="578"/>
      <c r="H52" s="560"/>
      <c r="I52" s="564"/>
    </row>
    <row r="53" spans="1:9" ht="13.5" customHeight="1" x14ac:dyDescent="0.2">
      <c r="A53" s="570">
        <v>13</v>
      </c>
      <c r="B53" s="517" t="str">
        <f>VLOOKUP(A53,biononis,2,1)</f>
        <v>181910118</v>
      </c>
      <c r="C53" s="519" t="str">
        <f>VLOOKUP(A53,biononis,3,1)</f>
        <v>ENCEP CANDRA</v>
      </c>
      <c r="D53" s="57" t="str">
        <f>B53&amp;"A"</f>
        <v>181910118A</v>
      </c>
      <c r="E53" s="287" t="s">
        <v>493</v>
      </c>
      <c r="F53" s="274" t="s">
        <v>494</v>
      </c>
      <c r="G53" s="577" t="str">
        <f>LEGER!AG56</f>
        <v>Tingkatkan Prestasi dan minta pengayaan !</v>
      </c>
      <c r="H53" s="560">
        <f>LEGER!AF56</f>
        <v>13</v>
      </c>
      <c r="I53" s="564" t="str">
        <f>LEGER!AH56</f>
        <v>Naik dengan Remedial</v>
      </c>
    </row>
    <row r="54" spans="1:9" ht="13.5" customHeight="1" x14ac:dyDescent="0.2">
      <c r="A54" s="567"/>
      <c r="B54" s="517"/>
      <c r="C54" s="519"/>
      <c r="D54" s="49" t="str">
        <f>B53&amp;"B"</f>
        <v>181910118B</v>
      </c>
      <c r="E54" s="282" t="s">
        <v>36</v>
      </c>
      <c r="F54" s="276" t="s">
        <v>36</v>
      </c>
      <c r="G54" s="576"/>
      <c r="H54" s="560"/>
      <c r="I54" s="564"/>
    </row>
    <row r="55" spans="1:9" ht="13.5" customHeight="1" x14ac:dyDescent="0.2">
      <c r="A55" s="567"/>
      <c r="B55" s="517"/>
      <c r="C55" s="519"/>
      <c r="D55" s="49" t="str">
        <f>B53&amp;"C"</f>
        <v>181910118C</v>
      </c>
      <c r="E55" s="282" t="s">
        <v>36</v>
      </c>
      <c r="F55" s="276" t="s">
        <v>36</v>
      </c>
      <c r="G55" s="576"/>
      <c r="H55" s="560"/>
      <c r="I55" s="564"/>
    </row>
    <row r="56" spans="1:9" ht="13.5" customHeight="1" x14ac:dyDescent="0.2">
      <c r="A56" s="571"/>
      <c r="B56" s="245"/>
      <c r="C56" s="246"/>
      <c r="D56" s="277" t="str">
        <f>B53&amp;"D"</f>
        <v>181910118D</v>
      </c>
      <c r="E56" s="288" t="s">
        <v>36</v>
      </c>
      <c r="F56" s="289" t="s">
        <v>36</v>
      </c>
      <c r="G56" s="578"/>
      <c r="H56" s="560"/>
      <c r="I56" s="564"/>
    </row>
    <row r="57" spans="1:9" ht="13.5" customHeight="1" x14ac:dyDescent="0.2">
      <c r="A57" s="567">
        <v>14</v>
      </c>
      <c r="B57" s="568" t="str">
        <f>VLOOKUP(A57,biononis,2,1)</f>
        <v>181910128</v>
      </c>
      <c r="C57" s="569" t="str">
        <f>VLOOKUP(A57,biononis,3,1)</f>
        <v>FAIZAL EGI</v>
      </c>
      <c r="D57" s="49" t="str">
        <f>B57&amp;"A"</f>
        <v>181910128A</v>
      </c>
      <c r="E57" s="280" t="s">
        <v>36</v>
      </c>
      <c r="F57" s="281" t="s">
        <v>36</v>
      </c>
      <c r="G57" s="577" t="str">
        <f>LEGER!AG60</f>
        <v>Belajarlah lebih rajin dan minta pengayaan !</v>
      </c>
      <c r="H57" s="560">
        <f>LEGER!AF60</f>
        <v>24</v>
      </c>
      <c r="I57" s="564" t="str">
        <f>LEGER!AH60</f>
        <v>Naik dengan Remedial</v>
      </c>
    </row>
    <row r="58" spans="1:9" ht="13.5" customHeight="1" x14ac:dyDescent="0.2">
      <c r="A58" s="567"/>
      <c r="B58" s="517"/>
      <c r="C58" s="519"/>
      <c r="D58" s="49" t="str">
        <f>B57&amp;"B"</f>
        <v>181910128B</v>
      </c>
      <c r="E58" s="282" t="s">
        <v>36</v>
      </c>
      <c r="F58" s="276" t="s">
        <v>36</v>
      </c>
      <c r="G58" s="576"/>
      <c r="H58" s="560"/>
      <c r="I58" s="564"/>
    </row>
    <row r="59" spans="1:9" ht="13.5" customHeight="1" x14ac:dyDescent="0.2">
      <c r="A59" s="567"/>
      <c r="B59" s="517"/>
      <c r="C59" s="519"/>
      <c r="D59" s="49" t="str">
        <f>B57&amp;"C"</f>
        <v>181910128C</v>
      </c>
      <c r="E59" s="282" t="s">
        <v>36</v>
      </c>
      <c r="F59" s="276" t="s">
        <v>36</v>
      </c>
      <c r="G59" s="576"/>
      <c r="H59" s="560"/>
      <c r="I59" s="564"/>
    </row>
    <row r="60" spans="1:9" ht="13.5" customHeight="1" x14ac:dyDescent="0.2">
      <c r="A60" s="567"/>
      <c r="B60" s="283"/>
      <c r="C60" s="284"/>
      <c r="D60" s="49" t="str">
        <f>B57&amp;"D"</f>
        <v>181910128D</v>
      </c>
      <c r="E60" s="285" t="s">
        <v>36</v>
      </c>
      <c r="F60" s="286" t="s">
        <v>36</v>
      </c>
      <c r="G60" s="578"/>
      <c r="H60" s="560"/>
      <c r="I60" s="564"/>
    </row>
    <row r="61" spans="1:9" ht="13.5" customHeight="1" x14ac:dyDescent="0.2">
      <c r="A61" s="570">
        <v>15</v>
      </c>
      <c r="B61" s="517" t="str">
        <f>VLOOKUP(A61,biononis,2,1)</f>
        <v>181910133</v>
      </c>
      <c r="C61" s="519" t="str">
        <f>VLOOKUP(A61,biononis,3,1)</f>
        <v>FAUZI DHALFADLIL AZHANI</v>
      </c>
      <c r="D61" s="57" t="str">
        <f>B61&amp;"A"</f>
        <v>181910133A</v>
      </c>
      <c r="E61" s="287" t="s">
        <v>36</v>
      </c>
      <c r="F61" s="274" t="s">
        <v>36</v>
      </c>
      <c r="G61" s="577" t="str">
        <f>LEGER!AG64</f>
        <v>Perlu berlatih untuk meningkatkan kompetensi dan remedial mapel yang belum tuntas !</v>
      </c>
      <c r="H61" s="560">
        <f>LEGER!AF64</f>
        <v>20</v>
      </c>
      <c r="I61" s="564" t="str">
        <f>LEGER!AH64</f>
        <v>Naik dengan Remedial</v>
      </c>
    </row>
    <row r="62" spans="1:9" ht="13.5" customHeight="1" x14ac:dyDescent="0.2">
      <c r="A62" s="567"/>
      <c r="B62" s="517"/>
      <c r="C62" s="519"/>
      <c r="D62" s="49" t="str">
        <f>B61&amp;"B"</f>
        <v>181910133B</v>
      </c>
      <c r="E62" s="282" t="s">
        <v>36</v>
      </c>
      <c r="F62" s="276" t="s">
        <v>36</v>
      </c>
      <c r="G62" s="576"/>
      <c r="H62" s="560"/>
      <c r="I62" s="564"/>
    </row>
    <row r="63" spans="1:9" ht="13.5" customHeight="1" x14ac:dyDescent="0.2">
      <c r="A63" s="567"/>
      <c r="B63" s="517"/>
      <c r="C63" s="519"/>
      <c r="D63" s="49" t="str">
        <f>B61&amp;"c"</f>
        <v>181910133c</v>
      </c>
      <c r="E63" s="282" t="s">
        <v>36</v>
      </c>
      <c r="F63" s="276" t="s">
        <v>36</v>
      </c>
      <c r="G63" s="576"/>
      <c r="H63" s="560"/>
      <c r="I63" s="564"/>
    </row>
    <row r="64" spans="1:9" ht="13.5" customHeight="1" x14ac:dyDescent="0.2">
      <c r="A64" s="571"/>
      <c r="B64" s="245"/>
      <c r="C64" s="257"/>
      <c r="D64" s="277" t="str">
        <f>B61&amp;"D"</f>
        <v>181910133D</v>
      </c>
      <c r="E64" s="288" t="s">
        <v>36</v>
      </c>
      <c r="F64" s="289" t="s">
        <v>36</v>
      </c>
      <c r="G64" s="578"/>
      <c r="H64" s="560"/>
      <c r="I64" s="564"/>
    </row>
    <row r="65" spans="1:9" ht="13.5" customHeight="1" x14ac:dyDescent="0.2">
      <c r="A65" s="567">
        <v>16</v>
      </c>
      <c r="B65" s="568" t="str">
        <f>VLOOKUP(A65,biononis,2,1)</f>
        <v>181910161</v>
      </c>
      <c r="C65" s="569" t="str">
        <f>VLOOKUP(A65,biononis,3,1)</f>
        <v>HILMAN PUTRA PAMUNGKAS</v>
      </c>
      <c r="D65" s="49" t="str">
        <f>B65&amp;"A"</f>
        <v>181910161A</v>
      </c>
      <c r="E65" s="280" t="s">
        <v>36</v>
      </c>
      <c r="F65" s="281" t="s">
        <v>36</v>
      </c>
      <c r="G65" s="577" t="str">
        <f>LEGER!AG68</f>
        <v>Belajarlah lebih rajin dan minta pengayaan !</v>
      </c>
      <c r="H65" s="560">
        <f>LEGER!AF68</f>
        <v>12</v>
      </c>
      <c r="I65" s="564" t="str">
        <f>LEGER!AH68</f>
        <v>Naik dengan Remedial</v>
      </c>
    </row>
    <row r="66" spans="1:9" ht="13.5" customHeight="1" x14ac:dyDescent="0.2">
      <c r="A66" s="567"/>
      <c r="B66" s="517"/>
      <c r="C66" s="519"/>
      <c r="D66" s="49" t="str">
        <f>B65&amp;"B"</f>
        <v>181910161B</v>
      </c>
      <c r="E66" s="282" t="s">
        <v>36</v>
      </c>
      <c r="F66" s="276" t="s">
        <v>36</v>
      </c>
      <c r="G66" s="576"/>
      <c r="H66" s="560"/>
      <c r="I66" s="564"/>
    </row>
    <row r="67" spans="1:9" ht="13.5" customHeight="1" x14ac:dyDescent="0.2">
      <c r="A67" s="567"/>
      <c r="B67" s="517"/>
      <c r="C67" s="519"/>
      <c r="D67" s="49" t="str">
        <f>B65&amp;"C"</f>
        <v>181910161C</v>
      </c>
      <c r="E67" s="282" t="s">
        <v>36</v>
      </c>
      <c r="F67" s="276" t="s">
        <v>36</v>
      </c>
      <c r="G67" s="576"/>
      <c r="H67" s="560"/>
      <c r="I67" s="564"/>
    </row>
    <row r="68" spans="1:9" ht="13.5" customHeight="1" x14ac:dyDescent="0.2">
      <c r="A68" s="567"/>
      <c r="B68" s="283"/>
      <c r="C68" s="284"/>
      <c r="D68" s="49" t="str">
        <f>B65&amp;"D"</f>
        <v>181910161D</v>
      </c>
      <c r="E68" s="285" t="s">
        <v>36</v>
      </c>
      <c r="F68" s="286" t="s">
        <v>36</v>
      </c>
      <c r="G68" s="578"/>
      <c r="H68" s="560"/>
      <c r="I68" s="564"/>
    </row>
    <row r="69" spans="1:9" ht="13.5" customHeight="1" x14ac:dyDescent="0.2">
      <c r="A69" s="570">
        <v>17</v>
      </c>
      <c r="B69" s="517" t="str">
        <f>VLOOKUP(A69,biononis,2,1)</f>
        <v>181910165</v>
      </c>
      <c r="C69" s="519" t="str">
        <f>VLOOKUP(A69,biononis,3,1)</f>
        <v>IHSYA FADILLAH MUSLIM</v>
      </c>
      <c r="D69" s="57" t="str">
        <f>B69&amp;"A"</f>
        <v>181910165A</v>
      </c>
      <c r="E69" s="287" t="s">
        <v>36</v>
      </c>
      <c r="F69" s="274" t="s">
        <v>36</v>
      </c>
      <c r="G69" s="577" t="str">
        <f>LEGER!AG72</f>
        <v>Belajarlah lebih rajin dan minta pengayaan !</v>
      </c>
      <c r="H69" s="560">
        <f>LEGER!AF72</f>
        <v>15</v>
      </c>
      <c r="I69" s="564" t="str">
        <f>LEGER!AH72</f>
        <v>Naik dengan Remedial</v>
      </c>
    </row>
    <row r="70" spans="1:9" ht="13.5" customHeight="1" x14ac:dyDescent="0.2">
      <c r="A70" s="567"/>
      <c r="B70" s="517"/>
      <c r="C70" s="519"/>
      <c r="D70" s="49" t="str">
        <f>B69&amp;"B"</f>
        <v>181910165B</v>
      </c>
      <c r="E70" s="282" t="s">
        <v>36</v>
      </c>
      <c r="F70" s="276" t="s">
        <v>36</v>
      </c>
      <c r="G70" s="576"/>
      <c r="H70" s="560"/>
      <c r="I70" s="564"/>
    </row>
    <row r="71" spans="1:9" ht="13.5" customHeight="1" x14ac:dyDescent="0.2">
      <c r="A71" s="567"/>
      <c r="B71" s="517"/>
      <c r="C71" s="519"/>
      <c r="D71" s="49" t="str">
        <f>B69&amp;"C"</f>
        <v>181910165C</v>
      </c>
      <c r="E71" s="282" t="s">
        <v>36</v>
      </c>
      <c r="F71" s="276" t="s">
        <v>36</v>
      </c>
      <c r="G71" s="576"/>
      <c r="H71" s="560"/>
      <c r="I71" s="564"/>
    </row>
    <row r="72" spans="1:9" ht="13.5" customHeight="1" x14ac:dyDescent="0.2">
      <c r="A72" s="571"/>
      <c r="B72" s="245"/>
      <c r="C72" s="246"/>
      <c r="D72" s="277" t="str">
        <f>B69&amp;"D"</f>
        <v>181910165D</v>
      </c>
      <c r="E72" s="288" t="s">
        <v>36</v>
      </c>
      <c r="F72" s="289" t="s">
        <v>492</v>
      </c>
      <c r="G72" s="578"/>
      <c r="H72" s="560"/>
      <c r="I72" s="564"/>
    </row>
    <row r="73" spans="1:9" ht="13.5" customHeight="1" x14ac:dyDescent="0.2">
      <c r="A73" s="567">
        <v>18</v>
      </c>
      <c r="B73" s="568" t="str">
        <f>VLOOKUP(A73,biononis,2,1)</f>
        <v>181910185</v>
      </c>
      <c r="C73" s="569" t="str">
        <f>VLOOKUP(A73,biononis,3,1)</f>
        <v>JIHAD AKBAR</v>
      </c>
      <c r="D73" s="49" t="str">
        <f>B73&amp;"A"</f>
        <v>181910185A</v>
      </c>
      <c r="E73" s="280" t="s">
        <v>36</v>
      </c>
      <c r="F73" s="281" t="s">
        <v>36</v>
      </c>
      <c r="G73" s="577" t="str">
        <f>LEGER!AG76</f>
        <v>Perlu berlatih untuk meningkatkan kompetensi dan remedial mapel yang belum tuntas !</v>
      </c>
      <c r="H73" s="560">
        <f>LEGER!AF76</f>
        <v>21</v>
      </c>
      <c r="I73" s="564" t="str">
        <f>LEGER!AH76</f>
        <v>Naik dengan Remedial</v>
      </c>
    </row>
    <row r="74" spans="1:9" ht="13.5" customHeight="1" x14ac:dyDescent="0.2">
      <c r="A74" s="567"/>
      <c r="B74" s="517"/>
      <c r="C74" s="519"/>
      <c r="D74" s="49" t="str">
        <f>B73&amp;"B"</f>
        <v>181910185B</v>
      </c>
      <c r="E74" s="282" t="s">
        <v>36</v>
      </c>
      <c r="F74" s="276" t="s">
        <v>36</v>
      </c>
      <c r="G74" s="576"/>
      <c r="H74" s="560"/>
      <c r="I74" s="564"/>
    </row>
    <row r="75" spans="1:9" ht="13.5" customHeight="1" x14ac:dyDescent="0.2">
      <c r="A75" s="567"/>
      <c r="B75" s="517"/>
      <c r="C75" s="519"/>
      <c r="D75" s="49" t="str">
        <f>B73&amp;"C"</f>
        <v>181910185C</v>
      </c>
      <c r="E75" s="282" t="s">
        <v>36</v>
      </c>
      <c r="F75" s="276" t="s">
        <v>36</v>
      </c>
      <c r="G75" s="576"/>
      <c r="H75" s="560"/>
      <c r="I75" s="564"/>
    </row>
    <row r="76" spans="1:9" ht="13.5" customHeight="1" x14ac:dyDescent="0.2">
      <c r="A76" s="567"/>
      <c r="B76" s="283"/>
      <c r="C76" s="284"/>
      <c r="D76" s="49" t="str">
        <f>B73&amp;"D"</f>
        <v>181910185D</v>
      </c>
      <c r="E76" s="285" t="s">
        <v>36</v>
      </c>
      <c r="F76" s="286" t="s">
        <v>36</v>
      </c>
      <c r="G76" s="578"/>
      <c r="H76" s="560"/>
      <c r="I76" s="564"/>
    </row>
    <row r="77" spans="1:9" ht="13.5" customHeight="1" x14ac:dyDescent="0.2">
      <c r="A77" s="570">
        <v>19</v>
      </c>
      <c r="B77" s="517" t="str">
        <f>VLOOKUP(A77,biononis,2,1)</f>
        <v>181910226</v>
      </c>
      <c r="C77" s="519" t="str">
        <f>VLOOKUP(A77,biononis,3,1)</f>
        <v>MUHAMAD IZZAZUL FIKRIAN</v>
      </c>
      <c r="D77" s="57" t="str">
        <f>B77&amp;"A"</f>
        <v>181910226A</v>
      </c>
      <c r="E77" s="287" t="s">
        <v>36</v>
      </c>
      <c r="F77" s="274" t="s">
        <v>36</v>
      </c>
      <c r="G77" s="577" t="str">
        <f>LEGER!AG80</f>
        <v>--</v>
      </c>
      <c r="H77" s="560" t="str">
        <f>LEGER!AF80</f>
        <v/>
      </c>
      <c r="I77" s="564" t="str">
        <f>LEGER!AH80</f>
        <v>--</v>
      </c>
    </row>
    <row r="78" spans="1:9" ht="13.5" customHeight="1" x14ac:dyDescent="0.2">
      <c r="A78" s="567"/>
      <c r="B78" s="517"/>
      <c r="C78" s="519"/>
      <c r="D78" s="49" t="str">
        <f>B77&amp;"B"</f>
        <v>181910226B</v>
      </c>
      <c r="E78" s="282" t="s">
        <v>36</v>
      </c>
      <c r="F78" s="276" t="s">
        <v>36</v>
      </c>
      <c r="G78" s="576"/>
      <c r="H78" s="560"/>
      <c r="I78" s="564"/>
    </row>
    <row r="79" spans="1:9" ht="13.5" customHeight="1" x14ac:dyDescent="0.2">
      <c r="A79" s="567"/>
      <c r="B79" s="517"/>
      <c r="C79" s="519"/>
      <c r="D79" s="49" t="str">
        <f>B77&amp;"C"</f>
        <v>181910226C</v>
      </c>
      <c r="E79" s="282" t="s">
        <v>36</v>
      </c>
      <c r="F79" s="276" t="s">
        <v>36</v>
      </c>
      <c r="G79" s="576"/>
      <c r="H79" s="560"/>
      <c r="I79" s="564"/>
    </row>
    <row r="80" spans="1:9" ht="13.5" customHeight="1" x14ac:dyDescent="0.2">
      <c r="A80" s="571"/>
      <c r="B80" s="245"/>
      <c r="C80" s="246"/>
      <c r="D80" s="277" t="str">
        <f>B77&amp;"D"</f>
        <v>181910226D</v>
      </c>
      <c r="E80" s="288" t="s">
        <v>36</v>
      </c>
      <c r="F80" s="289" t="s">
        <v>36</v>
      </c>
      <c r="G80" s="578"/>
      <c r="H80" s="560"/>
      <c r="I80" s="564"/>
    </row>
    <row r="81" spans="1:9" ht="13.5" customHeight="1" x14ac:dyDescent="0.2">
      <c r="A81" s="567">
        <v>20</v>
      </c>
      <c r="B81" s="568" t="str">
        <f>VLOOKUP(A81,biononis,2,1)</f>
        <v>181910433</v>
      </c>
      <c r="C81" s="569" t="str">
        <f>VLOOKUP(A81,biononis,3,1)</f>
        <v>MUHAMAD RIZAL</v>
      </c>
      <c r="D81" s="49" t="str">
        <f>B81&amp;"A"</f>
        <v>181910433A</v>
      </c>
      <c r="E81" s="280" t="s">
        <v>36</v>
      </c>
      <c r="F81" s="281" t="s">
        <v>36</v>
      </c>
      <c r="G81" s="577" t="str">
        <f>LEGER!AG84</f>
        <v>Perlu berlatih untuk meningkatkan kompetensi dan remedial mapel yang belum tuntas !</v>
      </c>
      <c r="H81" s="560">
        <f>LEGER!AF84</f>
        <v>29</v>
      </c>
      <c r="I81" s="564" t="str">
        <f>LEGER!AH84</f>
        <v>Naik dengan Remedial</v>
      </c>
    </row>
    <row r="82" spans="1:9" ht="13.5" customHeight="1" x14ac:dyDescent="0.2">
      <c r="A82" s="567"/>
      <c r="B82" s="517"/>
      <c r="C82" s="519"/>
      <c r="D82" s="49" t="str">
        <f>B81&amp;"B"</f>
        <v>181910433B</v>
      </c>
      <c r="E82" s="282" t="s">
        <v>36</v>
      </c>
      <c r="F82" s="276" t="s">
        <v>36</v>
      </c>
      <c r="G82" s="576"/>
      <c r="H82" s="560"/>
      <c r="I82" s="564"/>
    </row>
    <row r="83" spans="1:9" ht="13.5" customHeight="1" x14ac:dyDescent="0.2">
      <c r="A83" s="567"/>
      <c r="B83" s="517"/>
      <c r="C83" s="519"/>
      <c r="D83" s="49" t="str">
        <f>B81&amp;"C"</f>
        <v>181910433C</v>
      </c>
      <c r="E83" s="282" t="s">
        <v>36</v>
      </c>
      <c r="F83" s="276" t="s">
        <v>36</v>
      </c>
      <c r="G83" s="576"/>
      <c r="H83" s="560"/>
      <c r="I83" s="564"/>
    </row>
    <row r="84" spans="1:9" ht="13.5" customHeight="1" x14ac:dyDescent="0.2">
      <c r="A84" s="567"/>
      <c r="B84" s="283"/>
      <c r="C84" s="284"/>
      <c r="D84" s="49" t="str">
        <f>B81&amp;"D"</f>
        <v>181910433D</v>
      </c>
      <c r="E84" s="285" t="s">
        <v>36</v>
      </c>
      <c r="F84" s="286" t="s">
        <v>36</v>
      </c>
      <c r="G84" s="578"/>
      <c r="H84" s="560"/>
      <c r="I84" s="564"/>
    </row>
    <row r="85" spans="1:9" ht="13.5" customHeight="1" x14ac:dyDescent="0.2">
      <c r="A85" s="570">
        <v>21</v>
      </c>
      <c r="B85" s="517" t="str">
        <f>VLOOKUP(A85,biononis,2,1)</f>
        <v>181910240</v>
      </c>
      <c r="C85" s="519" t="str">
        <f>VLOOKUP(A85,biononis,3,1)</f>
        <v>NESHA RAUDHATUL ZANNAH</v>
      </c>
      <c r="D85" s="57" t="str">
        <f>B85&amp;"A"</f>
        <v>181910240A</v>
      </c>
      <c r="E85" s="287" t="s">
        <v>493</v>
      </c>
      <c r="F85" s="274" t="s">
        <v>494</v>
      </c>
      <c r="G85" s="577" t="str">
        <f>LEGER!AG88</f>
        <v>Tingkatkan Prestasi dan minta pengayaan !</v>
      </c>
      <c r="H85" s="560">
        <f>LEGER!AF88</f>
        <v>8</v>
      </c>
      <c r="I85" s="564" t="str">
        <f>LEGER!AH88</f>
        <v>Naik ke Kelas XI MIPA</v>
      </c>
    </row>
    <row r="86" spans="1:9" ht="13.5" customHeight="1" x14ac:dyDescent="0.2">
      <c r="A86" s="567"/>
      <c r="B86" s="517"/>
      <c r="C86" s="519"/>
      <c r="D86" s="49" t="str">
        <f>B85&amp;"B"</f>
        <v>181910240B</v>
      </c>
      <c r="E86" s="282" t="s">
        <v>36</v>
      </c>
      <c r="F86" s="276" t="s">
        <v>36</v>
      </c>
      <c r="G86" s="576"/>
      <c r="H86" s="560"/>
      <c r="I86" s="564"/>
    </row>
    <row r="87" spans="1:9" ht="13.5" customHeight="1" x14ac:dyDescent="0.2">
      <c r="A87" s="567"/>
      <c r="B87" s="517"/>
      <c r="C87" s="519"/>
      <c r="D87" s="49" t="str">
        <f>B85&amp;"C"</f>
        <v>181910240C</v>
      </c>
      <c r="E87" s="282" t="s">
        <v>36</v>
      </c>
      <c r="F87" s="276" t="s">
        <v>36</v>
      </c>
      <c r="G87" s="576"/>
      <c r="H87" s="560"/>
      <c r="I87" s="564"/>
    </row>
    <row r="88" spans="1:9" ht="13.5" customHeight="1" x14ac:dyDescent="0.2">
      <c r="A88" s="571"/>
      <c r="B88" s="245"/>
      <c r="C88" s="246"/>
      <c r="D88" s="277" t="str">
        <f>B85&amp;"D"</f>
        <v>181910240D</v>
      </c>
      <c r="E88" s="288" t="s">
        <v>36</v>
      </c>
      <c r="F88" s="289" t="s">
        <v>36</v>
      </c>
      <c r="G88" s="578"/>
      <c r="H88" s="560"/>
      <c r="I88" s="564"/>
    </row>
    <row r="89" spans="1:9" ht="13.5" customHeight="1" x14ac:dyDescent="0.2">
      <c r="A89" s="567">
        <v>22</v>
      </c>
      <c r="B89" s="568" t="str">
        <f>VLOOKUP(A89,biononis,2,1)</f>
        <v>181910262</v>
      </c>
      <c r="C89" s="569" t="str">
        <f>VLOOKUP(A89,biononis,3,1)</f>
        <v>PUTRI ANGGRAENI</v>
      </c>
      <c r="D89" s="49" t="str">
        <f>B89&amp;"A"</f>
        <v>181910262A</v>
      </c>
      <c r="E89" s="280" t="s">
        <v>36</v>
      </c>
      <c r="F89" s="281" t="s">
        <v>36</v>
      </c>
      <c r="G89" s="577" t="str">
        <f>LEGER!AG92</f>
        <v>Belajarlah lebih rajin dan minta pengayaan !</v>
      </c>
      <c r="H89" s="560">
        <f>LEGER!AF92</f>
        <v>9</v>
      </c>
      <c r="I89" s="564" t="str">
        <f>LEGER!AH92</f>
        <v>Naik ke Kelas XI MIPA</v>
      </c>
    </row>
    <row r="90" spans="1:9" ht="13.5" customHeight="1" x14ac:dyDescent="0.2">
      <c r="A90" s="567"/>
      <c r="B90" s="517"/>
      <c r="C90" s="519"/>
      <c r="D90" s="49" t="str">
        <f>B89&amp;"B"</f>
        <v>181910262B</v>
      </c>
      <c r="E90" s="282" t="s">
        <v>36</v>
      </c>
      <c r="F90" s="276" t="s">
        <v>36</v>
      </c>
      <c r="G90" s="576"/>
      <c r="H90" s="560"/>
      <c r="I90" s="564"/>
    </row>
    <row r="91" spans="1:9" ht="13.5" customHeight="1" x14ac:dyDescent="0.2">
      <c r="A91" s="567"/>
      <c r="B91" s="517"/>
      <c r="C91" s="519"/>
      <c r="D91" s="49" t="str">
        <f>B89&amp;"C"</f>
        <v>181910262C</v>
      </c>
      <c r="E91" s="282" t="s">
        <v>36</v>
      </c>
      <c r="F91" s="276" t="s">
        <v>36</v>
      </c>
      <c r="G91" s="576"/>
      <c r="H91" s="560"/>
      <c r="I91" s="564"/>
    </row>
    <row r="92" spans="1:9" ht="13.5" customHeight="1" x14ac:dyDescent="0.2">
      <c r="A92" s="567"/>
      <c r="B92" s="283"/>
      <c r="C92" s="284"/>
      <c r="D92" s="49" t="str">
        <f>B89&amp;"D"</f>
        <v>181910262D</v>
      </c>
      <c r="E92" s="285" t="s">
        <v>36</v>
      </c>
      <c r="F92" s="286" t="s">
        <v>36</v>
      </c>
      <c r="G92" s="578"/>
      <c r="H92" s="560"/>
      <c r="I92" s="564"/>
    </row>
    <row r="93" spans="1:9" ht="13.5" customHeight="1" x14ac:dyDescent="0.2">
      <c r="A93" s="570">
        <v>23</v>
      </c>
      <c r="B93" s="517" t="str">
        <f>VLOOKUP(A93,biononis,2,1)</f>
        <v>181910266</v>
      </c>
      <c r="C93" s="519" t="str">
        <f>VLOOKUP(A93,biononis,3,1)</f>
        <v>PUTRI WULANDARI</v>
      </c>
      <c r="D93" s="57" t="str">
        <f>B93&amp;"A"</f>
        <v>181910266A</v>
      </c>
      <c r="E93" s="287" t="s">
        <v>36</v>
      </c>
      <c r="F93" s="274" t="s">
        <v>36</v>
      </c>
      <c r="G93" s="577" t="str">
        <f>LEGER!AG96</f>
        <v>Tingkatkan Prestasi dan minta pengayaan !</v>
      </c>
      <c r="H93" s="560">
        <f>LEGER!AF96</f>
        <v>7</v>
      </c>
      <c r="I93" s="564" t="str">
        <f>LEGER!AH96</f>
        <v>Naik ke Kelas XI MIPA</v>
      </c>
    </row>
    <row r="94" spans="1:9" ht="13.5" customHeight="1" x14ac:dyDescent="0.2">
      <c r="A94" s="567"/>
      <c r="B94" s="517"/>
      <c r="C94" s="519"/>
      <c r="D94" s="49" t="str">
        <f>B93&amp;"B"</f>
        <v>181910266B</v>
      </c>
      <c r="E94" s="282" t="s">
        <v>36</v>
      </c>
      <c r="F94" s="276" t="s">
        <v>36</v>
      </c>
      <c r="G94" s="576"/>
      <c r="H94" s="560"/>
      <c r="I94" s="564"/>
    </row>
    <row r="95" spans="1:9" ht="13.5" customHeight="1" x14ac:dyDescent="0.2">
      <c r="A95" s="567"/>
      <c r="B95" s="517"/>
      <c r="C95" s="519"/>
      <c r="D95" s="49" t="str">
        <f>B93&amp;"C"</f>
        <v>181910266C</v>
      </c>
      <c r="E95" s="282" t="s">
        <v>36</v>
      </c>
      <c r="F95" s="276" t="s">
        <v>36</v>
      </c>
      <c r="G95" s="576"/>
      <c r="H95" s="560"/>
      <c r="I95" s="564"/>
    </row>
    <row r="96" spans="1:9" ht="13.5" customHeight="1" x14ac:dyDescent="0.2">
      <c r="A96" s="571"/>
      <c r="B96" s="245"/>
      <c r="C96" s="246"/>
      <c r="D96" s="277" t="str">
        <f>B93&amp;"D"</f>
        <v>181910266D</v>
      </c>
      <c r="E96" s="288" t="s">
        <v>36</v>
      </c>
      <c r="F96" s="289" t="s">
        <v>36</v>
      </c>
      <c r="G96" s="578"/>
      <c r="H96" s="560"/>
      <c r="I96" s="564"/>
    </row>
    <row r="97" spans="1:9" ht="13.5" customHeight="1" x14ac:dyDescent="0.2">
      <c r="A97" s="567">
        <v>24</v>
      </c>
      <c r="B97" s="568" t="str">
        <f>VLOOKUP(A97,biononis,2,1)</f>
        <v>181910272</v>
      </c>
      <c r="C97" s="569" t="str">
        <f>VLOOKUP(A97,biononis,3,1)</f>
        <v>RAFLY GYMNASTIAR</v>
      </c>
      <c r="D97" s="49" t="str">
        <f>B97&amp;"A"</f>
        <v>181910272A</v>
      </c>
      <c r="E97" s="280" t="s">
        <v>36</v>
      </c>
      <c r="F97" s="281" t="s">
        <v>36</v>
      </c>
      <c r="G97" s="577" t="str">
        <f>LEGER!AG100</f>
        <v>Perlu berlatih untuk meningkatkan kompetensi dan remedial mapel yang belum tuntas !</v>
      </c>
      <c r="H97" s="560">
        <f>LEGER!AF100</f>
        <v>31</v>
      </c>
      <c r="I97" s="564" t="str">
        <f>LEGER!AH100</f>
        <v>Naik dengan Remedial</v>
      </c>
    </row>
    <row r="98" spans="1:9" ht="13.5" customHeight="1" x14ac:dyDescent="0.2">
      <c r="A98" s="567"/>
      <c r="B98" s="517"/>
      <c r="C98" s="519"/>
      <c r="D98" s="49" t="str">
        <f>B97&amp;"B"</f>
        <v>181910272B</v>
      </c>
      <c r="E98" s="282" t="s">
        <v>36</v>
      </c>
      <c r="F98" s="276" t="s">
        <v>36</v>
      </c>
      <c r="G98" s="576"/>
      <c r="H98" s="560"/>
      <c r="I98" s="564"/>
    </row>
    <row r="99" spans="1:9" ht="13.5" customHeight="1" x14ac:dyDescent="0.2">
      <c r="A99" s="567"/>
      <c r="B99" s="517"/>
      <c r="C99" s="519"/>
      <c r="D99" s="49" t="str">
        <f>B97&amp;"C"</f>
        <v>181910272C</v>
      </c>
      <c r="E99" s="282" t="s">
        <v>36</v>
      </c>
      <c r="F99" s="276" t="s">
        <v>36</v>
      </c>
      <c r="G99" s="576"/>
      <c r="H99" s="560"/>
      <c r="I99" s="564"/>
    </row>
    <row r="100" spans="1:9" ht="13.5" customHeight="1" x14ac:dyDescent="0.2">
      <c r="A100" s="567"/>
      <c r="B100" s="283"/>
      <c r="C100" s="284"/>
      <c r="D100" s="49" t="str">
        <f>B97&amp;"D"</f>
        <v>181910272D</v>
      </c>
      <c r="E100" s="285" t="s">
        <v>36</v>
      </c>
      <c r="F100" s="286" t="s">
        <v>36</v>
      </c>
      <c r="G100" s="578"/>
      <c r="H100" s="560"/>
      <c r="I100" s="564"/>
    </row>
    <row r="101" spans="1:9" ht="13.5" customHeight="1" x14ac:dyDescent="0.2">
      <c r="A101" s="570">
        <v>25</v>
      </c>
      <c r="B101" s="517" t="str">
        <f>VLOOKUP(A101,biononis,2,1)</f>
        <v>181910280</v>
      </c>
      <c r="C101" s="519" t="str">
        <f>VLOOKUP(A101,biononis,3,1)</f>
        <v>REFIANA</v>
      </c>
      <c r="D101" s="57" t="str">
        <f>B101&amp;"A"</f>
        <v>181910280A</v>
      </c>
      <c r="E101" s="287" t="s">
        <v>36</v>
      </c>
      <c r="F101" s="274" t="s">
        <v>36</v>
      </c>
      <c r="G101" s="577" t="str">
        <f>LEGER!AG104</f>
        <v>Perlu berlatih untuk meningkatkan kompetensi dan remedial mapel yang belum tuntas !</v>
      </c>
      <c r="H101" s="560">
        <f>LEGER!AF104</f>
        <v>27</v>
      </c>
      <c r="I101" s="564" t="str">
        <f>LEGER!AH104</f>
        <v>Naik dengan Remedial</v>
      </c>
    </row>
    <row r="102" spans="1:9" ht="13.5" customHeight="1" x14ac:dyDescent="0.2">
      <c r="A102" s="567"/>
      <c r="B102" s="517"/>
      <c r="C102" s="519"/>
      <c r="D102" s="49" t="str">
        <f>B101&amp;"B"</f>
        <v>181910280B</v>
      </c>
      <c r="E102" s="282" t="s">
        <v>36</v>
      </c>
      <c r="F102" s="276" t="s">
        <v>36</v>
      </c>
      <c r="G102" s="576"/>
      <c r="H102" s="560"/>
      <c r="I102" s="564"/>
    </row>
    <row r="103" spans="1:9" ht="13.5" customHeight="1" x14ac:dyDescent="0.2">
      <c r="A103" s="567"/>
      <c r="B103" s="517"/>
      <c r="C103" s="519"/>
      <c r="D103" s="49" t="str">
        <f>B101&amp;"C"</f>
        <v>181910280C</v>
      </c>
      <c r="E103" s="282" t="s">
        <v>36</v>
      </c>
      <c r="F103" s="276" t="s">
        <v>36</v>
      </c>
      <c r="G103" s="576"/>
      <c r="H103" s="560"/>
      <c r="I103" s="564"/>
    </row>
    <row r="104" spans="1:9" ht="13.5" customHeight="1" x14ac:dyDescent="0.2">
      <c r="A104" s="571"/>
      <c r="B104" s="245"/>
      <c r="C104" s="246"/>
      <c r="D104" s="277" t="str">
        <f>B101&amp;"D"</f>
        <v>181910280D</v>
      </c>
      <c r="E104" s="288" t="s">
        <v>36</v>
      </c>
      <c r="F104" s="289" t="s">
        <v>36</v>
      </c>
      <c r="G104" s="578"/>
      <c r="H104" s="560"/>
      <c r="I104" s="564"/>
    </row>
    <row r="105" spans="1:9" ht="13.5" customHeight="1" x14ac:dyDescent="0.2">
      <c r="A105" s="567">
        <v>26</v>
      </c>
      <c r="B105" s="568" t="str">
        <f>VLOOKUP(A105,biononis,2,1)</f>
        <v>181910285</v>
      </c>
      <c r="C105" s="569" t="str">
        <f>VLOOKUP(A105,biononis,3,1)</f>
        <v>RENALDI PRIYATAMA</v>
      </c>
      <c r="D105" s="49" t="str">
        <f>B105&amp;"A"</f>
        <v>181910285A</v>
      </c>
      <c r="E105" s="280" t="s">
        <v>36</v>
      </c>
      <c r="F105" s="281" t="s">
        <v>36</v>
      </c>
      <c r="G105" s="577" t="str">
        <f>LEGER!AG108</f>
        <v>Perlu berlatih untuk meningkatkan kompetensi dan remedial mapel yang belum tuntas !</v>
      </c>
      <c r="H105" s="560">
        <f>LEGER!AF108</f>
        <v>28</v>
      </c>
      <c r="I105" s="564" t="str">
        <f>LEGER!AH108</f>
        <v>Naik dengan Remedial</v>
      </c>
    </row>
    <row r="106" spans="1:9" ht="13.5" customHeight="1" x14ac:dyDescent="0.2">
      <c r="A106" s="567"/>
      <c r="B106" s="517"/>
      <c r="C106" s="519"/>
      <c r="D106" s="49" t="str">
        <f>B105&amp;"B"</f>
        <v>181910285B</v>
      </c>
      <c r="E106" s="282" t="s">
        <v>36</v>
      </c>
      <c r="F106" s="276" t="s">
        <v>36</v>
      </c>
      <c r="G106" s="576"/>
      <c r="H106" s="560"/>
      <c r="I106" s="564"/>
    </row>
    <row r="107" spans="1:9" ht="13.5" customHeight="1" x14ac:dyDescent="0.2">
      <c r="A107" s="567"/>
      <c r="B107" s="517"/>
      <c r="C107" s="519"/>
      <c r="D107" s="49" t="str">
        <f>B105&amp;"C"</f>
        <v>181910285C</v>
      </c>
      <c r="E107" s="282" t="s">
        <v>36</v>
      </c>
      <c r="F107" s="276" t="s">
        <v>36</v>
      </c>
      <c r="G107" s="576"/>
      <c r="H107" s="560"/>
      <c r="I107" s="564"/>
    </row>
    <row r="108" spans="1:9" ht="13.5" customHeight="1" x14ac:dyDescent="0.2">
      <c r="A108" s="567"/>
      <c r="B108" s="283"/>
      <c r="C108" s="284"/>
      <c r="D108" s="49" t="str">
        <f>B105&amp;"D"</f>
        <v>181910285D</v>
      </c>
      <c r="E108" s="285" t="s">
        <v>36</v>
      </c>
      <c r="F108" s="286" t="s">
        <v>36</v>
      </c>
      <c r="G108" s="578"/>
      <c r="H108" s="560"/>
      <c r="I108" s="564"/>
    </row>
    <row r="109" spans="1:9" ht="13.5" customHeight="1" x14ac:dyDescent="0.2">
      <c r="A109" s="570">
        <v>27</v>
      </c>
      <c r="B109" s="517" t="str">
        <f>VLOOKUP(A109,biononis,2,1)</f>
        <v>181910286</v>
      </c>
      <c r="C109" s="519" t="str">
        <f>VLOOKUP(A109,biononis,3,1)</f>
        <v>RENATA</v>
      </c>
      <c r="D109" s="57" t="str">
        <f>B109&amp;"A"</f>
        <v>181910286A</v>
      </c>
      <c r="E109" s="287" t="s">
        <v>36</v>
      </c>
      <c r="F109" s="274" t="s">
        <v>36</v>
      </c>
      <c r="G109" s="577" t="str">
        <f>LEGER!AG112</f>
        <v>Tingkatkan Prestasi dan minta pengayaan !</v>
      </c>
      <c r="H109" s="560">
        <f>LEGER!AF112</f>
        <v>5</v>
      </c>
      <c r="I109" s="564" t="str">
        <f>LEGER!AH112</f>
        <v>Naik ke Kelas XI MIPA</v>
      </c>
    </row>
    <row r="110" spans="1:9" ht="13.5" customHeight="1" x14ac:dyDescent="0.2">
      <c r="A110" s="567"/>
      <c r="B110" s="517"/>
      <c r="C110" s="519"/>
      <c r="D110" s="49" t="str">
        <f>B109&amp;"B"</f>
        <v>181910286B</v>
      </c>
      <c r="E110" s="282" t="s">
        <v>36</v>
      </c>
      <c r="F110" s="276" t="s">
        <v>36</v>
      </c>
      <c r="G110" s="576"/>
      <c r="H110" s="560"/>
      <c r="I110" s="564"/>
    </row>
    <row r="111" spans="1:9" ht="13.5" customHeight="1" x14ac:dyDescent="0.2">
      <c r="A111" s="567"/>
      <c r="B111" s="517"/>
      <c r="C111" s="519"/>
      <c r="D111" s="49" t="str">
        <f>B109&amp;"C"</f>
        <v>181910286C</v>
      </c>
      <c r="E111" s="282" t="s">
        <v>36</v>
      </c>
      <c r="F111" s="276" t="s">
        <v>36</v>
      </c>
      <c r="G111" s="576"/>
      <c r="H111" s="560"/>
      <c r="I111" s="564"/>
    </row>
    <row r="112" spans="1:9" ht="13.5" customHeight="1" x14ac:dyDescent="0.2">
      <c r="A112" s="571"/>
      <c r="B112" s="245"/>
      <c r="C112" s="246"/>
      <c r="D112" s="277" t="str">
        <f>B109&amp;"D"</f>
        <v>181910286D</v>
      </c>
      <c r="E112" s="288" t="s">
        <v>36</v>
      </c>
      <c r="F112" s="289" t="s">
        <v>36</v>
      </c>
      <c r="G112" s="578"/>
      <c r="H112" s="560"/>
      <c r="I112" s="564"/>
    </row>
    <row r="113" spans="1:9" ht="13.5" customHeight="1" x14ac:dyDescent="0.2">
      <c r="A113" s="567">
        <v>28</v>
      </c>
      <c r="B113" s="568" t="str">
        <f>VLOOKUP(A113,biononis,2,1)</f>
        <v>181910293</v>
      </c>
      <c r="C113" s="569" t="str">
        <f>VLOOKUP(A113,biononis,3,1)</f>
        <v xml:space="preserve">REZA ERNANDA </v>
      </c>
      <c r="D113" s="49" t="str">
        <f>B113&amp;"A"</f>
        <v>181910293A</v>
      </c>
      <c r="E113" s="280" t="s">
        <v>36</v>
      </c>
      <c r="F113" s="281" t="s">
        <v>36</v>
      </c>
      <c r="G113" s="577" t="str">
        <f>LEGER!AG116</f>
        <v>Tingkatkan Prestasi dan minta pengayaan !</v>
      </c>
      <c r="H113" s="560">
        <f>LEGER!AF116</f>
        <v>4</v>
      </c>
      <c r="I113" s="564" t="str">
        <f>LEGER!AH116</f>
        <v>Naik ke Kelas XI MIPA</v>
      </c>
    </row>
    <row r="114" spans="1:9" ht="13.5" customHeight="1" x14ac:dyDescent="0.2">
      <c r="A114" s="567"/>
      <c r="B114" s="517"/>
      <c r="C114" s="519"/>
      <c r="D114" s="49" t="str">
        <f>B113&amp;"B"</f>
        <v>181910293B</v>
      </c>
      <c r="E114" s="282" t="s">
        <v>36</v>
      </c>
      <c r="F114" s="276" t="s">
        <v>36</v>
      </c>
      <c r="G114" s="576"/>
      <c r="H114" s="560"/>
      <c r="I114" s="564"/>
    </row>
    <row r="115" spans="1:9" ht="13.5" customHeight="1" x14ac:dyDescent="0.2">
      <c r="A115" s="567"/>
      <c r="B115" s="517"/>
      <c r="C115" s="519"/>
      <c r="D115" s="49" t="str">
        <f>B113&amp;"C"</f>
        <v>181910293C</v>
      </c>
      <c r="E115" s="282" t="s">
        <v>36</v>
      </c>
      <c r="F115" s="276" t="s">
        <v>36</v>
      </c>
      <c r="G115" s="576"/>
      <c r="H115" s="560"/>
      <c r="I115" s="564"/>
    </row>
    <row r="116" spans="1:9" ht="13.5" customHeight="1" x14ac:dyDescent="0.2">
      <c r="A116" s="567"/>
      <c r="B116" s="283"/>
      <c r="C116" s="284"/>
      <c r="D116" s="49" t="str">
        <f>B113&amp;"D"</f>
        <v>181910293D</v>
      </c>
      <c r="E116" s="285" t="s">
        <v>36</v>
      </c>
      <c r="F116" s="286" t="s">
        <v>36</v>
      </c>
      <c r="G116" s="578"/>
      <c r="H116" s="560"/>
      <c r="I116" s="564"/>
    </row>
    <row r="117" spans="1:9" ht="13.5" customHeight="1" x14ac:dyDescent="0.2">
      <c r="A117" s="570">
        <v>29</v>
      </c>
      <c r="B117" s="517" t="str">
        <f>VLOOKUP(A117,biononis,2,1)</f>
        <v>181910300</v>
      </c>
      <c r="C117" s="519" t="str">
        <f>VLOOKUP(A117,biononis,3,1)</f>
        <v>RIFAN MUHAMAD RIZKI</v>
      </c>
      <c r="D117" s="57" t="str">
        <f>B117&amp;"A"</f>
        <v>181910300A</v>
      </c>
      <c r="E117" s="287" t="s">
        <v>36</v>
      </c>
      <c r="F117" s="274" t="s">
        <v>36</v>
      </c>
      <c r="G117" s="577" t="str">
        <f>LEGER!AG120</f>
        <v>--</v>
      </c>
      <c r="H117" s="560" t="str">
        <f>LEGER!AF120</f>
        <v/>
      </c>
      <c r="I117" s="564" t="str">
        <f>LEGER!AH120</f>
        <v>--</v>
      </c>
    </row>
    <row r="118" spans="1:9" ht="13.5" customHeight="1" x14ac:dyDescent="0.2">
      <c r="A118" s="567"/>
      <c r="B118" s="517"/>
      <c r="C118" s="519"/>
      <c r="D118" s="49" t="str">
        <f>B117&amp;"B"</f>
        <v>181910300B</v>
      </c>
      <c r="E118" s="282" t="s">
        <v>36</v>
      </c>
      <c r="F118" s="276" t="s">
        <v>36</v>
      </c>
      <c r="G118" s="576"/>
      <c r="H118" s="560"/>
      <c r="I118" s="564"/>
    </row>
    <row r="119" spans="1:9" ht="13.5" customHeight="1" x14ac:dyDescent="0.2">
      <c r="A119" s="567"/>
      <c r="B119" s="517"/>
      <c r="C119" s="519"/>
      <c r="D119" s="49" t="str">
        <f>B117&amp;"C"</f>
        <v>181910300C</v>
      </c>
      <c r="E119" s="282" t="s">
        <v>36</v>
      </c>
      <c r="F119" s="276" t="s">
        <v>36</v>
      </c>
      <c r="G119" s="576"/>
      <c r="H119" s="560"/>
      <c r="I119" s="564"/>
    </row>
    <row r="120" spans="1:9" ht="13.5" customHeight="1" x14ac:dyDescent="0.2">
      <c r="A120" s="571"/>
      <c r="B120" s="245"/>
      <c r="C120" s="246"/>
      <c r="D120" s="277" t="str">
        <f>B117&amp;"D"</f>
        <v>181910300D</v>
      </c>
      <c r="E120" s="288" t="s">
        <v>36</v>
      </c>
      <c r="F120" s="289" t="s">
        <v>36</v>
      </c>
      <c r="G120" s="578"/>
      <c r="H120" s="560"/>
      <c r="I120" s="564"/>
    </row>
    <row r="121" spans="1:9" ht="13.5" customHeight="1" x14ac:dyDescent="0.2">
      <c r="A121" s="567">
        <v>30</v>
      </c>
      <c r="B121" s="568" t="str">
        <f>VLOOKUP(A121,biononis,2,1)</f>
        <v>181910318</v>
      </c>
      <c r="C121" s="569" t="str">
        <f>VLOOKUP(A121,biononis,3,1)</f>
        <v>RISMA SURYANI</v>
      </c>
      <c r="D121" s="49" t="str">
        <f>B121&amp;"A"</f>
        <v>181910318A</v>
      </c>
      <c r="E121" s="280" t="s">
        <v>36</v>
      </c>
      <c r="F121" s="281" t="s">
        <v>36</v>
      </c>
      <c r="G121" s="577" t="str">
        <f>LEGER!AG124</f>
        <v>Tingkatkan Prestasi dan minta pengayaan !</v>
      </c>
      <c r="H121" s="560">
        <f>LEGER!AF124</f>
        <v>6</v>
      </c>
      <c r="I121" s="564" t="str">
        <f>LEGER!AH124</f>
        <v>Naik ke Kelas XI MIPA</v>
      </c>
    </row>
    <row r="122" spans="1:9" ht="13.5" customHeight="1" x14ac:dyDescent="0.2">
      <c r="A122" s="567"/>
      <c r="B122" s="517"/>
      <c r="C122" s="519"/>
      <c r="D122" s="49" t="str">
        <f>B121&amp;"B"</f>
        <v>181910318B</v>
      </c>
      <c r="E122" s="282" t="s">
        <v>36</v>
      </c>
      <c r="F122" s="276" t="s">
        <v>36</v>
      </c>
      <c r="G122" s="576"/>
      <c r="H122" s="560"/>
      <c r="I122" s="564"/>
    </row>
    <row r="123" spans="1:9" ht="13.5" customHeight="1" x14ac:dyDescent="0.2">
      <c r="A123" s="567"/>
      <c r="B123" s="517"/>
      <c r="C123" s="519"/>
      <c r="D123" s="49" t="str">
        <f>B121&amp;"C"</f>
        <v>181910318C</v>
      </c>
      <c r="E123" s="282" t="s">
        <v>36</v>
      </c>
      <c r="F123" s="276" t="s">
        <v>36</v>
      </c>
      <c r="G123" s="576"/>
      <c r="H123" s="560"/>
      <c r="I123" s="564"/>
    </row>
    <row r="124" spans="1:9" ht="13.5" customHeight="1" x14ac:dyDescent="0.2">
      <c r="A124" s="567"/>
      <c r="B124" s="283"/>
      <c r="C124" s="284"/>
      <c r="D124" s="49" t="str">
        <f>B121&amp;"D"</f>
        <v>181910318D</v>
      </c>
      <c r="E124" s="285" t="s">
        <v>36</v>
      </c>
      <c r="F124" s="286" t="s">
        <v>36</v>
      </c>
      <c r="G124" s="578"/>
      <c r="H124" s="560"/>
      <c r="I124" s="564"/>
    </row>
    <row r="125" spans="1:9" ht="13.5" customHeight="1" x14ac:dyDescent="0.2">
      <c r="A125" s="570">
        <v>31</v>
      </c>
      <c r="B125" s="517" t="str">
        <f>VLOOKUP(A125,biononis,2,1)</f>
        <v>181910320</v>
      </c>
      <c r="C125" s="519" t="str">
        <f>VLOOKUP(A125,biononis,3,1)</f>
        <v>RISNA TIRANI</v>
      </c>
      <c r="D125" s="57" t="str">
        <f>B125&amp;"A"</f>
        <v>181910320A</v>
      </c>
      <c r="E125" s="287" t="s">
        <v>36</v>
      </c>
      <c r="F125" s="274" t="s">
        <v>36</v>
      </c>
      <c r="G125" s="577" t="str">
        <f>LEGER!AG128</f>
        <v>Pertahankan Prestasimu  !</v>
      </c>
      <c r="H125" s="560">
        <f>LEGER!AF128</f>
        <v>1</v>
      </c>
      <c r="I125" s="564" t="str">
        <f>LEGER!AH128</f>
        <v>Naik ke Kelas XI MIPA</v>
      </c>
    </row>
    <row r="126" spans="1:9" ht="13.5" customHeight="1" x14ac:dyDescent="0.2">
      <c r="A126" s="567"/>
      <c r="B126" s="517"/>
      <c r="C126" s="519"/>
      <c r="D126" s="49" t="str">
        <f>B125&amp;"B"</f>
        <v>181910320B</v>
      </c>
      <c r="E126" s="282" t="s">
        <v>36</v>
      </c>
      <c r="F126" s="276" t="s">
        <v>36</v>
      </c>
      <c r="G126" s="576"/>
      <c r="H126" s="560"/>
      <c r="I126" s="564"/>
    </row>
    <row r="127" spans="1:9" ht="13.5" customHeight="1" x14ac:dyDescent="0.2">
      <c r="A127" s="567"/>
      <c r="B127" s="517"/>
      <c r="C127" s="519"/>
      <c r="D127" s="49" t="str">
        <f>B125&amp;"C"</f>
        <v>181910320C</v>
      </c>
      <c r="E127" s="282" t="s">
        <v>36</v>
      </c>
      <c r="F127" s="276" t="s">
        <v>36</v>
      </c>
      <c r="G127" s="576"/>
      <c r="H127" s="560"/>
      <c r="I127" s="564"/>
    </row>
    <row r="128" spans="1:9" ht="13.5" customHeight="1" x14ac:dyDescent="0.2">
      <c r="A128" s="571"/>
      <c r="B128" s="245"/>
      <c r="C128" s="246"/>
      <c r="D128" s="277" t="str">
        <f>B125&amp;"D"</f>
        <v>181910320D</v>
      </c>
      <c r="E128" s="288" t="s">
        <v>36</v>
      </c>
      <c r="F128" s="289" t="s">
        <v>36</v>
      </c>
      <c r="G128" s="578"/>
      <c r="H128" s="560"/>
      <c r="I128" s="564"/>
    </row>
    <row r="129" spans="1:9" ht="13.5" customHeight="1" x14ac:dyDescent="0.2">
      <c r="A129" s="567">
        <v>32</v>
      </c>
      <c r="B129" s="568" t="str">
        <f>VLOOKUP(A129,biononis,2,1)</f>
        <v>181910331</v>
      </c>
      <c r="C129" s="569" t="str">
        <f>VLOOKUP(A129,biononis,3,1)</f>
        <v>RULLY PRATAMA S.</v>
      </c>
      <c r="D129" s="49" t="str">
        <f>B129&amp;"A"</f>
        <v>181910331A</v>
      </c>
      <c r="E129" s="280" t="s">
        <v>36</v>
      </c>
      <c r="F129" s="281" t="s">
        <v>36</v>
      </c>
      <c r="G129" s="577" t="str">
        <f>LEGER!AG132</f>
        <v>Perlu berlatih untuk meningkatkan kompetensi dan remedial mapel yang belum tuntas !</v>
      </c>
      <c r="H129" s="560">
        <f>LEGER!AF132</f>
        <v>16</v>
      </c>
      <c r="I129" s="564" t="str">
        <f>LEGER!AH132</f>
        <v>Naik dengan Remedial</v>
      </c>
    </row>
    <row r="130" spans="1:9" ht="13.5" customHeight="1" x14ac:dyDescent="0.2">
      <c r="A130" s="567"/>
      <c r="B130" s="517"/>
      <c r="C130" s="519"/>
      <c r="D130" s="49" t="str">
        <f>B129&amp;"B"</f>
        <v>181910331B</v>
      </c>
      <c r="E130" s="282" t="s">
        <v>36</v>
      </c>
      <c r="F130" s="276" t="s">
        <v>36</v>
      </c>
      <c r="G130" s="576"/>
      <c r="H130" s="560"/>
      <c r="I130" s="564"/>
    </row>
    <row r="131" spans="1:9" ht="13.5" customHeight="1" x14ac:dyDescent="0.2">
      <c r="A131" s="567"/>
      <c r="B131" s="517"/>
      <c r="C131" s="519"/>
      <c r="D131" s="49" t="str">
        <f>B129&amp;"C"</f>
        <v>181910331C</v>
      </c>
      <c r="E131" s="282" t="s">
        <v>36</v>
      </c>
      <c r="F131" s="276" t="s">
        <v>36</v>
      </c>
      <c r="G131" s="576"/>
      <c r="H131" s="560"/>
      <c r="I131" s="564"/>
    </row>
    <row r="132" spans="1:9" ht="13.5" customHeight="1" x14ac:dyDescent="0.2">
      <c r="A132" s="567"/>
      <c r="B132" s="283"/>
      <c r="C132" s="284"/>
      <c r="D132" s="49" t="str">
        <f>B129&amp;"D"</f>
        <v>181910331D</v>
      </c>
      <c r="E132" s="285" t="s">
        <v>36</v>
      </c>
      <c r="F132" s="286" t="s">
        <v>36</v>
      </c>
      <c r="G132" s="578"/>
      <c r="H132" s="560"/>
      <c r="I132" s="564"/>
    </row>
    <row r="133" spans="1:9" ht="13.5" customHeight="1" x14ac:dyDescent="0.2">
      <c r="A133" s="570">
        <v>33</v>
      </c>
      <c r="B133" s="517" t="str">
        <f>VLOOKUP(A133,biononis,2,1)</f>
        <v>181910335</v>
      </c>
      <c r="C133" s="519" t="str">
        <f>VLOOKUP(A133,biononis,3,1)</f>
        <v>SALSA ASYKIYA</v>
      </c>
      <c r="D133" s="57" t="str">
        <f>B133&amp;"A"</f>
        <v>181910335A</v>
      </c>
      <c r="E133" s="287" t="s">
        <v>495</v>
      </c>
      <c r="F133" s="274" t="s">
        <v>496</v>
      </c>
      <c r="G133" s="577" t="str">
        <f>LEGER!AG136</f>
        <v>Tingkatkan Prestasi dan minta pengayaan !</v>
      </c>
      <c r="H133" s="560">
        <f>LEGER!AF136</f>
        <v>2</v>
      </c>
      <c r="I133" s="564" t="str">
        <f>LEGER!AH136</f>
        <v>Naik ke Kelas XI MIPA</v>
      </c>
    </row>
    <row r="134" spans="1:9" ht="13.5" customHeight="1" x14ac:dyDescent="0.2">
      <c r="A134" s="567"/>
      <c r="B134" s="517"/>
      <c r="C134" s="519"/>
      <c r="D134" s="49" t="str">
        <f>B133&amp;"B"</f>
        <v>181910335B</v>
      </c>
      <c r="E134" s="282" t="s">
        <v>36</v>
      </c>
      <c r="F134" s="276" t="s">
        <v>36</v>
      </c>
      <c r="G134" s="576"/>
      <c r="H134" s="560"/>
      <c r="I134" s="564"/>
    </row>
    <row r="135" spans="1:9" ht="13.5" customHeight="1" x14ac:dyDescent="0.2">
      <c r="A135" s="567"/>
      <c r="B135" s="517"/>
      <c r="C135" s="519"/>
      <c r="D135" s="49" t="str">
        <f>B133&amp;"C"</f>
        <v>181910335C</v>
      </c>
      <c r="E135" s="282" t="s">
        <v>36</v>
      </c>
      <c r="F135" s="276" t="s">
        <v>36</v>
      </c>
      <c r="G135" s="576"/>
      <c r="H135" s="560"/>
      <c r="I135" s="564"/>
    </row>
    <row r="136" spans="1:9" ht="13.5" customHeight="1" x14ac:dyDescent="0.2">
      <c r="A136" s="571"/>
      <c r="B136" s="245"/>
      <c r="C136" s="246"/>
      <c r="D136" s="277" t="str">
        <f>B133&amp;"D"</f>
        <v>181910335D</v>
      </c>
      <c r="E136" s="288" t="s">
        <v>36</v>
      </c>
      <c r="F136" s="289" t="s">
        <v>36</v>
      </c>
      <c r="G136" s="578"/>
      <c r="H136" s="560"/>
      <c r="I136" s="564"/>
    </row>
    <row r="137" spans="1:9" ht="13.5" customHeight="1" x14ac:dyDescent="0.2">
      <c r="A137" s="567">
        <v>34</v>
      </c>
      <c r="B137" s="568" t="str">
        <f>VLOOKUP(A137,biononis,2,1)</f>
        <v>181910353</v>
      </c>
      <c r="C137" s="569" t="str">
        <f>VLOOKUP(A137,biononis,3,1)</f>
        <v>SILFI HAMIDAH</v>
      </c>
      <c r="D137" s="49" t="str">
        <f>B137&amp;"A"</f>
        <v>181910353A</v>
      </c>
      <c r="E137" s="280" t="s">
        <v>36</v>
      </c>
      <c r="F137" s="281" t="s">
        <v>36</v>
      </c>
      <c r="G137" s="577" t="str">
        <f>LEGER!AG140</f>
        <v>Tingkatkan Prestasi dan minta pengayaan !</v>
      </c>
      <c r="H137" s="560">
        <f>LEGER!AF140</f>
        <v>3</v>
      </c>
      <c r="I137" s="564" t="str">
        <f>LEGER!AH140</f>
        <v>Naik ke Kelas XI MIPA</v>
      </c>
    </row>
    <row r="138" spans="1:9" ht="13.5" customHeight="1" x14ac:dyDescent="0.2">
      <c r="A138" s="567"/>
      <c r="B138" s="517"/>
      <c r="C138" s="519"/>
      <c r="D138" s="49" t="str">
        <f>B137&amp;"B"</f>
        <v>181910353B</v>
      </c>
      <c r="E138" s="282" t="s">
        <v>36</v>
      </c>
      <c r="F138" s="276" t="s">
        <v>36</v>
      </c>
      <c r="G138" s="576"/>
      <c r="H138" s="560"/>
      <c r="I138" s="564"/>
    </row>
    <row r="139" spans="1:9" ht="13.5" customHeight="1" x14ac:dyDescent="0.2">
      <c r="A139" s="567"/>
      <c r="B139" s="517"/>
      <c r="C139" s="519"/>
      <c r="D139" s="49" t="str">
        <f>B137&amp;"C"</f>
        <v>181910353C</v>
      </c>
      <c r="E139" s="282" t="s">
        <v>36</v>
      </c>
      <c r="F139" s="276" t="s">
        <v>36</v>
      </c>
      <c r="G139" s="576"/>
      <c r="H139" s="560"/>
      <c r="I139" s="564"/>
    </row>
    <row r="140" spans="1:9" ht="13.5" customHeight="1" x14ac:dyDescent="0.2">
      <c r="A140" s="567"/>
      <c r="B140" s="283"/>
      <c r="C140" s="284"/>
      <c r="D140" s="49" t="str">
        <f>B137&amp;"D"</f>
        <v>181910353D</v>
      </c>
      <c r="E140" s="285" t="s">
        <v>36</v>
      </c>
      <c r="F140" s="286" t="s">
        <v>36</v>
      </c>
      <c r="G140" s="578"/>
      <c r="H140" s="560"/>
      <c r="I140" s="564"/>
    </row>
    <row r="141" spans="1:9" ht="13.5" customHeight="1" x14ac:dyDescent="0.2">
      <c r="A141" s="570">
        <v>35</v>
      </c>
      <c r="B141" s="517" t="str">
        <f>VLOOKUP(A141,biononis,2,1)</f>
        <v>181910408</v>
      </c>
      <c r="C141" s="519" t="str">
        <f>VLOOKUP(A141,biononis,3,1)</f>
        <v>YESHA RAHAYU</v>
      </c>
      <c r="D141" s="57" t="str">
        <f>B141&amp;"A"</f>
        <v>181910408A</v>
      </c>
      <c r="E141" s="287" t="s">
        <v>36</v>
      </c>
      <c r="F141" s="274" t="s">
        <v>36</v>
      </c>
      <c r="G141" s="577" t="str">
        <f>LEGER!AG144</f>
        <v>--</v>
      </c>
      <c r="H141" s="560">
        <f>LEGER!AF144</f>
        <v>32</v>
      </c>
      <c r="I141" s="564" t="str">
        <f>LEGER!AH144</f>
        <v>--</v>
      </c>
    </row>
    <row r="142" spans="1:9" ht="13.5" customHeight="1" x14ac:dyDescent="0.2">
      <c r="A142" s="567"/>
      <c r="B142" s="517"/>
      <c r="C142" s="519"/>
      <c r="D142" s="49" t="str">
        <f>B141&amp;"B"</f>
        <v>181910408B</v>
      </c>
      <c r="E142" s="282" t="s">
        <v>36</v>
      </c>
      <c r="F142" s="276" t="s">
        <v>36</v>
      </c>
      <c r="G142" s="576"/>
      <c r="H142" s="560"/>
      <c r="I142" s="564"/>
    </row>
    <row r="143" spans="1:9" ht="13.5" customHeight="1" x14ac:dyDescent="0.2">
      <c r="A143" s="567"/>
      <c r="B143" s="517"/>
      <c r="C143" s="519"/>
      <c r="D143" s="49" t="str">
        <f>B141&amp;"C"</f>
        <v>181910408C</v>
      </c>
      <c r="E143" s="282" t="s">
        <v>36</v>
      </c>
      <c r="F143" s="276" t="s">
        <v>36</v>
      </c>
      <c r="G143" s="576"/>
      <c r="H143" s="560"/>
      <c r="I143" s="564"/>
    </row>
    <row r="144" spans="1:9" ht="13.5" customHeight="1" x14ac:dyDescent="0.2">
      <c r="A144" s="571"/>
      <c r="B144" s="245"/>
      <c r="C144" s="246"/>
      <c r="D144" s="277" t="str">
        <f>B141&amp;"D"</f>
        <v>181910408D</v>
      </c>
      <c r="E144" s="288" t="s">
        <v>36</v>
      </c>
      <c r="F144" s="289" t="s">
        <v>36</v>
      </c>
      <c r="G144" s="578"/>
      <c r="H144" s="560"/>
      <c r="I144" s="564"/>
    </row>
    <row r="145" spans="1:9" ht="13.5" customHeight="1" x14ac:dyDescent="0.2">
      <c r="A145" s="567">
        <v>36</v>
      </c>
      <c r="B145" s="568" t="str">
        <f>VLOOKUP(A145,biononis,2,1)</f>
        <v>036</v>
      </c>
      <c r="C145" s="569" t="str">
        <f>VLOOKUP(A145,biononis,3,1)</f>
        <v>A36</v>
      </c>
      <c r="D145" s="49" t="str">
        <f>B145&amp;"A"</f>
        <v>036A</v>
      </c>
      <c r="E145" s="280" t="s">
        <v>36</v>
      </c>
      <c r="F145" s="281" t="s">
        <v>36</v>
      </c>
      <c r="G145" s="577" t="str">
        <f>LEGER!AG148</f>
        <v>--</v>
      </c>
      <c r="H145" s="560" t="str">
        <f>LEGER!AF148</f>
        <v/>
      </c>
      <c r="I145" s="564" t="str">
        <f>LEGER!AH148</f>
        <v>--</v>
      </c>
    </row>
    <row r="146" spans="1:9" ht="13.5" customHeight="1" x14ac:dyDescent="0.2">
      <c r="A146" s="567"/>
      <c r="B146" s="517"/>
      <c r="C146" s="519"/>
      <c r="D146" s="49" t="str">
        <f>B145&amp;"B"</f>
        <v>036B</v>
      </c>
      <c r="E146" s="282" t="s">
        <v>36</v>
      </c>
      <c r="F146" s="276" t="s">
        <v>36</v>
      </c>
      <c r="G146" s="576"/>
      <c r="H146" s="560"/>
      <c r="I146" s="564"/>
    </row>
    <row r="147" spans="1:9" ht="13.5" customHeight="1" x14ac:dyDescent="0.2">
      <c r="A147" s="567"/>
      <c r="B147" s="517"/>
      <c r="C147" s="519"/>
      <c r="D147" s="49" t="str">
        <f>B145&amp;"C"</f>
        <v>036C</v>
      </c>
      <c r="E147" s="282" t="s">
        <v>36</v>
      </c>
      <c r="F147" s="276" t="s">
        <v>36</v>
      </c>
      <c r="G147" s="576"/>
      <c r="H147" s="560"/>
      <c r="I147" s="564"/>
    </row>
    <row r="148" spans="1:9" ht="13.5" customHeight="1" x14ac:dyDescent="0.2">
      <c r="A148" s="567"/>
      <c r="B148" s="283"/>
      <c r="C148" s="284"/>
      <c r="D148" s="49" t="str">
        <f>B145&amp;"D"</f>
        <v>036D</v>
      </c>
      <c r="E148" s="285" t="s">
        <v>36</v>
      </c>
      <c r="F148" s="286" t="s">
        <v>36</v>
      </c>
      <c r="G148" s="578"/>
      <c r="H148" s="560"/>
      <c r="I148" s="564"/>
    </row>
    <row r="149" spans="1:9" ht="13.5" customHeight="1" x14ac:dyDescent="0.2">
      <c r="A149" s="570">
        <v>37</v>
      </c>
      <c r="B149" s="517" t="str">
        <f>VLOOKUP(A149,biononis,2,1)</f>
        <v>037</v>
      </c>
      <c r="C149" s="519" t="str">
        <f>VLOOKUP(A149,biononis,3,1)</f>
        <v>A37</v>
      </c>
      <c r="D149" s="57" t="str">
        <f>B149&amp;"A"</f>
        <v>037A</v>
      </c>
      <c r="E149" s="287" t="s">
        <v>36</v>
      </c>
      <c r="F149" s="274" t="s">
        <v>36</v>
      </c>
      <c r="G149" s="577" t="str">
        <f>LEGER!AG152</f>
        <v>--</v>
      </c>
      <c r="H149" s="560" t="str">
        <f>LEGER!AF152</f>
        <v/>
      </c>
      <c r="I149" s="564" t="str">
        <f>LEGER!AH152</f>
        <v>--</v>
      </c>
    </row>
    <row r="150" spans="1:9" ht="13.5" customHeight="1" x14ac:dyDescent="0.2">
      <c r="A150" s="567"/>
      <c r="B150" s="517"/>
      <c r="C150" s="519"/>
      <c r="D150" s="49" t="str">
        <f>B149&amp;"B"</f>
        <v>037B</v>
      </c>
      <c r="E150" s="282" t="s">
        <v>36</v>
      </c>
      <c r="F150" s="276" t="s">
        <v>36</v>
      </c>
      <c r="G150" s="576"/>
      <c r="H150" s="560"/>
      <c r="I150" s="564"/>
    </row>
    <row r="151" spans="1:9" ht="13.5" customHeight="1" x14ac:dyDescent="0.2">
      <c r="A151" s="567"/>
      <c r="B151" s="517"/>
      <c r="C151" s="519"/>
      <c r="D151" s="49" t="str">
        <f>B149&amp;"C"</f>
        <v>037C</v>
      </c>
      <c r="E151" s="282" t="s">
        <v>36</v>
      </c>
      <c r="F151" s="276" t="s">
        <v>36</v>
      </c>
      <c r="G151" s="576"/>
      <c r="H151" s="560"/>
      <c r="I151" s="564"/>
    </row>
    <row r="152" spans="1:9" ht="13.5" customHeight="1" x14ac:dyDescent="0.2">
      <c r="A152" s="571"/>
      <c r="B152" s="245"/>
      <c r="C152" s="246"/>
      <c r="D152" s="277" t="str">
        <f>B149&amp;"D"</f>
        <v>037D</v>
      </c>
      <c r="E152" s="288" t="s">
        <v>36</v>
      </c>
      <c r="F152" s="289" t="s">
        <v>36</v>
      </c>
      <c r="G152" s="578"/>
      <c r="H152" s="560"/>
      <c r="I152" s="564"/>
    </row>
    <row r="153" spans="1:9" ht="13.5" customHeight="1" x14ac:dyDescent="0.2">
      <c r="A153" s="567">
        <v>38</v>
      </c>
      <c r="B153" s="568" t="str">
        <f>VLOOKUP(A153,biononis,2,1)</f>
        <v>038</v>
      </c>
      <c r="C153" s="569" t="str">
        <f>VLOOKUP(A153,biononis,3,1)</f>
        <v>A38</v>
      </c>
      <c r="D153" s="49" t="str">
        <f>B153&amp;"A"</f>
        <v>038A</v>
      </c>
      <c r="E153" s="280" t="s">
        <v>36</v>
      </c>
      <c r="F153" s="281" t="s">
        <v>36</v>
      </c>
      <c r="G153" s="577" t="str">
        <f>LEGER!AG156</f>
        <v>--</v>
      </c>
      <c r="H153" s="560" t="str">
        <f>LEGER!AF156</f>
        <v/>
      </c>
      <c r="I153" s="564" t="str">
        <f>LEGER!AH156</f>
        <v>--</v>
      </c>
    </row>
    <row r="154" spans="1:9" ht="13.5" customHeight="1" x14ac:dyDescent="0.2">
      <c r="A154" s="567"/>
      <c r="B154" s="517"/>
      <c r="C154" s="519"/>
      <c r="D154" s="49" t="str">
        <f>B153&amp;"B"</f>
        <v>038B</v>
      </c>
      <c r="E154" s="282" t="s">
        <v>36</v>
      </c>
      <c r="F154" s="276" t="s">
        <v>36</v>
      </c>
      <c r="G154" s="576"/>
      <c r="H154" s="560"/>
      <c r="I154" s="564"/>
    </row>
    <row r="155" spans="1:9" ht="13.5" customHeight="1" x14ac:dyDescent="0.2">
      <c r="A155" s="567"/>
      <c r="B155" s="517"/>
      <c r="C155" s="519"/>
      <c r="D155" s="49" t="str">
        <f>B153&amp;"C"</f>
        <v>038C</v>
      </c>
      <c r="E155" s="282" t="s">
        <v>36</v>
      </c>
      <c r="F155" s="276" t="s">
        <v>36</v>
      </c>
      <c r="G155" s="576"/>
      <c r="H155" s="560"/>
      <c r="I155" s="564"/>
    </row>
    <row r="156" spans="1:9" ht="13.5" customHeight="1" x14ac:dyDescent="0.2">
      <c r="A156" s="567"/>
      <c r="B156" s="283"/>
      <c r="C156" s="284"/>
      <c r="D156" s="49" t="str">
        <f>B153&amp;"D"</f>
        <v>038D</v>
      </c>
      <c r="E156" s="285" t="s">
        <v>36</v>
      </c>
      <c r="F156" s="286" t="s">
        <v>36</v>
      </c>
      <c r="G156" s="578"/>
      <c r="H156" s="560"/>
      <c r="I156" s="564"/>
    </row>
    <row r="157" spans="1:9" ht="13.5" customHeight="1" x14ac:dyDescent="0.2">
      <c r="A157" s="570">
        <v>39</v>
      </c>
      <c r="B157" s="517" t="str">
        <f>VLOOKUP(A157,biononis,2,1)</f>
        <v>039</v>
      </c>
      <c r="C157" s="519" t="str">
        <f>VLOOKUP(A157,biononis,3,1)</f>
        <v>A39</v>
      </c>
      <c r="D157" s="57" t="str">
        <f>B157&amp;"A"</f>
        <v>039A</v>
      </c>
      <c r="E157" s="287" t="s">
        <v>36</v>
      </c>
      <c r="F157" s="274" t="s">
        <v>36</v>
      </c>
      <c r="G157" s="577" t="str">
        <f>LEGER!AG160</f>
        <v>--</v>
      </c>
      <c r="H157" s="560" t="str">
        <f>LEGER!AF160</f>
        <v/>
      </c>
      <c r="I157" s="564" t="str">
        <f>LEGER!AH160</f>
        <v>--</v>
      </c>
    </row>
    <row r="158" spans="1:9" ht="13.5" customHeight="1" x14ac:dyDescent="0.2">
      <c r="A158" s="567"/>
      <c r="B158" s="517"/>
      <c r="C158" s="519"/>
      <c r="D158" s="49" t="str">
        <f>B157&amp;"B"</f>
        <v>039B</v>
      </c>
      <c r="E158" s="282" t="s">
        <v>36</v>
      </c>
      <c r="F158" s="276" t="s">
        <v>36</v>
      </c>
      <c r="G158" s="576"/>
      <c r="H158" s="560"/>
      <c r="I158" s="564"/>
    </row>
    <row r="159" spans="1:9" ht="13.5" customHeight="1" x14ac:dyDescent="0.2">
      <c r="A159" s="567"/>
      <c r="B159" s="517"/>
      <c r="C159" s="519"/>
      <c r="D159" s="49" t="str">
        <f>B157&amp;"C"</f>
        <v>039C</v>
      </c>
      <c r="E159" s="282" t="s">
        <v>36</v>
      </c>
      <c r="F159" s="276" t="s">
        <v>36</v>
      </c>
      <c r="G159" s="576"/>
      <c r="H159" s="560"/>
      <c r="I159" s="564"/>
    </row>
    <row r="160" spans="1:9" ht="13.5" customHeight="1" x14ac:dyDescent="0.2">
      <c r="A160" s="571"/>
      <c r="B160" s="245"/>
      <c r="C160" s="246"/>
      <c r="D160" s="277" t="str">
        <f>B157&amp;"D"</f>
        <v>039D</v>
      </c>
      <c r="E160" s="288" t="s">
        <v>36</v>
      </c>
      <c r="F160" s="289" t="s">
        <v>36</v>
      </c>
      <c r="G160" s="578"/>
      <c r="H160" s="560"/>
      <c r="I160" s="564"/>
    </row>
    <row r="161" spans="1:9" ht="13.5" customHeight="1" x14ac:dyDescent="0.2">
      <c r="A161" s="567">
        <v>40</v>
      </c>
      <c r="B161" s="568" t="str">
        <f>VLOOKUP(A161,biononis,2,1)</f>
        <v>040</v>
      </c>
      <c r="C161" s="569" t="str">
        <f>VLOOKUP(A161,biononis,3,1)</f>
        <v>A40</v>
      </c>
      <c r="D161" s="49" t="str">
        <f>B161&amp;"A"</f>
        <v>040A</v>
      </c>
      <c r="E161" s="280" t="s">
        <v>36</v>
      </c>
      <c r="F161" s="281" t="s">
        <v>36</v>
      </c>
      <c r="G161" s="577" t="str">
        <f>LEGER!AG164</f>
        <v>--</v>
      </c>
      <c r="H161" s="560" t="str">
        <f>LEGER!AF164</f>
        <v/>
      </c>
      <c r="I161" s="564" t="str">
        <f>LEGER!AH164</f>
        <v>--</v>
      </c>
    </row>
    <row r="162" spans="1:9" ht="13.5" customHeight="1" x14ac:dyDescent="0.2">
      <c r="A162" s="567"/>
      <c r="B162" s="517"/>
      <c r="C162" s="519"/>
      <c r="D162" s="49" t="str">
        <f>B161&amp;"B"</f>
        <v>040B</v>
      </c>
      <c r="E162" s="282" t="s">
        <v>36</v>
      </c>
      <c r="F162" s="276" t="s">
        <v>36</v>
      </c>
      <c r="G162" s="576"/>
      <c r="H162" s="560"/>
      <c r="I162" s="564"/>
    </row>
    <row r="163" spans="1:9" ht="13.5" customHeight="1" x14ac:dyDescent="0.2">
      <c r="A163" s="567"/>
      <c r="B163" s="517"/>
      <c r="C163" s="519"/>
      <c r="D163" s="49" t="str">
        <f>B161&amp;"C"</f>
        <v>040C</v>
      </c>
      <c r="E163" s="282" t="s">
        <v>36</v>
      </c>
      <c r="F163" s="276" t="s">
        <v>36</v>
      </c>
      <c r="G163" s="576"/>
      <c r="H163" s="560"/>
      <c r="I163" s="564"/>
    </row>
    <row r="164" spans="1:9" ht="13.5" customHeight="1" x14ac:dyDescent="0.2">
      <c r="A164" s="567"/>
      <c r="B164" s="283"/>
      <c r="C164" s="284"/>
      <c r="D164" s="49" t="str">
        <f>B161&amp;"D"</f>
        <v>040D</v>
      </c>
      <c r="E164" s="285" t="s">
        <v>36</v>
      </c>
      <c r="F164" s="286" t="s">
        <v>36</v>
      </c>
      <c r="G164" s="578"/>
      <c r="H164" s="560"/>
      <c r="I164" s="564"/>
    </row>
    <row r="165" spans="1:9" x14ac:dyDescent="0.2">
      <c r="A165" s="76"/>
      <c r="B165" s="77"/>
      <c r="C165" s="77"/>
      <c r="D165" s="290"/>
      <c r="E165" s="290"/>
      <c r="F165" s="291"/>
      <c r="G165" s="291"/>
      <c r="H165" s="291"/>
    </row>
  </sheetData>
  <sheetProtection sheet="1" objects="1" scenarios="1"/>
  <mergeCells count="247">
    <mergeCell ref="G129:G132"/>
    <mergeCell ref="G133:G136"/>
    <mergeCell ref="G137:G140"/>
    <mergeCell ref="G141:G144"/>
    <mergeCell ref="G145:G148"/>
    <mergeCell ref="G149:G152"/>
    <mergeCell ref="G153:G156"/>
    <mergeCell ref="G157:G160"/>
    <mergeCell ref="G161:G164"/>
    <mergeCell ref="G93:G96"/>
    <mergeCell ref="G97:G100"/>
    <mergeCell ref="G101:G104"/>
    <mergeCell ref="G105:G108"/>
    <mergeCell ref="G109:G112"/>
    <mergeCell ref="G113:G116"/>
    <mergeCell ref="G117:G120"/>
    <mergeCell ref="G121:G124"/>
    <mergeCell ref="G125:G128"/>
    <mergeCell ref="G57:G60"/>
    <mergeCell ref="G61:G64"/>
    <mergeCell ref="G65:G68"/>
    <mergeCell ref="G69:G72"/>
    <mergeCell ref="G73:G76"/>
    <mergeCell ref="G77:G80"/>
    <mergeCell ref="G81:G84"/>
    <mergeCell ref="G85:G88"/>
    <mergeCell ref="G89:G92"/>
    <mergeCell ref="G21:G24"/>
    <mergeCell ref="G25:G28"/>
    <mergeCell ref="G29:G32"/>
    <mergeCell ref="G33:G36"/>
    <mergeCell ref="G37:G40"/>
    <mergeCell ref="G41:G44"/>
    <mergeCell ref="G45:G48"/>
    <mergeCell ref="G49:G52"/>
    <mergeCell ref="G53:G56"/>
    <mergeCell ref="G2:G3"/>
    <mergeCell ref="A2:A3"/>
    <mergeCell ref="B2:B3"/>
    <mergeCell ref="C2:C3"/>
    <mergeCell ref="A5:A8"/>
    <mergeCell ref="B5:B7"/>
    <mergeCell ref="C5:C7"/>
    <mergeCell ref="A17:A20"/>
    <mergeCell ref="B17:B19"/>
    <mergeCell ref="C17:C19"/>
    <mergeCell ref="G5:G8"/>
    <mergeCell ref="G9:G12"/>
    <mergeCell ref="G13:G16"/>
    <mergeCell ref="G17:G20"/>
    <mergeCell ref="E2:F2"/>
    <mergeCell ref="A21:A24"/>
    <mergeCell ref="B21:B23"/>
    <mergeCell ref="C21:C23"/>
    <mergeCell ref="A9:A12"/>
    <mergeCell ref="B9:B11"/>
    <mergeCell ref="C9:C11"/>
    <mergeCell ref="A13:A16"/>
    <mergeCell ref="B13:B15"/>
    <mergeCell ref="C13:C15"/>
    <mergeCell ref="A33:A36"/>
    <mergeCell ref="B33:B35"/>
    <mergeCell ref="C33:C35"/>
    <mergeCell ref="A37:A40"/>
    <mergeCell ref="B37:B39"/>
    <mergeCell ref="C37:C39"/>
    <mergeCell ref="A25:A28"/>
    <mergeCell ref="B25:B27"/>
    <mergeCell ref="C25:C27"/>
    <mergeCell ref="A29:A32"/>
    <mergeCell ref="B29:B31"/>
    <mergeCell ref="C29:C31"/>
    <mergeCell ref="A49:A52"/>
    <mergeCell ref="B49:B51"/>
    <mergeCell ref="C49:C51"/>
    <mergeCell ref="A53:A56"/>
    <mergeCell ref="B53:B55"/>
    <mergeCell ref="C53:C55"/>
    <mergeCell ref="A41:A44"/>
    <mergeCell ref="B41:B43"/>
    <mergeCell ref="C41:C43"/>
    <mergeCell ref="A45:A48"/>
    <mergeCell ref="B45:B47"/>
    <mergeCell ref="C45:C47"/>
    <mergeCell ref="A65:A68"/>
    <mergeCell ref="B65:B67"/>
    <mergeCell ref="C65:C67"/>
    <mergeCell ref="A69:A72"/>
    <mergeCell ref="B69:B71"/>
    <mergeCell ref="C69:C71"/>
    <mergeCell ref="A57:A60"/>
    <mergeCell ref="B57:B59"/>
    <mergeCell ref="C57:C59"/>
    <mergeCell ref="A61:A64"/>
    <mergeCell ref="B61:B63"/>
    <mergeCell ref="C61:C63"/>
    <mergeCell ref="A81:A84"/>
    <mergeCell ref="B81:B83"/>
    <mergeCell ref="C81:C83"/>
    <mergeCell ref="A85:A88"/>
    <mergeCell ref="B85:B87"/>
    <mergeCell ref="C85:C87"/>
    <mergeCell ref="A73:A76"/>
    <mergeCell ref="B73:B75"/>
    <mergeCell ref="C73:C75"/>
    <mergeCell ref="A77:A80"/>
    <mergeCell ref="B77:B79"/>
    <mergeCell ref="C77:C79"/>
    <mergeCell ref="A97:A100"/>
    <mergeCell ref="B97:B99"/>
    <mergeCell ref="C97:C99"/>
    <mergeCell ref="A101:A104"/>
    <mergeCell ref="B101:B103"/>
    <mergeCell ref="C101:C103"/>
    <mergeCell ref="A89:A92"/>
    <mergeCell ref="B89:B91"/>
    <mergeCell ref="C89:C91"/>
    <mergeCell ref="A93:A96"/>
    <mergeCell ref="B93:B95"/>
    <mergeCell ref="C93:C95"/>
    <mergeCell ref="A113:A116"/>
    <mergeCell ref="B113:B115"/>
    <mergeCell ref="C113:C115"/>
    <mergeCell ref="A117:A120"/>
    <mergeCell ref="B117:B119"/>
    <mergeCell ref="C117:C119"/>
    <mergeCell ref="A105:A108"/>
    <mergeCell ref="B105:B107"/>
    <mergeCell ref="C105:C107"/>
    <mergeCell ref="A109:A112"/>
    <mergeCell ref="B109:B111"/>
    <mergeCell ref="C109:C111"/>
    <mergeCell ref="C129:C131"/>
    <mergeCell ref="A133:A136"/>
    <mergeCell ref="B133:B135"/>
    <mergeCell ref="C133:C135"/>
    <mergeCell ref="A121:A124"/>
    <mergeCell ref="B121:B123"/>
    <mergeCell ref="C121:C123"/>
    <mergeCell ref="A125:A128"/>
    <mergeCell ref="B125:B127"/>
    <mergeCell ref="C125:C127"/>
    <mergeCell ref="A129:A132"/>
    <mergeCell ref="B129:B131"/>
    <mergeCell ref="A161:A164"/>
    <mergeCell ref="B161:B163"/>
    <mergeCell ref="C161:C163"/>
    <mergeCell ref="A153:A156"/>
    <mergeCell ref="B153:B155"/>
    <mergeCell ref="C153:C155"/>
    <mergeCell ref="A157:A160"/>
    <mergeCell ref="B157:B159"/>
    <mergeCell ref="C157:C159"/>
    <mergeCell ref="A145:A148"/>
    <mergeCell ref="B145:B147"/>
    <mergeCell ref="C145:C147"/>
    <mergeCell ref="A149:A152"/>
    <mergeCell ref="B149:B151"/>
    <mergeCell ref="C149:C151"/>
    <mergeCell ref="A137:A140"/>
    <mergeCell ref="B137:B139"/>
    <mergeCell ref="C137:C139"/>
    <mergeCell ref="A141:A144"/>
    <mergeCell ref="B141:B143"/>
    <mergeCell ref="C141:C143"/>
    <mergeCell ref="I2:I3"/>
    <mergeCell ref="I5:I8"/>
    <mergeCell ref="I9:I12"/>
    <mergeCell ref="I13:I16"/>
    <mergeCell ref="I17:I20"/>
    <mergeCell ref="I21:I24"/>
    <mergeCell ref="I25:I28"/>
    <mergeCell ref="I29:I32"/>
    <mergeCell ref="I33:I36"/>
    <mergeCell ref="I37:I40"/>
    <mergeCell ref="I41:I44"/>
    <mergeCell ref="I45:I48"/>
    <mergeCell ref="I49:I52"/>
    <mergeCell ref="I53:I56"/>
    <mergeCell ref="I57:I60"/>
    <mergeCell ref="I61:I64"/>
    <mergeCell ref="I65:I68"/>
    <mergeCell ref="I69:I72"/>
    <mergeCell ref="I73:I76"/>
    <mergeCell ref="I77:I80"/>
    <mergeCell ref="I81:I84"/>
    <mergeCell ref="I85:I88"/>
    <mergeCell ref="I89:I92"/>
    <mergeCell ref="I93:I96"/>
    <mergeCell ref="I97:I100"/>
    <mergeCell ref="I101:I104"/>
    <mergeCell ref="I105:I108"/>
    <mergeCell ref="I145:I148"/>
    <mergeCell ref="I149:I152"/>
    <mergeCell ref="I153:I156"/>
    <mergeCell ref="I157:I160"/>
    <mergeCell ref="I161:I164"/>
    <mergeCell ref="I109:I112"/>
    <mergeCell ref="I113:I116"/>
    <mergeCell ref="I117:I120"/>
    <mergeCell ref="I121:I124"/>
    <mergeCell ref="I125:I128"/>
    <mergeCell ref="I129:I132"/>
    <mergeCell ref="I133:I136"/>
    <mergeCell ref="I137:I140"/>
    <mergeCell ref="I141:I144"/>
    <mergeCell ref="H2:H3"/>
    <mergeCell ref="H5:H8"/>
    <mergeCell ref="H9:H12"/>
    <mergeCell ref="H13:H16"/>
    <mergeCell ref="H17:H20"/>
    <mergeCell ref="H21:H24"/>
    <mergeCell ref="H25:H28"/>
    <mergeCell ref="H29:H32"/>
    <mergeCell ref="H33:H36"/>
    <mergeCell ref="H37:H40"/>
    <mergeCell ref="H41:H44"/>
    <mergeCell ref="H45:H48"/>
    <mergeCell ref="H49:H52"/>
    <mergeCell ref="H53:H56"/>
    <mergeCell ref="H57:H60"/>
    <mergeCell ref="H61:H64"/>
    <mergeCell ref="H65:H68"/>
    <mergeCell ref="H69:H72"/>
    <mergeCell ref="H73:H76"/>
    <mergeCell ref="H77:H80"/>
    <mergeCell ref="H81:H84"/>
    <mergeCell ref="H85:H88"/>
    <mergeCell ref="H89:H92"/>
    <mergeCell ref="H93:H96"/>
    <mergeCell ref="H97:H100"/>
    <mergeCell ref="H101:H104"/>
    <mergeCell ref="H105:H108"/>
    <mergeCell ref="H145:H148"/>
    <mergeCell ref="H149:H152"/>
    <mergeCell ref="H153:H156"/>
    <mergeCell ref="H157:H160"/>
    <mergeCell ref="H161:H164"/>
    <mergeCell ref="H109:H112"/>
    <mergeCell ref="H113:H116"/>
    <mergeCell ref="H117:H120"/>
    <mergeCell ref="H121:H124"/>
    <mergeCell ref="H125:H128"/>
    <mergeCell ref="H129:H132"/>
    <mergeCell ref="H133:H136"/>
    <mergeCell ref="H137:H140"/>
    <mergeCell ref="H141:H144"/>
  </mergeCells>
  <pageMargins left="0.7" right="0.7" top="0.75" bottom="0.75" header="0.3" footer="0.3"/>
  <pageSetup paperSize="10000"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tabColor rgb="FF00B050"/>
    <pageSetUpPr autoPageBreaks="0"/>
  </sheetPr>
  <dimension ref="A1:AA295"/>
  <sheetViews>
    <sheetView showGridLines="0" view="pageBreakPreview" zoomScale="70" zoomScaleNormal="100" zoomScaleSheetLayoutView="70" workbookViewId="0"/>
  </sheetViews>
  <sheetFormatPr defaultRowHeight="15.75" x14ac:dyDescent="0.2"/>
  <cols>
    <col min="1" max="1" width="3.42578125" style="354" customWidth="1"/>
    <col min="2" max="2" width="4.5703125" style="142" customWidth="1"/>
    <col min="3" max="3" width="14" style="142" customWidth="1"/>
    <col min="4" max="4" width="2.7109375" style="142" customWidth="1"/>
    <col min="5" max="5" width="4" style="142" customWidth="1"/>
    <col min="6" max="6" width="5.28515625" style="142" customWidth="1"/>
    <col min="7" max="7" width="5.140625" style="142" customWidth="1"/>
    <col min="8" max="8" width="6.42578125" style="142" customWidth="1"/>
    <col min="9" max="9" width="7.85546875" style="142" customWidth="1"/>
    <col min="10" max="10" width="13.7109375" style="142" customWidth="1"/>
    <col min="11" max="11" width="15.7109375" style="142" customWidth="1"/>
    <col min="12" max="12" width="15.140625" style="142" customWidth="1"/>
    <col min="13" max="13" width="1.85546875" style="131" customWidth="1"/>
    <col min="14" max="14" width="7.5703125" style="70" customWidth="1"/>
    <col min="15" max="15" width="9.140625" style="85" customWidth="1"/>
    <col min="16" max="17" width="13.5703125" style="22" customWidth="1"/>
    <col min="18" max="18" width="35.85546875" style="22" customWidth="1"/>
    <col min="19" max="19" width="27.5703125" style="22" customWidth="1"/>
    <col min="20" max="20" width="9.140625" style="88"/>
    <col min="21" max="21" width="16.28515625" style="88" customWidth="1"/>
    <col min="22" max="22" width="11.140625" style="88" customWidth="1"/>
    <col min="23" max="23" width="28.28515625" style="22" customWidth="1"/>
    <col min="24" max="24" width="26.42578125" style="22" customWidth="1"/>
    <col min="25" max="27" width="9.140625" style="22"/>
    <col min="28" max="16384" width="9.140625" style="52"/>
  </cols>
  <sheetData>
    <row r="1" spans="1:27" x14ac:dyDescent="0.2">
      <c r="A1" s="143" t="s">
        <v>183</v>
      </c>
      <c r="C1" s="143"/>
      <c r="D1" s="154" t="s">
        <v>3</v>
      </c>
      <c r="E1" s="157" t="s">
        <v>185</v>
      </c>
      <c r="G1" s="157"/>
      <c r="H1" s="157"/>
      <c r="K1" s="143" t="s">
        <v>59</v>
      </c>
      <c r="L1" s="143" t="str">
        <f>": " &amp;Biodata!C4</f>
        <v xml:space="preserve">:  X / IPS_5 </v>
      </c>
      <c r="M1" s="158"/>
      <c r="O1" s="621">
        <v>2</v>
      </c>
      <c r="P1" s="620"/>
      <c r="Q1" s="451"/>
      <c r="S1" s="307"/>
    </row>
    <row r="2" spans="1:27" x14ac:dyDescent="0.2">
      <c r="A2" s="143" t="s">
        <v>184</v>
      </c>
      <c r="C2" s="113"/>
      <c r="D2" s="154" t="s">
        <v>3</v>
      </c>
      <c r="E2" s="165" t="s">
        <v>186</v>
      </c>
      <c r="G2" s="113"/>
      <c r="H2" s="113"/>
      <c r="K2" s="157" t="s">
        <v>13</v>
      </c>
      <c r="L2" s="143" t="str">
        <f>":  " &amp;LEGER!N2</f>
        <v>:  2 / Genap</v>
      </c>
      <c r="M2" s="158"/>
      <c r="O2" s="621"/>
      <c r="P2" s="620"/>
      <c r="Q2" s="451"/>
      <c r="S2" s="307"/>
    </row>
    <row r="3" spans="1:27" x14ac:dyDescent="0.2">
      <c r="A3" s="143" t="s">
        <v>14</v>
      </c>
      <c r="C3" s="113"/>
      <c r="D3" s="154" t="s">
        <v>3</v>
      </c>
      <c r="E3" s="159" t="str">
        <f>VLOOKUP(nomor,Biodata,3,0)</f>
        <v xml:space="preserve">ADNES KOMALA DEWI </v>
      </c>
      <c r="G3" s="159"/>
      <c r="H3" s="159"/>
      <c r="K3" s="157" t="s">
        <v>47</v>
      </c>
      <c r="L3" s="143" t="str">
        <f>":  " &amp;LEGER!N3</f>
        <v>:  2018/2019</v>
      </c>
      <c r="M3" s="158"/>
      <c r="O3" s="84"/>
      <c r="P3" s="308">
        <v>11671040</v>
      </c>
      <c r="Q3" s="308"/>
      <c r="X3" s="41"/>
      <c r="Y3" s="41"/>
    </row>
    <row r="4" spans="1:27" ht="16.5" thickBot="1" x14ac:dyDescent="0.25">
      <c r="A4" s="160" t="s">
        <v>187</v>
      </c>
      <c r="B4" s="359"/>
      <c r="C4" s="161"/>
      <c r="D4" s="162" t="s">
        <v>3</v>
      </c>
      <c r="E4" s="626" t="str">
        <f>VLOOKUP(nomor,Biodata,2,0)</f>
        <v>181910011</v>
      </c>
      <c r="F4" s="626"/>
      <c r="G4" s="626"/>
      <c r="H4" s="189" t="str">
        <f>"/     "&amp;IFERROR(VLOOKUP(nomor,Biodata!A9:D50,4,0),"")</f>
        <v>/     -</v>
      </c>
      <c r="I4" s="359"/>
      <c r="J4" s="160"/>
      <c r="K4" s="160"/>
      <c r="L4" s="160"/>
      <c r="M4" s="392"/>
      <c r="O4" s="86"/>
      <c r="P4" s="309"/>
      <c r="Q4" s="309"/>
      <c r="R4" s="310"/>
      <c r="S4" s="310"/>
      <c r="X4" s="58"/>
      <c r="Y4" s="58"/>
    </row>
    <row r="5" spans="1:27" x14ac:dyDescent="0.2">
      <c r="A5" s="393"/>
      <c r="B5" s="394"/>
      <c r="C5" s="394"/>
      <c r="D5" s="394"/>
      <c r="E5" s="395"/>
      <c r="F5" s="396"/>
      <c r="G5" s="397"/>
      <c r="H5" s="397"/>
      <c r="I5" s="394"/>
      <c r="J5" s="394"/>
      <c r="K5" s="394"/>
      <c r="L5" s="394"/>
      <c r="M5" s="398"/>
      <c r="O5" s="87"/>
      <c r="P5" s="310"/>
      <c r="Q5" s="310"/>
      <c r="R5" s="310"/>
      <c r="S5" s="310"/>
      <c r="X5" s="58"/>
      <c r="Y5" s="58"/>
    </row>
    <row r="6" spans="1:27" ht="18.75" x14ac:dyDescent="0.2">
      <c r="A6" s="350"/>
      <c r="B6" s="622" t="s">
        <v>61</v>
      </c>
      <c r="C6" s="622"/>
      <c r="D6" s="622"/>
      <c r="E6" s="622"/>
      <c r="F6" s="622"/>
      <c r="G6" s="622"/>
      <c r="H6" s="622"/>
      <c r="I6" s="622"/>
      <c r="J6" s="622"/>
      <c r="K6" s="622"/>
      <c r="L6" s="622"/>
      <c r="M6" s="154"/>
      <c r="X6" s="58"/>
      <c r="Y6" s="58"/>
    </row>
    <row r="7" spans="1:27" ht="18.75" x14ac:dyDescent="0.2">
      <c r="A7" s="350"/>
      <c r="B7" s="299"/>
      <c r="C7" s="299"/>
      <c r="D7" s="299"/>
      <c r="E7" s="299"/>
      <c r="F7" s="299"/>
      <c r="G7" s="299"/>
      <c r="H7" s="299"/>
      <c r="I7" s="299"/>
      <c r="J7" s="299"/>
      <c r="K7" s="299"/>
      <c r="L7" s="299"/>
      <c r="M7" s="154"/>
      <c r="X7" s="58"/>
      <c r="Y7" s="58"/>
    </row>
    <row r="8" spans="1:27" ht="20.100000000000001" customHeight="1" x14ac:dyDescent="0.2">
      <c r="A8" s="113" t="s">
        <v>269</v>
      </c>
      <c r="B8" s="113"/>
      <c r="C8" s="143"/>
      <c r="D8" s="143"/>
      <c r="E8" s="143"/>
      <c r="F8" s="143"/>
      <c r="G8" s="143"/>
      <c r="H8" s="143"/>
      <c r="I8" s="143"/>
      <c r="J8" s="143"/>
      <c r="K8" s="143"/>
      <c r="L8" s="143"/>
      <c r="M8" s="163"/>
      <c r="X8" s="58"/>
      <c r="Y8" s="58"/>
    </row>
    <row r="9" spans="1:27" ht="20.100000000000001" customHeight="1" x14ac:dyDescent="0.2">
      <c r="A9" s="350"/>
      <c r="B9" s="333" t="s">
        <v>62</v>
      </c>
      <c r="C9" s="149"/>
      <c r="D9" s="149"/>
      <c r="E9" s="149"/>
      <c r="F9" s="149"/>
      <c r="G9" s="149"/>
      <c r="H9" s="149"/>
      <c r="I9" s="149"/>
      <c r="J9" s="149"/>
      <c r="K9" s="149"/>
      <c r="L9" s="149"/>
      <c r="M9" s="163"/>
      <c r="O9" s="156"/>
      <c r="P9" s="452" t="s">
        <v>301</v>
      </c>
      <c r="Q9" s="452"/>
      <c r="R9" s="452" t="s">
        <v>302</v>
      </c>
      <c r="S9" s="452" t="s">
        <v>303</v>
      </c>
      <c r="T9" s="200"/>
      <c r="U9" s="601" t="s">
        <v>154</v>
      </c>
      <c r="V9" s="601"/>
      <c r="W9" s="601"/>
      <c r="X9" s="601"/>
      <c r="Y9" s="58"/>
    </row>
    <row r="10" spans="1:27" ht="50.1" customHeight="1" thickBot="1" x14ac:dyDescent="0.25">
      <c r="A10" s="350"/>
      <c r="B10" s="625" t="s">
        <v>4</v>
      </c>
      <c r="C10" s="624"/>
      <c r="D10" s="357"/>
      <c r="E10" s="623" t="s">
        <v>64</v>
      </c>
      <c r="F10" s="623"/>
      <c r="G10" s="623"/>
      <c r="H10" s="623"/>
      <c r="I10" s="623"/>
      <c r="J10" s="623"/>
      <c r="K10" s="623"/>
      <c r="L10" s="624"/>
      <c r="M10" s="163"/>
      <c r="O10" s="156"/>
      <c r="P10" s="453" t="s">
        <v>72</v>
      </c>
      <c r="Q10" s="453" t="s">
        <v>357</v>
      </c>
      <c r="R10" s="454" t="s">
        <v>155</v>
      </c>
      <c r="S10" s="454" t="s">
        <v>155</v>
      </c>
      <c r="T10" s="200"/>
      <c r="U10" s="455" t="s">
        <v>147</v>
      </c>
      <c r="V10" s="455" t="s">
        <v>72</v>
      </c>
      <c r="W10" s="455" t="s">
        <v>74</v>
      </c>
      <c r="X10" s="456" t="s">
        <v>146</v>
      </c>
      <c r="Y10" s="58"/>
    </row>
    <row r="11" spans="1:27" x14ac:dyDescent="0.2">
      <c r="A11" s="350"/>
      <c r="B11" s="627" t="str">
        <f>IFERROR(VLOOKUP($E$4&amp;"a",leggerx1,20,0),"")</f>
        <v>B</v>
      </c>
      <c r="C11" s="628"/>
      <c r="D11" s="607" t="str">
        <f>IFERROR(VLOOKUP(B11,$P$11:$R$14,3,0),"")</f>
        <v>Selalu bersyukur dan selalu berdoa sebelum melakukan kegiatan, memiliki toleran pada agama yang berbeda, ketaatan beribadah mulai berkembang.</v>
      </c>
      <c r="E11" s="608"/>
      <c r="F11" s="608"/>
      <c r="G11" s="608"/>
      <c r="H11" s="608"/>
      <c r="I11" s="608"/>
      <c r="J11" s="608"/>
      <c r="K11" s="608"/>
      <c r="L11" s="609"/>
      <c r="M11" s="163"/>
      <c r="O11" s="156"/>
      <c r="P11" s="457" t="s">
        <v>285</v>
      </c>
      <c r="Q11" s="457" t="s">
        <v>358</v>
      </c>
      <c r="R11" s="467" t="s">
        <v>166</v>
      </c>
      <c r="S11" s="467" t="s">
        <v>169</v>
      </c>
      <c r="T11" s="201"/>
      <c r="U11" s="583" t="str">
        <f>C35</f>
        <v>Pendidikan Agama dan Budi Pekerti</v>
      </c>
      <c r="V11" s="455" t="s">
        <v>7</v>
      </c>
      <c r="W11" s="458" t="s">
        <v>349</v>
      </c>
      <c r="X11" s="459" t="s">
        <v>350</v>
      </c>
      <c r="Y11" s="58"/>
    </row>
    <row r="12" spans="1:27" ht="30" customHeight="1" x14ac:dyDescent="0.2">
      <c r="A12" s="350"/>
      <c r="B12" s="616" t="str">
        <f>IFERROR(VLOOKUP(B11,$P$11:$R$14,2,0),"")</f>
        <v>Baik</v>
      </c>
      <c r="C12" s="617"/>
      <c r="D12" s="610"/>
      <c r="E12" s="611"/>
      <c r="F12" s="611"/>
      <c r="G12" s="611"/>
      <c r="H12" s="611"/>
      <c r="I12" s="611"/>
      <c r="J12" s="611"/>
      <c r="K12" s="611"/>
      <c r="L12" s="612"/>
      <c r="M12" s="163"/>
      <c r="O12" s="156"/>
      <c r="P12" s="457" t="s">
        <v>6</v>
      </c>
      <c r="Q12" s="457" t="s">
        <v>359</v>
      </c>
      <c r="R12" s="467" t="s">
        <v>167</v>
      </c>
      <c r="S12" s="467" t="s">
        <v>170</v>
      </c>
      <c r="T12" s="199"/>
      <c r="U12" s="583"/>
      <c r="V12" s="455" t="s">
        <v>6</v>
      </c>
      <c r="W12" s="458" t="s">
        <v>351</v>
      </c>
      <c r="X12" s="460" t="s">
        <v>352</v>
      </c>
      <c r="Y12" s="58"/>
    </row>
    <row r="13" spans="1:27" ht="90" customHeight="1" x14ac:dyDescent="0.2">
      <c r="A13" s="350"/>
      <c r="B13" s="618"/>
      <c r="C13" s="619"/>
      <c r="D13" s="613"/>
      <c r="E13" s="614"/>
      <c r="F13" s="614"/>
      <c r="G13" s="614"/>
      <c r="H13" s="614"/>
      <c r="I13" s="614"/>
      <c r="J13" s="614"/>
      <c r="K13" s="614"/>
      <c r="L13" s="615"/>
      <c r="M13" s="163"/>
      <c r="O13" s="156"/>
      <c r="P13" s="457" t="s">
        <v>18</v>
      </c>
      <c r="Q13" s="457" t="s">
        <v>360</v>
      </c>
      <c r="R13" s="467" t="s">
        <v>168</v>
      </c>
      <c r="S13" s="467" t="s">
        <v>171</v>
      </c>
      <c r="T13" s="202"/>
      <c r="U13" s="583"/>
      <c r="V13" s="455" t="s">
        <v>18</v>
      </c>
      <c r="W13" s="458" t="s">
        <v>353</v>
      </c>
      <c r="X13" s="460" t="s">
        <v>354</v>
      </c>
      <c r="Y13" s="58"/>
    </row>
    <row r="14" spans="1:27" s="53" customFormat="1" ht="35.1" customHeight="1" x14ac:dyDescent="0.2">
      <c r="A14" s="350"/>
      <c r="B14" s="149"/>
      <c r="C14" s="147"/>
      <c r="D14" s="147"/>
      <c r="E14" s="141"/>
      <c r="F14" s="141"/>
      <c r="G14" s="141"/>
      <c r="H14" s="141"/>
      <c r="I14" s="141"/>
      <c r="J14" s="141"/>
      <c r="K14" s="141"/>
      <c r="L14" s="141"/>
      <c r="M14" s="163"/>
      <c r="N14" s="71"/>
      <c r="O14" s="156"/>
      <c r="P14" s="457" t="s">
        <v>294</v>
      </c>
      <c r="Q14" s="457" t="s">
        <v>361</v>
      </c>
      <c r="R14" s="467" t="s">
        <v>178</v>
      </c>
      <c r="S14" s="467" t="s">
        <v>179</v>
      </c>
      <c r="T14" s="202"/>
      <c r="U14" s="583"/>
      <c r="V14" s="455" t="s">
        <v>19</v>
      </c>
      <c r="W14" s="458" t="s">
        <v>355</v>
      </c>
      <c r="X14" s="460" t="s">
        <v>356</v>
      </c>
      <c r="Y14" s="69"/>
      <c r="Z14" s="68"/>
      <c r="AA14" s="68"/>
    </row>
    <row r="15" spans="1:27" ht="25.5" customHeight="1" x14ac:dyDescent="0.2">
      <c r="A15" s="350"/>
      <c r="B15" s="210" t="s">
        <v>63</v>
      </c>
      <c r="C15" s="143"/>
      <c r="D15" s="143"/>
      <c r="E15" s="143"/>
      <c r="F15" s="143"/>
      <c r="G15" s="143"/>
      <c r="H15" s="143"/>
      <c r="I15" s="143"/>
      <c r="J15" s="143"/>
      <c r="K15" s="143"/>
      <c r="L15" s="143"/>
      <c r="M15" s="163"/>
      <c r="O15" s="156"/>
      <c r="P15" s="461"/>
      <c r="Q15" s="461"/>
      <c r="R15" s="461"/>
      <c r="U15" s="583" t="str">
        <f>C36</f>
        <v>Pendidikan Pancasila dan Kewarganegaraan</v>
      </c>
      <c r="V15" s="455" t="s">
        <v>7</v>
      </c>
      <c r="W15" s="458" t="s">
        <v>349</v>
      </c>
      <c r="X15" s="459" t="s">
        <v>350</v>
      </c>
      <c r="Y15" s="58"/>
    </row>
    <row r="16" spans="1:27" ht="50.1" customHeight="1" thickBot="1" x14ac:dyDescent="0.25">
      <c r="A16" s="350"/>
      <c r="B16" s="625" t="s">
        <v>4</v>
      </c>
      <c r="C16" s="624"/>
      <c r="D16" s="357"/>
      <c r="E16" s="623" t="s">
        <v>64</v>
      </c>
      <c r="F16" s="623"/>
      <c r="G16" s="623"/>
      <c r="H16" s="623"/>
      <c r="I16" s="623"/>
      <c r="J16" s="623"/>
      <c r="K16" s="623"/>
      <c r="L16" s="624"/>
      <c r="M16" s="163"/>
      <c r="O16" s="156"/>
      <c r="U16" s="583"/>
      <c r="V16" s="455" t="s">
        <v>6</v>
      </c>
      <c r="W16" s="458" t="s">
        <v>351</v>
      </c>
      <c r="X16" s="460" t="s">
        <v>352</v>
      </c>
      <c r="Y16" s="58"/>
    </row>
    <row r="17" spans="1:27" x14ac:dyDescent="0.2">
      <c r="A17" s="350"/>
      <c r="B17" s="627" t="str">
        <f>IFERROR(VLOOKUP($E$4&amp;"a",leggerx1,21,0),"")</f>
        <v>B</v>
      </c>
      <c r="C17" s="628"/>
      <c r="D17" s="607" t="str">
        <f>IFERROR(VLOOKUP(B17,$P$11:$S$14,4,0),"")</f>
        <v>Memiliki sikap santun, disiplin, tanggung jawab yang baik, sikap kepedulian mulai meningkat.</v>
      </c>
      <c r="E17" s="608"/>
      <c r="F17" s="608"/>
      <c r="G17" s="608"/>
      <c r="H17" s="608"/>
      <c r="I17" s="608"/>
      <c r="J17" s="608"/>
      <c r="K17" s="608"/>
      <c r="L17" s="609"/>
      <c r="M17" s="163"/>
      <c r="O17" s="156"/>
      <c r="P17" s="202"/>
      <c r="Q17" s="202"/>
      <c r="R17" s="88"/>
      <c r="S17" s="200"/>
      <c r="U17" s="583"/>
      <c r="V17" s="455" t="s">
        <v>18</v>
      </c>
      <c r="W17" s="458" t="s">
        <v>353</v>
      </c>
      <c r="X17" s="460" t="s">
        <v>354</v>
      </c>
      <c r="Y17" s="58"/>
    </row>
    <row r="18" spans="1:27" ht="30" customHeight="1" x14ac:dyDescent="0.2">
      <c r="A18" s="350"/>
      <c r="B18" s="616" t="str">
        <f>IFERROR(VLOOKUP(B17,$P$11:$R$14,2,0),"")</f>
        <v>Baik</v>
      </c>
      <c r="C18" s="617"/>
      <c r="D18" s="610"/>
      <c r="E18" s="611"/>
      <c r="F18" s="611"/>
      <c r="G18" s="611"/>
      <c r="H18" s="611"/>
      <c r="I18" s="611"/>
      <c r="J18" s="611"/>
      <c r="K18" s="611"/>
      <c r="L18" s="612"/>
      <c r="M18" s="163"/>
      <c r="O18" s="156"/>
      <c r="P18" s="462"/>
      <c r="Q18" s="462"/>
      <c r="R18" s="88"/>
      <c r="S18" s="463"/>
      <c r="T18" s="464"/>
      <c r="U18" s="583"/>
      <c r="V18" s="455" t="s">
        <v>19</v>
      </c>
      <c r="W18" s="458" t="s">
        <v>355</v>
      </c>
      <c r="X18" s="460" t="s">
        <v>356</v>
      </c>
      <c r="Y18" s="58"/>
    </row>
    <row r="19" spans="1:27" ht="90" customHeight="1" x14ac:dyDescent="0.2">
      <c r="A19" s="350"/>
      <c r="B19" s="618"/>
      <c r="C19" s="619"/>
      <c r="D19" s="613"/>
      <c r="E19" s="614"/>
      <c r="F19" s="614"/>
      <c r="G19" s="614"/>
      <c r="H19" s="614"/>
      <c r="I19" s="614"/>
      <c r="J19" s="614"/>
      <c r="K19" s="614"/>
      <c r="L19" s="615"/>
      <c r="M19" s="163"/>
      <c r="O19" s="156"/>
      <c r="P19" s="462"/>
      <c r="Q19" s="462"/>
      <c r="R19" s="88"/>
      <c r="S19" s="463"/>
      <c r="T19" s="464"/>
      <c r="U19" s="583" t="str">
        <f>C37</f>
        <v>Bahasa Indonesia</v>
      </c>
      <c r="V19" s="455" t="s">
        <v>7</v>
      </c>
      <c r="W19" s="458" t="s">
        <v>349</v>
      </c>
      <c r="X19" s="459" t="s">
        <v>350</v>
      </c>
      <c r="Y19" s="58"/>
    </row>
    <row r="20" spans="1:27" s="53" customFormat="1" x14ac:dyDescent="0.2">
      <c r="A20" s="350"/>
      <c r="B20" s="143"/>
      <c r="C20" s="147"/>
      <c r="D20" s="147"/>
      <c r="E20" s="164"/>
      <c r="F20" s="164"/>
      <c r="G20" s="164"/>
      <c r="H20" s="164"/>
      <c r="I20" s="164"/>
      <c r="J20" s="164"/>
      <c r="K20" s="164"/>
      <c r="L20" s="164"/>
      <c r="M20" s="163"/>
      <c r="N20" s="71"/>
      <c r="O20" s="156"/>
      <c r="P20" s="462"/>
      <c r="Q20" s="462"/>
      <c r="R20" s="204"/>
      <c r="S20" s="463"/>
      <c r="T20" s="465"/>
      <c r="U20" s="583"/>
      <c r="V20" s="455" t="s">
        <v>6</v>
      </c>
      <c r="W20" s="458" t="s">
        <v>351</v>
      </c>
      <c r="X20" s="460" t="s">
        <v>352</v>
      </c>
      <c r="Y20" s="69"/>
      <c r="Z20" s="68"/>
      <c r="AA20" s="68"/>
    </row>
    <row r="21" spans="1:27" s="53" customFormat="1" x14ac:dyDescent="0.2">
      <c r="A21" s="350"/>
      <c r="B21" s="143"/>
      <c r="C21" s="147"/>
      <c r="D21" s="147"/>
      <c r="E21" s="164"/>
      <c r="F21" s="164"/>
      <c r="G21" s="164"/>
      <c r="H21" s="164"/>
      <c r="I21" s="164"/>
      <c r="J21" s="164"/>
      <c r="K21" s="164"/>
      <c r="L21" s="164"/>
      <c r="M21" s="163"/>
      <c r="N21" s="71"/>
      <c r="O21" s="156"/>
      <c r="P21" s="462"/>
      <c r="Q21" s="462"/>
      <c r="R21" s="204"/>
      <c r="S21" s="190"/>
      <c r="T21" s="465"/>
      <c r="U21" s="583"/>
      <c r="V21" s="455" t="s">
        <v>18</v>
      </c>
      <c r="W21" s="458" t="s">
        <v>353</v>
      </c>
      <c r="X21" s="460" t="s">
        <v>354</v>
      </c>
      <c r="Y21" s="69"/>
      <c r="Z21" s="68"/>
      <c r="AA21" s="68"/>
    </row>
    <row r="22" spans="1:27" s="53" customFormat="1" x14ac:dyDescent="0.2">
      <c r="A22" s="350"/>
      <c r="B22" s="143"/>
      <c r="C22" s="147"/>
      <c r="D22" s="147"/>
      <c r="E22" s="164"/>
      <c r="F22" s="164"/>
      <c r="G22" s="164"/>
      <c r="H22" s="164"/>
      <c r="I22" s="164"/>
      <c r="J22" s="164"/>
      <c r="K22" s="164"/>
      <c r="L22" s="164"/>
      <c r="M22" s="163"/>
      <c r="N22" s="71"/>
      <c r="O22" s="156"/>
      <c r="P22" s="462"/>
      <c r="Q22" s="462"/>
      <c r="R22" s="463"/>
      <c r="S22" s="463"/>
      <c r="T22" s="465"/>
      <c r="U22" s="583"/>
      <c r="V22" s="455" t="s">
        <v>19</v>
      </c>
      <c r="W22" s="458" t="s">
        <v>355</v>
      </c>
      <c r="X22" s="460" t="s">
        <v>356</v>
      </c>
      <c r="Y22" s="69"/>
      <c r="Z22" s="68"/>
      <c r="AA22" s="68"/>
    </row>
    <row r="23" spans="1:27" s="53" customFormat="1" x14ac:dyDescent="0.2">
      <c r="A23" s="350"/>
      <c r="B23" s="143"/>
      <c r="C23" s="147"/>
      <c r="D23" s="147"/>
      <c r="E23" s="164"/>
      <c r="F23" s="164"/>
      <c r="G23" s="164"/>
      <c r="H23" s="164"/>
      <c r="I23" s="164"/>
      <c r="J23" s="164"/>
      <c r="K23" s="164"/>
      <c r="L23" s="164"/>
      <c r="M23" s="163"/>
      <c r="N23" s="71"/>
      <c r="O23" s="156"/>
      <c r="P23" s="462"/>
      <c r="Q23" s="462"/>
      <c r="R23" s="463"/>
      <c r="S23" s="463"/>
      <c r="T23" s="465"/>
      <c r="U23" s="583" t="str">
        <f>C38</f>
        <v>Matematika</v>
      </c>
      <c r="V23" s="455" t="s">
        <v>7</v>
      </c>
      <c r="W23" s="458" t="s">
        <v>349</v>
      </c>
      <c r="X23" s="459" t="s">
        <v>350</v>
      </c>
      <c r="Y23" s="69"/>
      <c r="Z23" s="68"/>
      <c r="AA23" s="68"/>
    </row>
    <row r="24" spans="1:27" s="53" customFormat="1" x14ac:dyDescent="0.2">
      <c r="A24" s="350"/>
      <c r="B24" s="143"/>
      <c r="C24" s="147"/>
      <c r="D24" s="147"/>
      <c r="E24" s="164"/>
      <c r="F24" s="164"/>
      <c r="G24" s="164"/>
      <c r="H24" s="164"/>
      <c r="I24" s="164"/>
      <c r="J24" s="164"/>
      <c r="K24" s="164"/>
      <c r="L24" s="164"/>
      <c r="M24" s="163"/>
      <c r="N24" s="71"/>
      <c r="O24" s="156"/>
      <c r="P24" s="462"/>
      <c r="Q24" s="462"/>
      <c r="R24" s="463"/>
      <c r="S24" s="463"/>
      <c r="T24" s="465"/>
      <c r="U24" s="583"/>
      <c r="V24" s="455" t="s">
        <v>6</v>
      </c>
      <c r="W24" s="458" t="s">
        <v>351</v>
      </c>
      <c r="X24" s="460" t="s">
        <v>352</v>
      </c>
      <c r="Y24" s="69"/>
      <c r="Z24" s="68"/>
      <c r="AA24" s="68"/>
    </row>
    <row r="25" spans="1:27" s="53" customFormat="1" x14ac:dyDescent="0.2">
      <c r="A25" s="350"/>
      <c r="B25" s="143"/>
      <c r="C25" s="147"/>
      <c r="D25" s="147"/>
      <c r="E25" s="164"/>
      <c r="F25" s="164"/>
      <c r="G25" s="164"/>
      <c r="H25" s="164"/>
      <c r="I25" s="164"/>
      <c r="J25" s="164"/>
      <c r="K25" s="164"/>
      <c r="L25" s="164"/>
      <c r="M25" s="163"/>
      <c r="N25" s="71"/>
      <c r="O25" s="156"/>
      <c r="P25" s="462"/>
      <c r="Q25" s="462"/>
      <c r="R25" s="463"/>
      <c r="S25" s="463"/>
      <c r="T25" s="465"/>
      <c r="U25" s="583"/>
      <c r="V25" s="455" t="s">
        <v>18</v>
      </c>
      <c r="W25" s="458" t="s">
        <v>353</v>
      </c>
      <c r="X25" s="460" t="s">
        <v>354</v>
      </c>
      <c r="Y25" s="69"/>
      <c r="Z25" s="68"/>
      <c r="AA25" s="68"/>
    </row>
    <row r="26" spans="1:27" s="53" customFormat="1" ht="13.5" customHeight="1" x14ac:dyDescent="0.2">
      <c r="A26" s="350"/>
      <c r="B26" s="143"/>
      <c r="C26" s="147"/>
      <c r="D26" s="147"/>
      <c r="E26" s="164"/>
      <c r="F26" s="164"/>
      <c r="G26" s="164"/>
      <c r="H26" s="164"/>
      <c r="I26" s="164"/>
      <c r="J26" s="164"/>
      <c r="K26" s="164"/>
      <c r="L26" s="164"/>
      <c r="M26" s="163"/>
      <c r="N26" s="71"/>
      <c r="O26" s="156"/>
      <c r="P26" s="462"/>
      <c r="Q26" s="462"/>
      <c r="R26" s="463"/>
      <c r="S26" s="463"/>
      <c r="T26" s="465"/>
      <c r="U26" s="583"/>
      <c r="V26" s="455" t="s">
        <v>19</v>
      </c>
      <c r="W26" s="458" t="s">
        <v>355</v>
      </c>
      <c r="X26" s="460" t="s">
        <v>356</v>
      </c>
      <c r="Y26" s="69"/>
      <c r="Z26" s="68"/>
      <c r="AA26" s="68"/>
    </row>
    <row r="27" spans="1:27" s="53" customFormat="1" x14ac:dyDescent="0.2">
      <c r="A27" s="350"/>
      <c r="B27" s="143"/>
      <c r="C27" s="147"/>
      <c r="D27" s="147"/>
      <c r="E27" s="164"/>
      <c r="F27" s="164"/>
      <c r="G27" s="164"/>
      <c r="H27" s="164"/>
      <c r="I27" s="164"/>
      <c r="J27" s="164"/>
      <c r="K27" s="164"/>
      <c r="L27" s="164"/>
      <c r="M27" s="163"/>
      <c r="N27" s="71"/>
      <c r="O27" s="156"/>
      <c r="P27" s="462"/>
      <c r="Q27" s="462"/>
      <c r="R27" s="463"/>
      <c r="S27" s="463"/>
      <c r="T27" s="465"/>
      <c r="U27" s="583" t="str">
        <f>C39</f>
        <v>Sejarah Indonesia</v>
      </c>
      <c r="V27" s="455" t="s">
        <v>7</v>
      </c>
      <c r="W27" s="458" t="s">
        <v>349</v>
      </c>
      <c r="X27" s="459" t="s">
        <v>350</v>
      </c>
      <c r="Y27" s="69"/>
      <c r="Z27" s="68"/>
      <c r="AA27" s="68"/>
    </row>
    <row r="28" spans="1:27" s="53" customFormat="1" x14ac:dyDescent="0.2">
      <c r="A28" s="350"/>
      <c r="B28" s="143"/>
      <c r="C28" s="147"/>
      <c r="D28" s="147"/>
      <c r="E28" s="164"/>
      <c r="F28" s="164"/>
      <c r="G28" s="164"/>
      <c r="H28" s="164"/>
      <c r="I28" s="164"/>
      <c r="J28" s="164"/>
      <c r="K28" s="164"/>
      <c r="L28" s="164"/>
      <c r="M28" s="163"/>
      <c r="N28" s="71"/>
      <c r="O28" s="156"/>
      <c r="P28" s="462"/>
      <c r="Q28" s="462"/>
      <c r="R28" s="463"/>
      <c r="S28" s="463"/>
      <c r="T28" s="465"/>
      <c r="U28" s="583"/>
      <c r="V28" s="455" t="s">
        <v>6</v>
      </c>
      <c r="W28" s="458" t="s">
        <v>351</v>
      </c>
      <c r="X28" s="460" t="s">
        <v>352</v>
      </c>
      <c r="Y28" s="69"/>
      <c r="Z28" s="68"/>
      <c r="AA28" s="68"/>
    </row>
    <row r="29" spans="1:27" s="53" customFormat="1" x14ac:dyDescent="0.2">
      <c r="A29" s="350"/>
      <c r="B29" s="143"/>
      <c r="C29" s="147"/>
      <c r="D29" s="147"/>
      <c r="E29" s="164"/>
      <c r="F29" s="164"/>
      <c r="G29" s="164"/>
      <c r="H29" s="164"/>
      <c r="I29" s="164"/>
      <c r="J29" s="164"/>
      <c r="K29" s="164"/>
      <c r="L29" s="164"/>
      <c r="M29" s="163"/>
      <c r="N29" s="71"/>
      <c r="O29" s="156"/>
      <c r="P29" s="462"/>
      <c r="Q29" s="462"/>
      <c r="R29" s="463"/>
      <c r="S29" s="463"/>
      <c r="T29" s="465"/>
      <c r="U29" s="583"/>
      <c r="V29" s="455" t="s">
        <v>18</v>
      </c>
      <c r="W29" s="458" t="s">
        <v>353</v>
      </c>
      <c r="X29" s="460" t="s">
        <v>354</v>
      </c>
      <c r="Y29" s="69"/>
      <c r="Z29" s="68"/>
      <c r="AA29" s="68"/>
    </row>
    <row r="30" spans="1:27" s="53" customFormat="1" x14ac:dyDescent="0.2">
      <c r="A30" s="350"/>
      <c r="B30" s="143"/>
      <c r="C30" s="147"/>
      <c r="D30" s="147"/>
      <c r="E30" s="164"/>
      <c r="F30" s="164"/>
      <c r="G30" s="164"/>
      <c r="H30" s="164"/>
      <c r="I30" s="164"/>
      <c r="J30" s="164"/>
      <c r="K30" s="164"/>
      <c r="L30" s="164"/>
      <c r="M30" s="163"/>
      <c r="N30" s="71"/>
      <c r="O30" s="156"/>
      <c r="P30" s="462"/>
      <c r="Q30" s="462"/>
      <c r="R30" s="463"/>
      <c r="S30" s="463"/>
      <c r="T30" s="465"/>
      <c r="U30" s="583"/>
      <c r="V30" s="455" t="s">
        <v>19</v>
      </c>
      <c r="W30" s="458" t="s">
        <v>355</v>
      </c>
      <c r="X30" s="460" t="s">
        <v>356</v>
      </c>
      <c r="Y30" s="69"/>
      <c r="Z30" s="68"/>
      <c r="AA30" s="68"/>
    </row>
    <row r="31" spans="1:27" s="53" customFormat="1" ht="15" customHeight="1" x14ac:dyDescent="0.2">
      <c r="A31" s="113" t="s">
        <v>287</v>
      </c>
      <c r="B31" s="113"/>
      <c r="C31" s="113"/>
      <c r="D31" s="113"/>
      <c r="E31" s="143"/>
      <c r="F31" s="143"/>
      <c r="G31" s="143"/>
      <c r="H31" s="143"/>
      <c r="I31" s="143"/>
      <c r="J31" s="143"/>
      <c r="K31" s="143"/>
      <c r="L31" s="143"/>
      <c r="M31" s="163"/>
      <c r="N31" s="71"/>
      <c r="O31" s="156"/>
      <c r="P31" s="462"/>
      <c r="Q31" s="462"/>
      <c r="R31" s="463"/>
      <c r="S31" s="463"/>
      <c r="T31" s="465"/>
      <c r="U31" s="583" t="str">
        <f>C40</f>
        <v>Bahasa Inggris</v>
      </c>
      <c r="V31" s="455" t="s">
        <v>7</v>
      </c>
      <c r="W31" s="458" t="s">
        <v>349</v>
      </c>
      <c r="X31" s="459" t="s">
        <v>350</v>
      </c>
      <c r="Y31" s="69"/>
      <c r="Z31" s="68"/>
      <c r="AA31" s="68"/>
    </row>
    <row r="32" spans="1:27" x14ac:dyDescent="0.2">
      <c r="A32" s="113"/>
      <c r="B32" s="165" t="s">
        <v>307</v>
      </c>
      <c r="C32" s="113"/>
      <c r="D32" s="113"/>
      <c r="E32" s="143"/>
      <c r="F32" s="143"/>
      <c r="G32" s="143"/>
      <c r="H32" s="143"/>
      <c r="I32" s="143"/>
      <c r="J32" s="143"/>
      <c r="K32" s="143"/>
      <c r="L32" s="143"/>
      <c r="M32" s="163"/>
      <c r="O32" s="52"/>
      <c r="P32" s="52"/>
      <c r="Q32" s="52"/>
      <c r="R32" s="52"/>
      <c r="S32" s="52"/>
      <c r="T32" s="190"/>
      <c r="U32" s="583"/>
      <c r="V32" s="455" t="s">
        <v>6</v>
      </c>
      <c r="W32" s="458" t="s">
        <v>351</v>
      </c>
      <c r="X32" s="460" t="s">
        <v>352</v>
      </c>
      <c r="Y32" s="58"/>
    </row>
    <row r="33" spans="1:25" ht="16.5" thickBot="1" x14ac:dyDescent="0.25">
      <c r="A33" s="350"/>
      <c r="B33" s="300" t="s">
        <v>288</v>
      </c>
      <c r="C33" s="605" t="s">
        <v>181</v>
      </c>
      <c r="D33" s="605"/>
      <c r="E33" s="605"/>
      <c r="F33" s="605"/>
      <c r="G33" s="605"/>
      <c r="H33" s="195" t="s">
        <v>65</v>
      </c>
      <c r="I33" s="196" t="s">
        <v>4</v>
      </c>
      <c r="J33" s="606" t="s">
        <v>64</v>
      </c>
      <c r="K33" s="606"/>
      <c r="L33" s="606"/>
      <c r="M33" s="165"/>
      <c r="O33" s="52"/>
      <c r="P33" s="52"/>
      <c r="Q33" s="52"/>
      <c r="R33" s="52"/>
      <c r="S33" s="52"/>
      <c r="T33" s="190"/>
      <c r="U33" s="583"/>
      <c r="V33" s="455" t="s">
        <v>18</v>
      </c>
      <c r="W33" s="458" t="s">
        <v>353</v>
      </c>
      <c r="X33" s="460" t="s">
        <v>354</v>
      </c>
      <c r="Y33" s="58"/>
    </row>
    <row r="34" spans="1:25" ht="18" customHeight="1" x14ac:dyDescent="0.2">
      <c r="A34" s="350"/>
      <c r="B34" s="334" t="s">
        <v>261</v>
      </c>
      <c r="C34" s="192"/>
      <c r="D34" s="192"/>
      <c r="E34" s="192"/>
      <c r="F34" s="192"/>
      <c r="G34" s="192"/>
      <c r="H34" s="192"/>
      <c r="I34" s="192"/>
      <c r="J34" s="192"/>
      <c r="K34" s="192"/>
      <c r="L34" s="193"/>
      <c r="M34" s="165"/>
      <c r="O34" s="52"/>
      <c r="P34" s="52"/>
      <c r="Q34" s="52"/>
      <c r="R34" s="52"/>
      <c r="S34" s="52"/>
      <c r="T34" s="59"/>
      <c r="U34" s="583"/>
      <c r="V34" s="455" t="s">
        <v>19</v>
      </c>
      <c r="W34" s="458" t="s">
        <v>355</v>
      </c>
      <c r="X34" s="460" t="s">
        <v>356</v>
      </c>
      <c r="Y34" s="58"/>
    </row>
    <row r="35" spans="1:25" ht="33.950000000000003" customHeight="1" x14ac:dyDescent="0.2">
      <c r="A35" s="351"/>
      <c r="B35" s="476">
        <v>1</v>
      </c>
      <c r="C35" s="602" t="str">
        <f>LEGER!F$6</f>
        <v>Pendidikan Agama dan Budi Pekerti</v>
      </c>
      <c r="D35" s="603"/>
      <c r="E35" s="603"/>
      <c r="F35" s="603"/>
      <c r="G35" s="604"/>
      <c r="H35" s="477">
        <f>IFERROR(VLOOKUP($E$4&amp;"A",leggerx1,3,0),"")</f>
        <v>50</v>
      </c>
      <c r="I35" s="477" t="str">
        <f>IFERROR(VLOOKUP($E$4&amp;"C",leggerx1,3,0),"")</f>
        <v>D</v>
      </c>
      <c r="J35" s="598" t="str">
        <f>IFERROR(VLOOKUP(I35,$V$11:$X$14,2,0)," ")</f>
        <v>Baru menguasai sebagian kecil kompetensi dasar pengetahuan dan perlu bimbingan</v>
      </c>
      <c r="K35" s="599"/>
      <c r="L35" s="600"/>
      <c r="M35" s="205"/>
      <c r="O35" s="52"/>
      <c r="P35" s="52"/>
      <c r="Q35" s="52"/>
      <c r="R35" s="52"/>
      <c r="S35" s="52"/>
      <c r="T35" s="59"/>
      <c r="U35" s="583" t="str">
        <f>C42</f>
        <v>Seni Budaya</v>
      </c>
      <c r="V35" s="455" t="s">
        <v>7</v>
      </c>
      <c r="W35" s="458" t="s">
        <v>349</v>
      </c>
      <c r="X35" s="459" t="s">
        <v>350</v>
      </c>
    </row>
    <row r="36" spans="1:25" ht="33.950000000000003" customHeight="1" x14ac:dyDescent="0.2">
      <c r="A36" s="351"/>
      <c r="B36" s="476">
        <v>2</v>
      </c>
      <c r="C36" s="602" t="str">
        <f>LEGER!G$6</f>
        <v>Pendidikan Pancasila dan Kewarganegaraan</v>
      </c>
      <c r="D36" s="603"/>
      <c r="E36" s="603"/>
      <c r="F36" s="603"/>
      <c r="G36" s="604"/>
      <c r="H36" s="477">
        <f>IFERROR(VLOOKUP($E$4&amp;"A",leggerx1,4,0),"")</f>
        <v>72</v>
      </c>
      <c r="I36" s="477" t="str">
        <f>IFERROR(VLOOKUP($E$4&amp;"C",leggerx1,4,0),"")</f>
        <v>C</v>
      </c>
      <c r="J36" s="598" t="str">
        <f>IFERROR(VLOOKUP(I36,$V$15:$X$18,2,0),"")</f>
        <v>Cukup telah menguasai beberapa kompetensi dasar pengetahuan</v>
      </c>
      <c r="K36" s="599"/>
      <c r="L36" s="600"/>
      <c r="M36" s="166"/>
      <c r="N36" s="205"/>
      <c r="O36" s="52"/>
      <c r="P36" s="52"/>
      <c r="Q36" s="52"/>
      <c r="R36" s="52"/>
      <c r="S36" s="52"/>
      <c r="T36" s="59"/>
      <c r="U36" s="583"/>
      <c r="V36" s="455" t="s">
        <v>6</v>
      </c>
      <c r="W36" s="458" t="s">
        <v>351</v>
      </c>
      <c r="X36" s="460" t="s">
        <v>352</v>
      </c>
    </row>
    <row r="37" spans="1:25" ht="33.950000000000003" customHeight="1" x14ac:dyDescent="0.2">
      <c r="A37" s="351"/>
      <c r="B37" s="476">
        <v>3</v>
      </c>
      <c r="C37" s="602" t="str">
        <f>LEGER!H$6</f>
        <v>Bahasa Indonesia</v>
      </c>
      <c r="D37" s="603"/>
      <c r="E37" s="603"/>
      <c r="F37" s="603"/>
      <c r="G37" s="604"/>
      <c r="H37" s="477">
        <f>IFERROR(VLOOKUP($E$4&amp;"A",leggerx1,5,0),"")</f>
        <v>73</v>
      </c>
      <c r="I37" s="477" t="str">
        <f>IFERROR(VLOOKUP($E$4&amp;"C",leggerx1,5,0),"")</f>
        <v>C</v>
      </c>
      <c r="J37" s="598" t="str">
        <f>IFERROR(VLOOKUP(I37,$V$19:$X$22,2,0),"")</f>
        <v>Cukup telah menguasai beberapa kompetensi dasar pengetahuan</v>
      </c>
      <c r="K37" s="599"/>
      <c r="L37" s="600"/>
      <c r="M37" s="165"/>
      <c r="O37" s="52"/>
      <c r="P37" s="52"/>
      <c r="Q37" s="52"/>
      <c r="R37" s="52"/>
      <c r="S37" s="52"/>
      <c r="T37" s="59"/>
      <c r="U37" s="583"/>
      <c r="V37" s="455" t="s">
        <v>18</v>
      </c>
      <c r="W37" s="458" t="s">
        <v>353</v>
      </c>
      <c r="X37" s="460" t="s">
        <v>354</v>
      </c>
    </row>
    <row r="38" spans="1:25" ht="33.950000000000003" customHeight="1" x14ac:dyDescent="0.2">
      <c r="A38" s="351"/>
      <c r="B38" s="476">
        <v>4</v>
      </c>
      <c r="C38" s="602" t="str">
        <f>LEGER!I$6</f>
        <v>Matematika</v>
      </c>
      <c r="D38" s="603"/>
      <c r="E38" s="603"/>
      <c r="F38" s="603"/>
      <c r="G38" s="604"/>
      <c r="H38" s="477">
        <f>IFERROR(VLOOKUP($E$4&amp;"A",leggerx1,6,0),"")</f>
        <v>65</v>
      </c>
      <c r="I38" s="477" t="str">
        <f>IFERROR(VLOOKUP($E$4&amp;"C",leggerx1,6,0),"")</f>
        <v>D</v>
      </c>
      <c r="J38" s="598" t="str">
        <f>IFERROR(VLOOKUP(I38,$V$23:$X$30,2,0),"")</f>
        <v>Baru menguasai sebagian kecil kompetensi dasar pengetahuan dan perlu bimbingan</v>
      </c>
      <c r="K38" s="599"/>
      <c r="L38" s="600"/>
      <c r="M38" s="165"/>
      <c r="O38" s="52"/>
      <c r="P38" s="52"/>
      <c r="Q38" s="52"/>
      <c r="R38" s="52"/>
      <c r="S38" s="52"/>
      <c r="T38" s="59"/>
      <c r="U38" s="583"/>
      <c r="V38" s="455" t="s">
        <v>19</v>
      </c>
      <c r="W38" s="458" t="s">
        <v>355</v>
      </c>
      <c r="X38" s="460" t="s">
        <v>356</v>
      </c>
    </row>
    <row r="39" spans="1:25" ht="33.950000000000003" customHeight="1" x14ac:dyDescent="0.2">
      <c r="A39" s="351"/>
      <c r="B39" s="476">
        <v>5</v>
      </c>
      <c r="C39" s="602" t="str">
        <f>LEGER!J$6</f>
        <v>Sejarah Indonesia</v>
      </c>
      <c r="D39" s="603"/>
      <c r="E39" s="603"/>
      <c r="F39" s="603"/>
      <c r="G39" s="604"/>
      <c r="H39" s="477">
        <f>IFERROR(VLOOKUP($E$4&amp;"A",leggerx1,7,0),"")</f>
        <v>50</v>
      </c>
      <c r="I39" s="477" t="str">
        <f>IFERROR(VLOOKUP($E$4&amp;"C",leggerx1,7,0),"")</f>
        <v>D</v>
      </c>
      <c r="J39" s="598" t="str">
        <f>IFERROR(VLOOKUP(I39,$V$27:$X$30,2,0),"")</f>
        <v>Baru menguasai sebagian kecil kompetensi dasar pengetahuan dan perlu bimbingan</v>
      </c>
      <c r="K39" s="599"/>
      <c r="L39" s="600"/>
      <c r="M39" s="165"/>
      <c r="O39" s="52"/>
      <c r="P39" s="52"/>
      <c r="Q39" s="52"/>
      <c r="R39" s="52"/>
      <c r="S39" s="52"/>
      <c r="T39" s="59"/>
      <c r="U39" s="583" t="str">
        <f>C43</f>
        <v>Pendidikan Jasmani, Olah Raga dan Kesehatan</v>
      </c>
      <c r="V39" s="455" t="s">
        <v>7</v>
      </c>
      <c r="W39" s="458" t="s">
        <v>349</v>
      </c>
      <c r="X39" s="459" t="s">
        <v>350</v>
      </c>
    </row>
    <row r="40" spans="1:25" ht="33.950000000000003" customHeight="1" x14ac:dyDescent="0.2">
      <c r="A40" s="351"/>
      <c r="B40" s="476">
        <v>6</v>
      </c>
      <c r="C40" s="602" t="str">
        <f>LEGER!K$6</f>
        <v>Bahasa Inggris</v>
      </c>
      <c r="D40" s="603"/>
      <c r="E40" s="603"/>
      <c r="F40" s="603"/>
      <c r="G40" s="604"/>
      <c r="H40" s="477">
        <f>IFERROR(VLOOKUP($E$4&amp;"A",leggerx1,8,0),"")</f>
        <v>57</v>
      </c>
      <c r="I40" s="477" t="str">
        <f>IFERROR(VLOOKUP($E$4&amp;"C",leggerx1,8,0),"")</f>
        <v>D</v>
      </c>
      <c r="J40" s="598" t="str">
        <f>IFERROR(VLOOKUP(I40,$V$31:$X$34,2,0),"")</f>
        <v>Baru menguasai sebagian kecil kompetensi dasar pengetahuan dan perlu bimbingan</v>
      </c>
      <c r="K40" s="599"/>
      <c r="L40" s="600"/>
      <c r="M40" s="165"/>
      <c r="O40" s="52"/>
      <c r="P40" s="52"/>
      <c r="Q40" s="52"/>
      <c r="R40" s="52"/>
      <c r="S40" s="52"/>
      <c r="T40" s="59"/>
      <c r="U40" s="583"/>
      <c r="V40" s="455" t="s">
        <v>6</v>
      </c>
      <c r="W40" s="458" t="s">
        <v>351</v>
      </c>
      <c r="X40" s="460" t="s">
        <v>352</v>
      </c>
    </row>
    <row r="41" spans="1:25" ht="18" customHeight="1" x14ac:dyDescent="0.2">
      <c r="A41" s="351"/>
      <c r="B41" s="470" t="s">
        <v>262</v>
      </c>
      <c r="C41" s="471"/>
      <c r="D41" s="471"/>
      <c r="E41" s="471"/>
      <c r="F41" s="471"/>
      <c r="G41" s="471"/>
      <c r="H41" s="471"/>
      <c r="I41" s="471"/>
      <c r="J41" s="52"/>
      <c r="K41" s="148"/>
      <c r="L41" s="194"/>
      <c r="M41" s="165"/>
      <c r="O41" s="52"/>
      <c r="P41" s="52"/>
      <c r="Q41" s="52"/>
      <c r="R41" s="52"/>
      <c r="S41" s="52"/>
      <c r="T41" s="59"/>
      <c r="U41" s="583"/>
      <c r="V41" s="455" t="s">
        <v>18</v>
      </c>
      <c r="W41" s="458" t="s">
        <v>353</v>
      </c>
      <c r="X41" s="460" t="s">
        <v>354</v>
      </c>
    </row>
    <row r="42" spans="1:25" ht="33.950000000000003" customHeight="1" x14ac:dyDescent="0.2">
      <c r="A42" s="351"/>
      <c r="B42" s="476">
        <v>1</v>
      </c>
      <c r="C42" s="602" t="str">
        <f>LEGER!L$6</f>
        <v>Seni Budaya</v>
      </c>
      <c r="D42" s="603"/>
      <c r="E42" s="603"/>
      <c r="F42" s="603"/>
      <c r="G42" s="604"/>
      <c r="H42" s="477">
        <f>IFERROR(VLOOKUP($E$4&amp;"A",leggerx1,9,0),"")</f>
        <v>75</v>
      </c>
      <c r="I42" s="477" t="str">
        <f>IFERROR(VLOOKUP($E$4&amp;"C",leggerx1,9,0),"")</f>
        <v>C</v>
      </c>
      <c r="J42" s="598" t="str">
        <f>IFERROR(VLOOKUP(I42,$V$35:$X$38,2,0),"")</f>
        <v>Cukup telah menguasai beberapa kompetensi dasar pengetahuan</v>
      </c>
      <c r="K42" s="599"/>
      <c r="L42" s="600"/>
      <c r="M42" s="165"/>
      <c r="O42" s="52"/>
      <c r="P42" s="52"/>
      <c r="Q42" s="52"/>
      <c r="R42" s="52"/>
      <c r="S42" s="52"/>
      <c r="T42" s="59"/>
      <c r="U42" s="583"/>
      <c r="V42" s="455" t="s">
        <v>19</v>
      </c>
      <c r="W42" s="458" t="s">
        <v>355</v>
      </c>
      <c r="X42" s="460" t="s">
        <v>356</v>
      </c>
    </row>
    <row r="43" spans="1:25" ht="33.950000000000003" customHeight="1" x14ac:dyDescent="0.2">
      <c r="A43" s="351"/>
      <c r="B43" s="476">
        <v>2</v>
      </c>
      <c r="C43" s="602" t="str">
        <f>LEGER!M$6</f>
        <v>Pendidikan Jasmani, Olah Raga dan Kesehatan</v>
      </c>
      <c r="D43" s="603"/>
      <c r="E43" s="603"/>
      <c r="F43" s="603"/>
      <c r="G43" s="604"/>
      <c r="H43" s="478">
        <f>IFERROR(VLOOKUP($E$4&amp;"A",leggerx1,10,0),"")</f>
        <v>65</v>
      </c>
      <c r="I43" s="478" t="str">
        <f>IFERROR(VLOOKUP($E$4&amp;"C",leggerx1,10,0),"")</f>
        <v>D</v>
      </c>
      <c r="J43" s="598" t="str">
        <f>IFERROR(VLOOKUP(I43,$V$39:$X$42,2,0),"")</f>
        <v>Baru menguasai sebagian kecil kompetensi dasar pengetahuan dan perlu bimbingan</v>
      </c>
      <c r="K43" s="599"/>
      <c r="L43" s="600"/>
      <c r="M43" s="165"/>
      <c r="O43" s="52"/>
      <c r="P43" s="52"/>
      <c r="Q43" s="52"/>
      <c r="R43" s="52"/>
      <c r="S43" s="52"/>
      <c r="T43" s="59"/>
      <c r="U43" s="583" t="str">
        <f>C44</f>
        <v>Prakarya dan Kewirausahaan</v>
      </c>
      <c r="V43" s="455" t="s">
        <v>7</v>
      </c>
      <c r="W43" s="458" t="s">
        <v>349</v>
      </c>
      <c r="X43" s="459" t="s">
        <v>350</v>
      </c>
    </row>
    <row r="44" spans="1:25" ht="33.950000000000003" customHeight="1" x14ac:dyDescent="0.2">
      <c r="A44" s="351"/>
      <c r="B44" s="476">
        <v>3</v>
      </c>
      <c r="C44" s="602" t="str">
        <f>LEGER!N$6</f>
        <v>Prakarya dan Kewirausahaan</v>
      </c>
      <c r="D44" s="603"/>
      <c r="E44" s="603"/>
      <c r="F44" s="603"/>
      <c r="G44" s="604"/>
      <c r="H44" s="478">
        <f>IFERROR(VLOOKUP($E$4&amp;"A",leggerx1,11,0),"")</f>
        <v>50</v>
      </c>
      <c r="I44" s="478" t="str">
        <f>IFERROR(VLOOKUP($E$4&amp;"C",leggerx1,11,0),"")</f>
        <v>D</v>
      </c>
      <c r="J44" s="598" t="str">
        <f>IFERROR(VLOOKUP(I44,$V$43:$X$46,2,0),"")</f>
        <v>Baru menguasai sebagian kecil kompetensi dasar pengetahuan dan perlu bimbingan</v>
      </c>
      <c r="K44" s="599"/>
      <c r="L44" s="600"/>
      <c r="M44" s="165"/>
      <c r="O44" s="52"/>
      <c r="P44" s="52"/>
      <c r="Q44" s="52"/>
      <c r="R44" s="52"/>
      <c r="S44" s="52"/>
      <c r="T44" s="59"/>
      <c r="U44" s="583"/>
      <c r="V44" s="455" t="s">
        <v>6</v>
      </c>
      <c r="W44" s="458" t="s">
        <v>351</v>
      </c>
      <c r="X44" s="460" t="s">
        <v>352</v>
      </c>
    </row>
    <row r="45" spans="1:25" ht="33.950000000000003" customHeight="1" x14ac:dyDescent="0.2">
      <c r="A45" s="351"/>
      <c r="B45" s="476">
        <v>4</v>
      </c>
      <c r="C45" s="602" t="str">
        <f>LEGER!O$6</f>
        <v>Bahasa Sunda</v>
      </c>
      <c r="D45" s="603"/>
      <c r="E45" s="603"/>
      <c r="F45" s="603"/>
      <c r="G45" s="604"/>
      <c r="H45" s="478">
        <f>IFERROR(VLOOKUP($E$4&amp;"A",leggerx1,12,0),"")</f>
        <v>23</v>
      </c>
      <c r="I45" s="478" t="str">
        <f>IFERROR(VLOOKUP($E$4&amp;"C",leggerx1,12,0),"")</f>
        <v>D</v>
      </c>
      <c r="J45" s="598" t="str">
        <f>IFERROR(VLOOKUP(I45,$V$47:$X$50,2,0),"")</f>
        <v>Baru menguasai sebagian kecil kompetensi dasar pengetahuan dan perlu bimbingan</v>
      </c>
      <c r="K45" s="599"/>
      <c r="L45" s="600"/>
      <c r="M45" s="165"/>
      <c r="O45" s="52"/>
      <c r="P45" s="52"/>
      <c r="Q45" s="52"/>
      <c r="R45" s="52"/>
      <c r="S45" s="52"/>
      <c r="T45" s="59"/>
      <c r="U45" s="583"/>
      <c r="V45" s="455" t="s">
        <v>18</v>
      </c>
      <c r="W45" s="458" t="s">
        <v>353</v>
      </c>
      <c r="X45" s="460" t="s">
        <v>354</v>
      </c>
    </row>
    <row r="46" spans="1:25" ht="18" customHeight="1" x14ac:dyDescent="0.2">
      <c r="A46" s="350"/>
      <c r="B46" s="470" t="s">
        <v>263</v>
      </c>
      <c r="C46" s="471"/>
      <c r="D46" s="471"/>
      <c r="E46" s="471"/>
      <c r="F46" s="471"/>
      <c r="G46" s="471"/>
      <c r="H46" s="471"/>
      <c r="I46" s="471"/>
      <c r="J46" s="52"/>
      <c r="K46" s="148"/>
      <c r="L46" s="194"/>
      <c r="M46" s="165"/>
      <c r="O46" s="52"/>
      <c r="P46" s="52"/>
      <c r="Q46" s="52"/>
      <c r="R46" s="52"/>
      <c r="S46" s="52"/>
      <c r="U46" s="583"/>
      <c r="V46" s="455" t="s">
        <v>19</v>
      </c>
      <c r="W46" s="458" t="s">
        <v>355</v>
      </c>
      <c r="X46" s="460" t="s">
        <v>356</v>
      </c>
    </row>
    <row r="47" spans="1:25" ht="33.950000000000003" customHeight="1" x14ac:dyDescent="0.2">
      <c r="A47" s="351"/>
      <c r="B47" s="476">
        <v>1</v>
      </c>
      <c r="C47" s="602" t="str">
        <f>LEGER!P$6</f>
        <v>G e o g r a f i</v>
      </c>
      <c r="D47" s="603"/>
      <c r="E47" s="603"/>
      <c r="F47" s="603"/>
      <c r="G47" s="604"/>
      <c r="H47" s="478">
        <f>IFERROR(VLOOKUP($E$4&amp;"A",leggerx1,13,0),"")</f>
        <v>35</v>
      </c>
      <c r="I47" s="478" t="str">
        <f>IFERROR(VLOOKUP($E$4&amp;"C",leggerx1,13,0),"")</f>
        <v>D</v>
      </c>
      <c r="J47" s="598" t="str">
        <f>IFERROR(VLOOKUP(I47,$V$51:$X$54,2,0),"")</f>
        <v>Baru menguasai sebagian kecil kompetensi dasar pengetahuan dan perlu bimbingan</v>
      </c>
      <c r="K47" s="599"/>
      <c r="L47" s="600"/>
      <c r="M47" s="165"/>
      <c r="O47" s="52"/>
      <c r="P47" s="52"/>
      <c r="Q47" s="52"/>
      <c r="R47" s="52"/>
      <c r="S47" s="52"/>
      <c r="U47" s="583" t="str">
        <f>C45</f>
        <v>Bahasa Sunda</v>
      </c>
      <c r="V47" s="455" t="s">
        <v>7</v>
      </c>
      <c r="W47" s="458" t="s">
        <v>349</v>
      </c>
      <c r="X47" s="459" t="s">
        <v>350</v>
      </c>
    </row>
    <row r="48" spans="1:25" ht="33.950000000000003" customHeight="1" x14ac:dyDescent="0.2">
      <c r="A48" s="351"/>
      <c r="B48" s="476">
        <v>2</v>
      </c>
      <c r="C48" s="602" t="str">
        <f>LEGER!Q$6</f>
        <v>S e j a r a h</v>
      </c>
      <c r="D48" s="603"/>
      <c r="E48" s="603"/>
      <c r="F48" s="603"/>
      <c r="G48" s="604"/>
      <c r="H48" s="478">
        <f>IFERROR(VLOOKUP($E$4&amp;"A",leggerx1,14,0),"")</f>
        <v>79</v>
      </c>
      <c r="I48" s="478" t="str">
        <f>IFERROR(VLOOKUP($E$4&amp;"C",leggerx1,14,0),"")</f>
        <v>C</v>
      </c>
      <c r="J48" s="598" t="str">
        <f>IFERROR(VLOOKUP(I48,$V$55:$X$58,2,0),"")</f>
        <v>Cukup telah menguasai beberapa kompetensi dasar pengetahuan</v>
      </c>
      <c r="K48" s="599"/>
      <c r="L48" s="600"/>
      <c r="M48" s="165"/>
      <c r="O48" s="52"/>
      <c r="P48" s="52"/>
      <c r="Q48" s="52"/>
      <c r="R48" s="52"/>
      <c r="S48" s="52"/>
      <c r="U48" s="583"/>
      <c r="V48" s="455" t="s">
        <v>6</v>
      </c>
      <c r="W48" s="458" t="s">
        <v>351</v>
      </c>
      <c r="X48" s="460" t="s">
        <v>352</v>
      </c>
    </row>
    <row r="49" spans="1:24" ht="33.950000000000003" customHeight="1" x14ac:dyDescent="0.2">
      <c r="A49" s="351"/>
      <c r="B49" s="476">
        <v>3</v>
      </c>
      <c r="C49" s="602" t="str">
        <f>LEGER!R$6</f>
        <v>S o s i o l o g i</v>
      </c>
      <c r="D49" s="603"/>
      <c r="E49" s="603"/>
      <c r="F49" s="603"/>
      <c r="G49" s="604"/>
      <c r="H49" s="478">
        <f>IFERROR(VLOOKUP($E$4&amp;"A",leggerx1,15,0),"")</f>
        <v>75</v>
      </c>
      <c r="I49" s="478" t="str">
        <f>IFERROR(VLOOKUP($E$4&amp;"C",leggerx1,15,0),"")</f>
        <v>C</v>
      </c>
      <c r="J49" s="598" t="str">
        <f>IFERROR(VLOOKUP(I49,$V$59:$X$62,2,0),"")</f>
        <v>Cukup telah menguasai beberapa kompetensi dasar pengetahuan</v>
      </c>
      <c r="K49" s="599"/>
      <c r="L49" s="600"/>
      <c r="M49" s="165"/>
      <c r="O49" s="52"/>
      <c r="P49" s="52"/>
      <c r="Q49" s="52"/>
      <c r="R49" s="52"/>
      <c r="S49" s="52"/>
      <c r="U49" s="583"/>
      <c r="V49" s="455" t="s">
        <v>18</v>
      </c>
      <c r="W49" s="458" t="s">
        <v>353</v>
      </c>
      <c r="X49" s="460" t="s">
        <v>354</v>
      </c>
    </row>
    <row r="50" spans="1:24" ht="33.950000000000003" customHeight="1" x14ac:dyDescent="0.2">
      <c r="A50" s="351"/>
      <c r="B50" s="476">
        <v>4</v>
      </c>
      <c r="C50" s="602" t="str">
        <f>LEGER!S$6</f>
        <v>E k o n o m i</v>
      </c>
      <c r="D50" s="603"/>
      <c r="E50" s="603"/>
      <c r="F50" s="603"/>
      <c r="G50" s="604"/>
      <c r="H50" s="478">
        <f>IFERROR(VLOOKUP($E$4&amp;"A",leggerx1,16,0),"")</f>
        <v>53</v>
      </c>
      <c r="I50" s="478" t="str">
        <f>IFERROR(VLOOKUP($E$4&amp;"C",leggerx1,16,0),"")</f>
        <v>D</v>
      </c>
      <c r="J50" s="598" t="str">
        <f>IFERROR(VLOOKUP(I50,$V$63:$X$66,2,0),"")</f>
        <v>Baru menguasai sebagian kecil kompetensi dasar pengetahuan dan perlu bimbingan</v>
      </c>
      <c r="K50" s="599"/>
      <c r="L50" s="600"/>
      <c r="M50" s="165"/>
      <c r="O50" s="52"/>
      <c r="P50" s="52"/>
      <c r="Q50" s="52"/>
      <c r="R50" s="52"/>
      <c r="S50" s="52"/>
      <c r="U50" s="583"/>
      <c r="V50" s="455" t="s">
        <v>19</v>
      </c>
      <c r="W50" s="458" t="s">
        <v>355</v>
      </c>
      <c r="X50" s="460" t="s">
        <v>356</v>
      </c>
    </row>
    <row r="51" spans="1:24" ht="33.950000000000003" customHeight="1" x14ac:dyDescent="0.2">
      <c r="A51" s="351"/>
      <c r="B51" s="476">
        <v>5</v>
      </c>
      <c r="C51" s="602" t="str">
        <f>LEGER!T$6</f>
        <v>Bahasa Inggris</v>
      </c>
      <c r="D51" s="603"/>
      <c r="E51" s="603"/>
      <c r="F51" s="603"/>
      <c r="G51" s="604"/>
      <c r="H51" s="478">
        <f>IFERROR(VLOOKUP($E$4&amp;"A",leggerx1,17,0),"")</f>
        <v>42</v>
      </c>
      <c r="I51" s="478" t="str">
        <f>IFERROR(VLOOKUP($E$4&amp;"C",leggerx1,17,0),"")</f>
        <v>D</v>
      </c>
      <c r="J51" s="598" t="str">
        <f>IFERROR(VLOOKUP(I51,$V$67:$X$70,2,0),"")</f>
        <v>Baru menguasai sebagian kecil kompetensi dasar pengetahuan dan perlu bimbingan</v>
      </c>
      <c r="K51" s="599"/>
      <c r="L51" s="600"/>
      <c r="M51" s="165"/>
      <c r="O51" s="52"/>
      <c r="P51" s="52"/>
      <c r="Q51" s="52"/>
      <c r="R51" s="52"/>
      <c r="S51" s="52"/>
      <c r="U51" s="583" t="str">
        <f>C47</f>
        <v>G e o g r a f i</v>
      </c>
      <c r="V51" s="455" t="s">
        <v>7</v>
      </c>
      <c r="W51" s="458" t="s">
        <v>349</v>
      </c>
      <c r="X51" s="459" t="s">
        <v>350</v>
      </c>
    </row>
    <row r="52" spans="1:24" ht="33.950000000000003" customHeight="1" x14ac:dyDescent="0.2">
      <c r="A52" s="351"/>
      <c r="B52" s="476">
        <v>6</v>
      </c>
      <c r="C52" s="602" t="str">
        <f>LEGER!U$6</f>
        <v>B i o l o g i</v>
      </c>
      <c r="D52" s="603"/>
      <c r="E52" s="603"/>
      <c r="F52" s="603"/>
      <c r="G52" s="604"/>
      <c r="H52" s="478">
        <f>IFERROR(VLOOKUP($E$4&amp;"A",leggerx1,18,0),"")</f>
        <v>72</v>
      </c>
      <c r="I52" s="478" t="str">
        <f>IFERROR(VLOOKUP($E$4&amp;"C",leggerx1,18,0),"")</f>
        <v>C</v>
      </c>
      <c r="J52" s="598" t="str">
        <f>IFERROR(VLOOKUP(I52,$V$71:$X$74,2,0),"")</f>
        <v>Cukup telah menguasai beberapa kompetensi dasar pengetahuan</v>
      </c>
      <c r="K52" s="599"/>
      <c r="L52" s="600"/>
      <c r="M52" s="165"/>
      <c r="O52" s="52"/>
      <c r="P52" s="52"/>
      <c r="Q52" s="52"/>
      <c r="R52" s="52"/>
      <c r="S52" s="52"/>
      <c r="U52" s="583"/>
      <c r="V52" s="455" t="s">
        <v>6</v>
      </c>
      <c r="W52" s="458" t="s">
        <v>351</v>
      </c>
      <c r="X52" s="460" t="s">
        <v>352</v>
      </c>
    </row>
    <row r="53" spans="1:24" ht="33.950000000000003" customHeight="1" x14ac:dyDescent="0.2">
      <c r="A53" s="350"/>
      <c r="B53" s="476">
        <v>7</v>
      </c>
      <c r="C53" s="602" t="str">
        <f>LEGER!V$6</f>
        <v>Baca Tulis Qur'an</v>
      </c>
      <c r="D53" s="603"/>
      <c r="E53" s="603"/>
      <c r="F53" s="603"/>
      <c r="G53" s="604"/>
      <c r="H53" s="478">
        <f>IFERROR(VLOOKUP($E$4&amp;"A",leggerx1,19,0),"")</f>
        <v>75</v>
      </c>
      <c r="I53" s="478" t="str">
        <f>IFERROR(VLOOKUP($E$4&amp;"C",leggerx1,19,0),"")</f>
        <v>C</v>
      </c>
      <c r="J53" s="598" t="str">
        <f>IFERROR(VLOOKUP(I53,$V$75:$X$78,2,0),"")</f>
        <v>Cukup telah menguasai beberapa kompetensi dasar pengetahuan</v>
      </c>
      <c r="K53" s="599"/>
      <c r="L53" s="600"/>
      <c r="M53" s="165"/>
      <c r="O53" s="52"/>
      <c r="P53" s="52"/>
      <c r="Q53" s="52"/>
      <c r="R53" s="52"/>
      <c r="S53" s="52"/>
      <c r="U53" s="583"/>
      <c r="V53" s="455" t="s">
        <v>18</v>
      </c>
      <c r="W53" s="458" t="s">
        <v>353</v>
      </c>
      <c r="X53" s="460" t="s">
        <v>354</v>
      </c>
    </row>
    <row r="54" spans="1:24" x14ac:dyDescent="0.2">
      <c r="A54" s="352"/>
      <c r="B54" s="147"/>
      <c r="C54" s="141"/>
      <c r="D54" s="141"/>
      <c r="E54" s="141"/>
      <c r="F54" s="141"/>
      <c r="G54" s="141"/>
      <c r="H54" s="144"/>
      <c r="I54" s="145"/>
      <c r="J54" s="146"/>
      <c r="K54" s="145"/>
      <c r="L54" s="146"/>
      <c r="M54" s="165"/>
      <c r="O54" s="52"/>
      <c r="P54" s="52"/>
      <c r="Q54" s="52"/>
      <c r="R54" s="52"/>
      <c r="S54" s="52"/>
      <c r="U54" s="583"/>
      <c r="V54" s="455" t="s">
        <v>19</v>
      </c>
      <c r="W54" s="458" t="s">
        <v>355</v>
      </c>
      <c r="X54" s="460" t="s">
        <v>356</v>
      </c>
    </row>
    <row r="55" spans="1:24" ht="17.100000000000001" customHeight="1" x14ac:dyDescent="0.2">
      <c r="A55" s="113" t="s">
        <v>286</v>
      </c>
      <c r="B55" s="113"/>
      <c r="C55" s="113"/>
      <c r="D55" s="113"/>
      <c r="E55" s="143"/>
      <c r="F55" s="143"/>
      <c r="G55" s="143"/>
      <c r="H55" s="143"/>
      <c r="I55" s="143"/>
      <c r="J55" s="143"/>
      <c r="K55" s="143"/>
      <c r="L55" s="143"/>
      <c r="M55" s="165"/>
      <c r="O55" s="52"/>
      <c r="P55" s="52"/>
      <c r="Q55" s="52"/>
      <c r="R55" s="52"/>
      <c r="S55" s="52"/>
      <c r="U55" s="583" t="str">
        <f>C48</f>
        <v>S e j a r a h</v>
      </c>
      <c r="V55" s="455" t="s">
        <v>7</v>
      </c>
      <c r="W55" s="458" t="s">
        <v>349</v>
      </c>
      <c r="X55" s="459" t="s">
        <v>350</v>
      </c>
    </row>
    <row r="56" spans="1:24" ht="17.100000000000001" customHeight="1" x14ac:dyDescent="0.2">
      <c r="A56" s="113"/>
      <c r="B56" s="165" t="s">
        <v>307</v>
      </c>
      <c r="C56" s="113"/>
      <c r="D56" s="113"/>
      <c r="E56" s="143"/>
      <c r="F56" s="143"/>
      <c r="G56" s="143"/>
      <c r="H56" s="143"/>
      <c r="I56" s="143"/>
      <c r="J56" s="143"/>
      <c r="K56" s="143"/>
      <c r="L56" s="143"/>
      <c r="M56" s="165"/>
      <c r="O56" s="52"/>
      <c r="P56" s="52"/>
      <c r="Q56" s="52"/>
      <c r="R56" s="52"/>
      <c r="S56" s="52"/>
      <c r="U56" s="583"/>
      <c r="V56" s="455" t="s">
        <v>6</v>
      </c>
      <c r="W56" s="458" t="s">
        <v>351</v>
      </c>
      <c r="X56" s="460" t="s">
        <v>352</v>
      </c>
    </row>
    <row r="57" spans="1:24" ht="20.100000000000001" customHeight="1" thickBot="1" x14ac:dyDescent="0.25">
      <c r="A57" s="350"/>
      <c r="B57" s="300" t="s">
        <v>288</v>
      </c>
      <c r="C57" s="605" t="s">
        <v>181</v>
      </c>
      <c r="D57" s="605"/>
      <c r="E57" s="605"/>
      <c r="F57" s="605"/>
      <c r="G57" s="605"/>
      <c r="H57" s="195" t="s">
        <v>65</v>
      </c>
      <c r="I57" s="196" t="s">
        <v>4</v>
      </c>
      <c r="J57" s="606" t="s">
        <v>64</v>
      </c>
      <c r="K57" s="606"/>
      <c r="L57" s="606"/>
      <c r="M57" s="165"/>
      <c r="O57" s="52"/>
      <c r="P57" s="52"/>
      <c r="Q57" s="52"/>
      <c r="R57" s="52"/>
      <c r="S57" s="52"/>
      <c r="U57" s="583"/>
      <c r="V57" s="455" t="s">
        <v>18</v>
      </c>
      <c r="W57" s="458" t="s">
        <v>353</v>
      </c>
      <c r="X57" s="460" t="s">
        <v>354</v>
      </c>
    </row>
    <row r="58" spans="1:24" ht="17.100000000000001" customHeight="1" x14ac:dyDescent="0.2">
      <c r="A58" s="350"/>
      <c r="B58" s="334" t="s">
        <v>261</v>
      </c>
      <c r="C58" s="192"/>
      <c r="D58" s="192"/>
      <c r="E58" s="192"/>
      <c r="F58" s="192"/>
      <c r="G58" s="192"/>
      <c r="H58" s="192"/>
      <c r="I58" s="192"/>
      <c r="J58" s="192"/>
      <c r="K58" s="192"/>
      <c r="L58" s="193"/>
      <c r="M58" s="165"/>
      <c r="O58" s="52"/>
      <c r="P58" s="52"/>
      <c r="Q58" s="52"/>
      <c r="R58" s="52"/>
      <c r="S58" s="52"/>
      <c r="U58" s="583"/>
      <c r="V58" s="455" t="s">
        <v>19</v>
      </c>
      <c r="W58" s="458" t="s">
        <v>355</v>
      </c>
      <c r="X58" s="460" t="s">
        <v>356</v>
      </c>
    </row>
    <row r="59" spans="1:24" ht="30" customHeight="1" x14ac:dyDescent="0.2">
      <c r="A59" s="351"/>
      <c r="B59" s="476">
        <v>1</v>
      </c>
      <c r="C59" s="635" t="str">
        <f>LEGER!F$6</f>
        <v>Pendidikan Agama dan Budi Pekerti</v>
      </c>
      <c r="D59" s="635"/>
      <c r="E59" s="635"/>
      <c r="F59" s="635"/>
      <c r="G59" s="635"/>
      <c r="H59" s="477">
        <f>IFERROR(VLOOKUP($E$4&amp;"B",leggerx1,3,0),"")</f>
        <v>50</v>
      </c>
      <c r="I59" s="477" t="str">
        <f>IFERROR(VLOOKUP($E$4&amp;"D",leggerx1,3,0),"")</f>
        <v>D</v>
      </c>
      <c r="J59" s="598" t="str">
        <f>IFERROR(VLOOKUP(I59,$V$11:$X$14,3,0)," ")</f>
        <v>Baru menguasai sebagian kecil kompetensi dasar keterampilan dan perlu latihan</v>
      </c>
      <c r="K59" s="599"/>
      <c r="L59" s="600"/>
      <c r="M59" s="165"/>
      <c r="O59" s="52"/>
      <c r="P59" s="52"/>
      <c r="Q59" s="52"/>
      <c r="R59" s="52"/>
      <c r="S59" s="52"/>
      <c r="U59" s="583" t="str">
        <f>C49</f>
        <v>S o s i o l o g i</v>
      </c>
      <c r="V59" s="455" t="s">
        <v>7</v>
      </c>
      <c r="W59" s="458" t="s">
        <v>349</v>
      </c>
      <c r="X59" s="459" t="s">
        <v>350</v>
      </c>
    </row>
    <row r="60" spans="1:24" ht="30" customHeight="1" x14ac:dyDescent="0.2">
      <c r="A60" s="351"/>
      <c r="B60" s="476">
        <v>2</v>
      </c>
      <c r="C60" s="635" t="str">
        <f>LEGER!G$6</f>
        <v>Pendidikan Pancasila dan Kewarganegaraan</v>
      </c>
      <c r="D60" s="635"/>
      <c r="E60" s="635"/>
      <c r="F60" s="635"/>
      <c r="G60" s="635"/>
      <c r="H60" s="477">
        <f>IFERROR(VLOOKUP($E$4&amp;"B",leggerx1,4,0),"")</f>
        <v>70</v>
      </c>
      <c r="I60" s="477" t="str">
        <f>IFERROR(VLOOKUP($E$4&amp;"D",leggerx1,4,0),"")</f>
        <v>C</v>
      </c>
      <c r="J60" s="598" t="str">
        <f>IFERROR(VLOOKUP(I60,$V$15:$X$18,3,0),"")</f>
        <v>Cukup menguasai beberapa kompetensi dasar keterampilan</v>
      </c>
      <c r="K60" s="599"/>
      <c r="L60" s="600"/>
      <c r="M60" s="165"/>
      <c r="O60" s="52"/>
      <c r="P60" s="52"/>
      <c r="Q60" s="52"/>
      <c r="R60" s="52"/>
      <c r="S60" s="52"/>
      <c r="U60" s="583"/>
      <c r="V60" s="466" t="s">
        <v>6</v>
      </c>
      <c r="W60" s="458" t="s">
        <v>351</v>
      </c>
      <c r="X60" s="460" t="s">
        <v>352</v>
      </c>
    </row>
    <row r="61" spans="1:24" ht="30" customHeight="1" x14ac:dyDescent="0.2">
      <c r="A61" s="351"/>
      <c r="B61" s="476">
        <v>3</v>
      </c>
      <c r="C61" s="635" t="str">
        <f>LEGER!H$6</f>
        <v>Bahasa Indonesia</v>
      </c>
      <c r="D61" s="635"/>
      <c r="E61" s="635"/>
      <c r="F61" s="635"/>
      <c r="G61" s="635"/>
      <c r="H61" s="477">
        <f>IFERROR(VLOOKUP($E$4&amp;"B",leggerx1,5,0),"")</f>
        <v>71</v>
      </c>
      <c r="I61" s="477" t="str">
        <f>IFERROR(VLOOKUP($E$4&amp;"D",leggerx1,5,0),"")</f>
        <v>C</v>
      </c>
      <c r="J61" s="598" t="str">
        <f>IFERROR(VLOOKUP(I61,$V$19:$X$22,3,0),"")</f>
        <v>Cukup menguasai beberapa kompetensi dasar keterampilan</v>
      </c>
      <c r="K61" s="599"/>
      <c r="L61" s="600"/>
      <c r="M61" s="206"/>
      <c r="O61" s="52"/>
      <c r="P61" s="52"/>
      <c r="Q61" s="52"/>
      <c r="R61" s="52"/>
      <c r="S61" s="52"/>
      <c r="U61" s="583"/>
      <c r="V61" s="455" t="s">
        <v>18</v>
      </c>
      <c r="W61" s="458" t="s">
        <v>353</v>
      </c>
      <c r="X61" s="460" t="s">
        <v>354</v>
      </c>
    </row>
    <row r="62" spans="1:24" ht="30" customHeight="1" x14ac:dyDescent="0.2">
      <c r="A62" s="351"/>
      <c r="B62" s="476">
        <v>4</v>
      </c>
      <c r="C62" s="635" t="str">
        <f>LEGER!I$6</f>
        <v>Matematika</v>
      </c>
      <c r="D62" s="635"/>
      <c r="E62" s="635"/>
      <c r="F62" s="635"/>
      <c r="G62" s="635"/>
      <c r="H62" s="477">
        <f>IFERROR(VLOOKUP($E$4&amp;"B",leggerx1,6,0),"")</f>
        <v>70</v>
      </c>
      <c r="I62" s="477" t="str">
        <f>IFERROR(VLOOKUP($E$4&amp;"D",leggerx1,6,0),"")</f>
        <v>C</v>
      </c>
      <c r="J62" s="598" t="str">
        <f>IFERROR(VLOOKUP(I62,$V$23:$X$30,3,0),"")</f>
        <v>Cukup menguasai beberapa kompetensi dasar keterampilan</v>
      </c>
      <c r="K62" s="599"/>
      <c r="L62" s="600"/>
      <c r="M62" s="165"/>
      <c r="O62" s="52"/>
      <c r="P62" s="52"/>
      <c r="Q62" s="52"/>
      <c r="R62" s="52"/>
      <c r="S62" s="52"/>
      <c r="U62" s="583"/>
      <c r="V62" s="455" t="s">
        <v>19</v>
      </c>
      <c r="W62" s="458" t="s">
        <v>355</v>
      </c>
      <c r="X62" s="460" t="s">
        <v>356</v>
      </c>
    </row>
    <row r="63" spans="1:24" ht="30" customHeight="1" x14ac:dyDescent="0.2">
      <c r="A63" s="351"/>
      <c r="B63" s="476">
        <v>5</v>
      </c>
      <c r="C63" s="635" t="str">
        <f>LEGER!J$6</f>
        <v>Sejarah Indonesia</v>
      </c>
      <c r="D63" s="635"/>
      <c r="E63" s="635"/>
      <c r="F63" s="635"/>
      <c r="G63" s="635"/>
      <c r="H63" s="477">
        <f>IFERROR(VLOOKUP($E$4&amp;"B",leggerx1,7,0),"")</f>
        <v>50</v>
      </c>
      <c r="I63" s="477" t="str">
        <f>IFERROR(VLOOKUP($E$4&amp;"D",leggerx1,7,0),"")</f>
        <v>D</v>
      </c>
      <c r="J63" s="598" t="str">
        <f>IFERROR(VLOOKUP(I63,$V$27:$X$30,3,0),"")</f>
        <v>Baru menguasai sebagian kecil kompetensi dasar keterampilan dan perlu latihan</v>
      </c>
      <c r="K63" s="599"/>
      <c r="L63" s="600"/>
      <c r="M63" s="165"/>
      <c r="O63" s="52"/>
      <c r="P63" s="52"/>
      <c r="Q63" s="52"/>
      <c r="R63" s="52"/>
      <c r="S63" s="52"/>
      <c r="U63" s="583" t="str">
        <f>C50</f>
        <v>E k o n o m i</v>
      </c>
      <c r="V63" s="455" t="s">
        <v>7</v>
      </c>
      <c r="W63" s="458" t="s">
        <v>349</v>
      </c>
      <c r="X63" s="459" t="s">
        <v>350</v>
      </c>
    </row>
    <row r="64" spans="1:24" ht="30" customHeight="1" x14ac:dyDescent="0.2">
      <c r="A64" s="351"/>
      <c r="B64" s="476">
        <v>6</v>
      </c>
      <c r="C64" s="635" t="str">
        <f>LEGER!K$6</f>
        <v>Bahasa Inggris</v>
      </c>
      <c r="D64" s="635"/>
      <c r="E64" s="635"/>
      <c r="F64" s="635"/>
      <c r="G64" s="635"/>
      <c r="H64" s="477">
        <f>IFERROR(VLOOKUP($E$4&amp;"B",leggerx1,8,0),"")</f>
        <v>71</v>
      </c>
      <c r="I64" s="477" t="str">
        <f>IFERROR(VLOOKUP($E$4&amp;"D",leggerx1,8,0),"")</f>
        <v>C</v>
      </c>
      <c r="J64" s="598" t="str">
        <f>IFERROR(VLOOKUP(I64,$V$31:$X$34,3,0),"")</f>
        <v>Cukup menguasai beberapa kompetensi dasar keterampilan</v>
      </c>
      <c r="K64" s="599"/>
      <c r="L64" s="600"/>
      <c r="M64" s="165"/>
      <c r="N64" s="206"/>
      <c r="O64" s="206"/>
      <c r="P64" s="52"/>
      <c r="Q64" s="52"/>
      <c r="R64" s="52"/>
      <c r="S64" s="52"/>
      <c r="U64" s="583"/>
      <c r="V64" s="466" t="s">
        <v>6</v>
      </c>
      <c r="W64" s="458" t="s">
        <v>351</v>
      </c>
      <c r="X64" s="460" t="s">
        <v>352</v>
      </c>
    </row>
    <row r="65" spans="1:27" ht="17.100000000000001" customHeight="1" x14ac:dyDescent="0.2">
      <c r="A65" s="351"/>
      <c r="B65" s="335" t="s">
        <v>262</v>
      </c>
      <c r="C65" s="148"/>
      <c r="D65" s="148"/>
      <c r="E65" s="148"/>
      <c r="F65" s="148"/>
      <c r="G65" s="148"/>
      <c r="H65" s="148"/>
      <c r="I65" s="471"/>
      <c r="J65" s="148"/>
      <c r="K65" s="197"/>
      <c r="L65" s="198"/>
      <c r="M65" s="165"/>
      <c r="O65" s="52"/>
      <c r="P65" s="52"/>
      <c r="Q65" s="52"/>
      <c r="R65" s="52"/>
      <c r="S65" s="52"/>
      <c r="U65" s="583"/>
      <c r="V65" s="455" t="s">
        <v>18</v>
      </c>
      <c r="W65" s="458" t="s">
        <v>353</v>
      </c>
      <c r="X65" s="460" t="s">
        <v>354</v>
      </c>
    </row>
    <row r="66" spans="1:27" ht="30" customHeight="1" x14ac:dyDescent="0.2">
      <c r="A66" s="351"/>
      <c r="B66" s="476">
        <v>1</v>
      </c>
      <c r="C66" s="635" t="str">
        <f>LEGER!L$6</f>
        <v>Seni Budaya</v>
      </c>
      <c r="D66" s="635"/>
      <c r="E66" s="635"/>
      <c r="F66" s="635"/>
      <c r="G66" s="635"/>
      <c r="H66" s="477">
        <f>IFERROR(VLOOKUP($E$4&amp;"B",leggerx1,9,0),"")</f>
        <v>75</v>
      </c>
      <c r="I66" s="477" t="str">
        <f>IFERROR(VLOOKUP($E$4&amp;"D",leggerx1,9,0),"")</f>
        <v>C</v>
      </c>
      <c r="J66" s="598" t="str">
        <f>IFERROR(VLOOKUP(I66,$V$35:$X$38,3,0),"")</f>
        <v>Cukup menguasai beberapa kompetensi dasar keterampilan</v>
      </c>
      <c r="K66" s="599"/>
      <c r="L66" s="600"/>
      <c r="M66" s="165"/>
      <c r="O66" s="52"/>
      <c r="P66" s="52"/>
      <c r="Q66" s="52"/>
      <c r="R66" s="52"/>
      <c r="S66" s="52"/>
      <c r="U66" s="583"/>
      <c r="V66" s="455" t="s">
        <v>19</v>
      </c>
      <c r="W66" s="458" t="s">
        <v>355</v>
      </c>
      <c r="X66" s="460" t="s">
        <v>356</v>
      </c>
    </row>
    <row r="67" spans="1:27" ht="30" customHeight="1" x14ac:dyDescent="0.2">
      <c r="A67" s="351"/>
      <c r="B67" s="476">
        <v>2</v>
      </c>
      <c r="C67" s="635" t="str">
        <f>LEGER!M$6</f>
        <v>Pendidikan Jasmani, Olah Raga dan Kesehatan</v>
      </c>
      <c r="D67" s="635"/>
      <c r="E67" s="635"/>
      <c r="F67" s="635"/>
      <c r="G67" s="635"/>
      <c r="H67" s="478">
        <f>IFERROR(VLOOKUP($E$4&amp;"B",leggerx1,10,0),"")</f>
        <v>58</v>
      </c>
      <c r="I67" s="478" t="str">
        <f>IFERROR(VLOOKUP($E$4&amp;"D",leggerx1,10,0),"")</f>
        <v>D</v>
      </c>
      <c r="J67" s="598" t="str">
        <f>IFERROR(VLOOKUP(I67,$V$39:$X$42,3,0),"")</f>
        <v>Baru menguasai sebagian kecil kompetensi dasar keterampilan dan perlu latihan</v>
      </c>
      <c r="K67" s="599"/>
      <c r="L67" s="600"/>
      <c r="M67" s="165"/>
      <c r="O67" s="52"/>
      <c r="P67" s="52"/>
      <c r="Q67" s="52"/>
      <c r="R67" s="52"/>
      <c r="S67" s="52"/>
      <c r="U67" s="583" t="str">
        <f>C51</f>
        <v>Bahasa Inggris</v>
      </c>
      <c r="V67" s="455" t="s">
        <v>7</v>
      </c>
      <c r="W67" s="458" t="s">
        <v>349</v>
      </c>
      <c r="X67" s="459" t="s">
        <v>350</v>
      </c>
    </row>
    <row r="68" spans="1:27" ht="30" customHeight="1" x14ac:dyDescent="0.2">
      <c r="A68" s="351"/>
      <c r="B68" s="476">
        <v>3</v>
      </c>
      <c r="C68" s="635" t="str">
        <f>LEGER!N$6</f>
        <v>Prakarya dan Kewirausahaan</v>
      </c>
      <c r="D68" s="635"/>
      <c r="E68" s="635"/>
      <c r="F68" s="635"/>
      <c r="G68" s="635"/>
      <c r="H68" s="478">
        <f>IFERROR(VLOOKUP($E$4&amp;"B",leggerx1,11,0),"")</f>
        <v>50</v>
      </c>
      <c r="I68" s="478" t="str">
        <f>IFERROR(VLOOKUP($E$4&amp;"D",leggerx1,11,0),"")</f>
        <v>D</v>
      </c>
      <c r="J68" s="598" t="str">
        <f>IFERROR(VLOOKUP(I68,$V$43:$X$46,3,0),"")</f>
        <v>Baru menguasai sebagian kecil kompetensi dasar keterampilan dan perlu latihan</v>
      </c>
      <c r="K68" s="599"/>
      <c r="L68" s="600"/>
      <c r="M68" s="165"/>
      <c r="O68" s="52"/>
      <c r="P68" s="52"/>
      <c r="Q68" s="52"/>
      <c r="R68" s="52"/>
      <c r="S68" s="52"/>
      <c r="U68" s="583"/>
      <c r="V68" s="466" t="s">
        <v>6</v>
      </c>
      <c r="W68" s="458" t="s">
        <v>351</v>
      </c>
      <c r="X68" s="460" t="s">
        <v>352</v>
      </c>
    </row>
    <row r="69" spans="1:27" ht="30" customHeight="1" x14ac:dyDescent="0.2">
      <c r="A69" s="351"/>
      <c r="B69" s="476">
        <v>4</v>
      </c>
      <c r="C69" s="635" t="str">
        <f>LEGER!O$6</f>
        <v>Bahasa Sunda</v>
      </c>
      <c r="D69" s="635"/>
      <c r="E69" s="635"/>
      <c r="F69" s="635"/>
      <c r="G69" s="635"/>
      <c r="H69" s="478">
        <f>IFERROR(VLOOKUP($E$4&amp;"B",leggerx1,12,0),"")</f>
        <v>80</v>
      </c>
      <c r="I69" s="478" t="str">
        <f>IFERROR(VLOOKUP($E$4&amp;"D",leggerx1,12,0),"")</f>
        <v>B</v>
      </c>
      <c r="J69" s="598" t="str">
        <f>IFERROR(VLOOKUP(I69,$V$47:$X$58,3,0),"")</f>
        <v>Sudah menguasai sebagian besar kompetensi dasar keterampilan dengan Baik</v>
      </c>
      <c r="K69" s="599"/>
      <c r="L69" s="600"/>
      <c r="M69" s="165"/>
      <c r="O69" s="52"/>
      <c r="P69" s="52"/>
      <c r="Q69" s="52"/>
      <c r="R69" s="52"/>
      <c r="S69" s="52"/>
      <c r="U69" s="583"/>
      <c r="V69" s="455" t="s">
        <v>18</v>
      </c>
      <c r="W69" s="458" t="s">
        <v>353</v>
      </c>
      <c r="X69" s="460" t="s">
        <v>354</v>
      </c>
    </row>
    <row r="70" spans="1:27" ht="17.100000000000001" customHeight="1" x14ac:dyDescent="0.2">
      <c r="A70" s="350"/>
      <c r="B70" s="335" t="s">
        <v>263</v>
      </c>
      <c r="C70" s="148"/>
      <c r="D70" s="148"/>
      <c r="E70" s="148"/>
      <c r="F70" s="148"/>
      <c r="G70" s="148"/>
      <c r="H70" s="148"/>
      <c r="I70" s="471"/>
      <c r="J70" s="148"/>
      <c r="K70" s="197"/>
      <c r="L70" s="198"/>
      <c r="M70" s="165"/>
      <c r="O70" s="52"/>
      <c r="P70" s="52"/>
      <c r="Q70" s="52"/>
      <c r="R70" s="52"/>
      <c r="S70" s="52"/>
      <c r="U70" s="583"/>
      <c r="V70" s="455" t="s">
        <v>19</v>
      </c>
      <c r="W70" s="458" t="s">
        <v>355</v>
      </c>
      <c r="X70" s="460" t="s">
        <v>356</v>
      </c>
    </row>
    <row r="71" spans="1:27" ht="30" customHeight="1" x14ac:dyDescent="0.2">
      <c r="A71" s="351"/>
      <c r="B71" s="476">
        <v>1</v>
      </c>
      <c r="C71" s="635" t="str">
        <f>LEGER!P$6</f>
        <v>G e o g r a f i</v>
      </c>
      <c r="D71" s="635"/>
      <c r="E71" s="635"/>
      <c r="F71" s="635"/>
      <c r="G71" s="635"/>
      <c r="H71" s="478">
        <f>IFERROR(VLOOKUP($E$4&amp;"B",leggerx1,13,0),"")</f>
        <v>0</v>
      </c>
      <c r="I71" s="478" t="str">
        <f>IFERROR(VLOOKUP($E$4&amp;"D",leggerx1,13,0),"")</f>
        <v/>
      </c>
      <c r="J71" s="598" t="str">
        <f>IFERROR(VLOOKUP(I71,$V$51:$X$54,3,0),"")</f>
        <v/>
      </c>
      <c r="K71" s="599"/>
      <c r="L71" s="600"/>
      <c r="M71" s="165"/>
      <c r="O71" s="52"/>
      <c r="P71" s="52"/>
      <c r="Q71" s="52"/>
      <c r="R71" s="52"/>
      <c r="S71" s="52"/>
      <c r="U71" s="583" t="str">
        <f>C52</f>
        <v>B i o l o g i</v>
      </c>
      <c r="V71" s="455" t="s">
        <v>7</v>
      </c>
      <c r="W71" s="458" t="s">
        <v>349</v>
      </c>
      <c r="X71" s="459" t="s">
        <v>350</v>
      </c>
    </row>
    <row r="72" spans="1:27" ht="30" customHeight="1" x14ac:dyDescent="0.2">
      <c r="A72" s="351"/>
      <c r="B72" s="476">
        <v>2</v>
      </c>
      <c r="C72" s="635" t="str">
        <f>LEGER!Q$6</f>
        <v>S e j a r a h</v>
      </c>
      <c r="D72" s="635"/>
      <c r="E72" s="635"/>
      <c r="F72" s="635"/>
      <c r="G72" s="635"/>
      <c r="H72" s="478">
        <f>IFERROR(VLOOKUP($E$4&amp;"B",leggerx1,14,0),"")</f>
        <v>79</v>
      </c>
      <c r="I72" s="478" t="str">
        <f>IFERROR(VLOOKUP($E$4&amp;"D",leggerx1,14,0),"")</f>
        <v>C</v>
      </c>
      <c r="J72" s="598" t="str">
        <f>IFERROR(VLOOKUP(I72,$V$55:$X$58,3,0),"")</f>
        <v>Cukup menguasai beberapa kompetensi dasar keterampilan</v>
      </c>
      <c r="K72" s="599"/>
      <c r="L72" s="600"/>
      <c r="M72" s="165"/>
      <c r="O72" s="52"/>
      <c r="P72" s="52"/>
      <c r="Q72" s="52"/>
      <c r="R72" s="52"/>
      <c r="S72" s="52"/>
      <c r="U72" s="583"/>
      <c r="V72" s="466" t="s">
        <v>6</v>
      </c>
      <c r="W72" s="458" t="s">
        <v>351</v>
      </c>
      <c r="X72" s="460" t="s">
        <v>352</v>
      </c>
    </row>
    <row r="73" spans="1:27" ht="30" customHeight="1" x14ac:dyDescent="0.2">
      <c r="A73" s="351"/>
      <c r="B73" s="476">
        <v>3</v>
      </c>
      <c r="C73" s="635" t="str">
        <f>LEGER!R$6</f>
        <v>S o s i o l o g i</v>
      </c>
      <c r="D73" s="635"/>
      <c r="E73" s="635"/>
      <c r="F73" s="635"/>
      <c r="G73" s="635"/>
      <c r="H73" s="478">
        <f>IFERROR(VLOOKUP($E$4&amp;"B",leggerx1,15,0),"")</f>
        <v>75</v>
      </c>
      <c r="I73" s="478" t="str">
        <f>IFERROR(VLOOKUP($E$4&amp;"D",leggerx1,15,0),"")</f>
        <v>C</v>
      </c>
      <c r="J73" s="598" t="str">
        <f>IFERROR(VLOOKUP(I73,$V$59:$X$62,3,0),"")</f>
        <v>Cukup menguasai beberapa kompetensi dasar keterampilan</v>
      </c>
      <c r="K73" s="599"/>
      <c r="L73" s="600"/>
      <c r="M73" s="165"/>
      <c r="O73" s="52"/>
      <c r="P73" s="52"/>
      <c r="Q73" s="52"/>
      <c r="R73" s="52"/>
      <c r="S73" s="52"/>
      <c r="U73" s="583"/>
      <c r="V73" s="455" t="s">
        <v>18</v>
      </c>
      <c r="W73" s="458" t="s">
        <v>353</v>
      </c>
      <c r="X73" s="460" t="s">
        <v>354</v>
      </c>
    </row>
    <row r="74" spans="1:27" ht="30" customHeight="1" x14ac:dyDescent="0.2">
      <c r="A74" s="351"/>
      <c r="B74" s="476">
        <v>4</v>
      </c>
      <c r="C74" s="635" t="str">
        <f>LEGER!S$6</f>
        <v>E k o n o m i</v>
      </c>
      <c r="D74" s="635"/>
      <c r="E74" s="635"/>
      <c r="F74" s="635"/>
      <c r="G74" s="635"/>
      <c r="H74" s="478">
        <f>IFERROR(VLOOKUP($E$4&amp;"B",leggerx1,16,0),"")</f>
        <v>0</v>
      </c>
      <c r="I74" s="478" t="str">
        <f>IFERROR(VLOOKUP($E$4&amp;"D",leggerx1,16,0),"")</f>
        <v/>
      </c>
      <c r="J74" s="598" t="str">
        <f>IFERROR(VLOOKUP(I74,$V$63:$X$66,3,0),"")</f>
        <v/>
      </c>
      <c r="K74" s="599"/>
      <c r="L74" s="600"/>
      <c r="M74" s="165"/>
      <c r="O74" s="52"/>
      <c r="P74" s="52"/>
      <c r="Q74" s="52"/>
      <c r="R74" s="52"/>
      <c r="S74" s="52"/>
      <c r="U74" s="583"/>
      <c r="V74" s="455" t="s">
        <v>19</v>
      </c>
      <c r="W74" s="458" t="s">
        <v>355</v>
      </c>
      <c r="X74" s="460" t="s">
        <v>356</v>
      </c>
    </row>
    <row r="75" spans="1:27" ht="30" customHeight="1" x14ac:dyDescent="0.2">
      <c r="A75" s="351"/>
      <c r="B75" s="476">
        <v>5</v>
      </c>
      <c r="C75" s="635" t="str">
        <f>LEGER!T$6</f>
        <v>Bahasa Inggris</v>
      </c>
      <c r="D75" s="635"/>
      <c r="E75" s="635"/>
      <c r="F75" s="635"/>
      <c r="G75" s="635"/>
      <c r="H75" s="478">
        <f>IFERROR(VLOOKUP($E$4&amp;"B",leggerx1,17,0),"")</f>
        <v>50</v>
      </c>
      <c r="I75" s="478" t="str">
        <f>IFERROR(VLOOKUP($E$4&amp;"D",leggerx1,17,0),"")</f>
        <v>D</v>
      </c>
      <c r="J75" s="598" t="str">
        <f>IFERROR(VLOOKUP(I75,$V$67:$X$70,3,0),"")</f>
        <v>Baru menguasai sebagian kecil kompetensi dasar keterampilan dan perlu latihan</v>
      </c>
      <c r="K75" s="599"/>
      <c r="L75" s="600"/>
      <c r="M75" s="165"/>
      <c r="O75" s="52"/>
      <c r="P75" s="52"/>
      <c r="Q75" s="52"/>
      <c r="R75" s="52"/>
      <c r="S75" s="52"/>
      <c r="U75" s="647" t="str">
        <f>C53</f>
        <v>Baca Tulis Qur'an</v>
      </c>
      <c r="V75" s="455" t="s">
        <v>7</v>
      </c>
      <c r="W75" s="458" t="s">
        <v>349</v>
      </c>
      <c r="X75" s="459" t="s">
        <v>350</v>
      </c>
    </row>
    <row r="76" spans="1:27" ht="30" customHeight="1" x14ac:dyDescent="0.2">
      <c r="A76" s="351"/>
      <c r="B76" s="476">
        <v>6</v>
      </c>
      <c r="C76" s="635" t="str">
        <f>LEGER!U$6</f>
        <v>B i o l o g i</v>
      </c>
      <c r="D76" s="635"/>
      <c r="E76" s="635"/>
      <c r="F76" s="635"/>
      <c r="G76" s="635"/>
      <c r="H76" s="478">
        <f>IFERROR(VLOOKUP($E$4&amp;"B",leggerx1,18,0),"")</f>
        <v>75</v>
      </c>
      <c r="I76" s="478" t="str">
        <f>IFERROR(VLOOKUP($E$4&amp;"D",leggerx1,18,0),"")</f>
        <v>C</v>
      </c>
      <c r="J76" s="598" t="str">
        <f>IFERROR(VLOOKUP(I76,$V$71:$X$74,3,0),"")</f>
        <v>Cukup menguasai beberapa kompetensi dasar keterampilan</v>
      </c>
      <c r="K76" s="599"/>
      <c r="L76" s="600"/>
      <c r="M76" s="165"/>
      <c r="O76" s="52"/>
      <c r="P76" s="52"/>
      <c r="Q76" s="52"/>
      <c r="R76" s="52"/>
      <c r="S76" s="52"/>
      <c r="U76" s="648"/>
      <c r="V76" s="466" t="s">
        <v>6</v>
      </c>
      <c r="W76" s="458" t="s">
        <v>351</v>
      </c>
      <c r="X76" s="460" t="s">
        <v>352</v>
      </c>
    </row>
    <row r="77" spans="1:27" ht="30" customHeight="1" x14ac:dyDescent="0.2">
      <c r="A77" s="350"/>
      <c r="B77" s="476">
        <v>7</v>
      </c>
      <c r="C77" s="635" t="str">
        <f>LEGER!V$6</f>
        <v>Baca Tulis Qur'an</v>
      </c>
      <c r="D77" s="635"/>
      <c r="E77" s="635"/>
      <c r="F77" s="635"/>
      <c r="G77" s="635"/>
      <c r="H77" s="478">
        <f>IFERROR(VLOOKUP($E$4&amp;"B",leggerx1,19,0),"")</f>
        <v>65</v>
      </c>
      <c r="I77" s="478" t="str">
        <f>IFERROR(VLOOKUP($E$4&amp;"D",leggerx1,19,0),"")</f>
        <v>D</v>
      </c>
      <c r="J77" s="598" t="str">
        <f>IFERROR(VLOOKUP(I77,$V$75:$X$78,3,0),"")</f>
        <v>Baru menguasai sebagian kecil kompetensi dasar keterampilan dan perlu latihan</v>
      </c>
      <c r="K77" s="599"/>
      <c r="L77" s="600"/>
      <c r="M77" s="165"/>
      <c r="O77" s="52"/>
      <c r="P77" s="52"/>
      <c r="Q77" s="52"/>
      <c r="R77" s="52"/>
      <c r="S77" s="52"/>
      <c r="U77" s="648"/>
      <c r="V77" s="455" t="s">
        <v>18</v>
      </c>
      <c r="W77" s="458" t="s">
        <v>353</v>
      </c>
      <c r="X77" s="460" t="s">
        <v>354</v>
      </c>
    </row>
    <row r="78" spans="1:27" s="67" customFormat="1" ht="12" x14ac:dyDescent="0.2">
      <c r="A78" s="402"/>
      <c r="B78" s="370"/>
      <c r="C78" s="374"/>
      <c r="D78" s="374"/>
      <c r="E78" s="374"/>
      <c r="F78" s="374"/>
      <c r="G78" s="374"/>
      <c r="H78" s="207"/>
      <c r="I78" s="208"/>
      <c r="J78" s="209"/>
      <c r="K78" s="208"/>
      <c r="L78" s="209"/>
      <c r="M78" s="167"/>
      <c r="N78" s="72"/>
      <c r="T78" s="89"/>
      <c r="U78" s="649"/>
      <c r="V78" s="466" t="s">
        <v>19</v>
      </c>
      <c r="W78" s="458" t="s">
        <v>355</v>
      </c>
      <c r="X78" s="460" t="s">
        <v>356</v>
      </c>
      <c r="Y78" s="41"/>
      <c r="Z78" s="41"/>
      <c r="AA78" s="41"/>
    </row>
    <row r="79" spans="1:27" x14ac:dyDescent="0.2">
      <c r="A79" s="352"/>
      <c r="B79" s="336" t="s">
        <v>308</v>
      </c>
      <c r="C79" s="337"/>
      <c r="D79" s="337"/>
      <c r="E79" s="337"/>
      <c r="F79" s="337"/>
      <c r="G79" s="337"/>
      <c r="H79" s="207"/>
      <c r="I79" s="208"/>
      <c r="J79" s="209"/>
      <c r="K79" s="208"/>
      <c r="L79" s="211"/>
      <c r="M79" s="165"/>
      <c r="O79" s="52"/>
      <c r="P79" s="52"/>
      <c r="Q79" s="52"/>
      <c r="R79" s="52"/>
      <c r="S79" s="52"/>
      <c r="U79" s="322"/>
      <c r="V79" s="323"/>
      <c r="W79" s="324"/>
      <c r="X79" s="325"/>
    </row>
    <row r="80" spans="1:27" x14ac:dyDescent="0.2">
      <c r="A80" s="352"/>
      <c r="B80" s="360"/>
      <c r="C80" s="643" t="s">
        <v>66</v>
      </c>
      <c r="D80" s="643"/>
      <c r="E80" s="636" t="s">
        <v>4</v>
      </c>
      <c r="F80" s="636"/>
      <c r="G80" s="636"/>
      <c r="H80" s="636"/>
      <c r="I80" s="636"/>
      <c r="J80" s="636"/>
      <c r="K80" s="636"/>
      <c r="L80" s="211"/>
      <c r="M80" s="165"/>
      <c r="O80" s="52"/>
      <c r="P80" s="52"/>
      <c r="Q80" s="52"/>
      <c r="R80" s="52"/>
      <c r="S80" s="52"/>
      <c r="U80" s="322"/>
      <c r="V80" s="326"/>
      <c r="W80" s="327"/>
      <c r="X80" s="327"/>
    </row>
    <row r="81" spans="1:27" s="67" customFormat="1" ht="17.100000000000001" customHeight="1" thickBot="1" x14ac:dyDescent="0.25">
      <c r="A81" s="352"/>
      <c r="B81" s="361"/>
      <c r="C81" s="644"/>
      <c r="D81" s="644"/>
      <c r="E81" s="656" t="s">
        <v>264</v>
      </c>
      <c r="F81" s="656"/>
      <c r="G81" s="656"/>
      <c r="H81" s="656" t="s">
        <v>265</v>
      </c>
      <c r="I81" s="656"/>
      <c r="J81" s="387" t="s">
        <v>266</v>
      </c>
      <c r="K81" s="355" t="s">
        <v>267</v>
      </c>
      <c r="L81" s="211"/>
      <c r="M81" s="165"/>
      <c r="N81" s="72"/>
      <c r="T81" s="89"/>
      <c r="U81" s="322"/>
      <c r="V81" s="323"/>
      <c r="W81" s="324"/>
      <c r="X81" s="324"/>
      <c r="Y81" s="41"/>
      <c r="Z81" s="41"/>
      <c r="AA81" s="41"/>
    </row>
    <row r="82" spans="1:27" ht="17.100000000000001" customHeight="1" x14ac:dyDescent="0.2">
      <c r="A82" s="352"/>
      <c r="B82" s="360"/>
      <c r="C82" s="642">
        <v>70</v>
      </c>
      <c r="D82" s="642"/>
      <c r="E82" s="657" t="s">
        <v>268</v>
      </c>
      <c r="F82" s="657"/>
      <c r="G82" s="657"/>
      <c r="H82" s="642" t="s">
        <v>304</v>
      </c>
      <c r="I82" s="642"/>
      <c r="J82" s="388" t="s">
        <v>305</v>
      </c>
      <c r="K82" s="388" t="s">
        <v>306</v>
      </c>
      <c r="L82" s="211"/>
      <c r="M82" s="165"/>
      <c r="O82" s="52"/>
      <c r="P82" s="52"/>
      <c r="Q82" s="52"/>
      <c r="R82" s="52"/>
      <c r="S82" s="52"/>
      <c r="U82" s="322"/>
      <c r="V82" s="323"/>
      <c r="W82" s="324"/>
      <c r="X82" s="324"/>
    </row>
    <row r="83" spans="1:27" x14ac:dyDescent="0.2">
      <c r="A83" s="352"/>
      <c r="B83" s="147"/>
      <c r="C83" s="147"/>
      <c r="D83" s="147"/>
      <c r="E83" s="340"/>
      <c r="F83" s="340"/>
      <c r="G83" s="340"/>
      <c r="H83" s="340"/>
      <c r="I83" s="340"/>
      <c r="J83" s="340"/>
      <c r="K83" s="340"/>
      <c r="L83" s="211"/>
      <c r="M83" s="165"/>
      <c r="O83" s="52"/>
      <c r="P83" s="52"/>
      <c r="Q83" s="52"/>
      <c r="R83" s="52"/>
      <c r="S83" s="52"/>
      <c r="U83" s="322"/>
      <c r="V83" s="323"/>
      <c r="W83" s="324"/>
      <c r="X83" s="324"/>
    </row>
    <row r="84" spans="1:27" x14ac:dyDescent="0.2">
      <c r="A84" s="148" t="s">
        <v>289</v>
      </c>
      <c r="B84" s="148"/>
      <c r="C84" s="150"/>
      <c r="D84" s="150"/>
      <c r="E84" s="150"/>
      <c r="F84" s="150"/>
      <c r="G84" s="150"/>
      <c r="H84" s="150"/>
      <c r="I84" s="150"/>
      <c r="J84" s="150"/>
      <c r="K84" s="150"/>
      <c r="L84" s="143"/>
      <c r="M84" s="158"/>
      <c r="O84" s="52"/>
      <c r="P84" s="52"/>
      <c r="Q84" s="52"/>
      <c r="R84" s="52"/>
      <c r="S84" s="52"/>
      <c r="U84" s="322"/>
      <c r="V84" s="326"/>
      <c r="W84" s="327"/>
      <c r="X84" s="327"/>
    </row>
    <row r="85" spans="1:27" ht="30" customHeight="1" thickBot="1" x14ac:dyDescent="0.25">
      <c r="A85" s="350"/>
      <c r="B85" s="298" t="s">
        <v>188</v>
      </c>
      <c r="C85" s="631" t="s">
        <v>182</v>
      </c>
      <c r="D85" s="632"/>
      <c r="E85" s="632"/>
      <c r="F85" s="631" t="s">
        <v>4</v>
      </c>
      <c r="G85" s="633"/>
      <c r="H85" s="631" t="s">
        <v>64</v>
      </c>
      <c r="I85" s="632"/>
      <c r="J85" s="632"/>
      <c r="K85" s="632"/>
      <c r="L85" s="633"/>
      <c r="M85" s="158"/>
      <c r="O85" s="52"/>
      <c r="P85" s="52"/>
      <c r="Q85" s="52"/>
      <c r="R85" s="52"/>
      <c r="S85" s="52"/>
      <c r="U85" s="328"/>
      <c r="V85" s="323"/>
      <c r="W85" s="324"/>
      <c r="X85" s="324"/>
    </row>
    <row r="86" spans="1:27" ht="20.100000000000001" customHeight="1" x14ac:dyDescent="0.2">
      <c r="A86" s="350"/>
      <c r="B86" s="472">
        <v>1</v>
      </c>
      <c r="C86" s="473" t="str">
        <f xml:space="preserve"> VLOOKUP($E$4&amp;"A",leggerx1,25,0)</f>
        <v>Pend. Kepramukaan</v>
      </c>
      <c r="D86" s="474"/>
      <c r="E86" s="474"/>
      <c r="F86" s="645" t="str">
        <f xml:space="preserve"> VLOOKUP($E$4&amp;"A",leggerx1,26,0)</f>
        <v>-</v>
      </c>
      <c r="G86" s="646"/>
      <c r="H86" s="653" t="str">
        <f>VLOOKUP(F86,$P$89:$Q$93,2,0)</f>
        <v>--</v>
      </c>
      <c r="I86" s="654"/>
      <c r="J86" s="654"/>
      <c r="K86" s="654"/>
      <c r="L86" s="655"/>
      <c r="M86" s="158"/>
      <c r="O86" s="52"/>
      <c r="P86" s="52"/>
      <c r="Q86" s="52"/>
      <c r="R86" s="52"/>
      <c r="S86" s="52"/>
      <c r="U86" s="328"/>
      <c r="V86" s="323"/>
      <c r="W86" s="324"/>
      <c r="X86" s="324"/>
    </row>
    <row r="87" spans="1:27" x14ac:dyDescent="0.2">
      <c r="A87" s="350"/>
      <c r="B87" s="476">
        <v>2</v>
      </c>
      <c r="C87" s="479" t="str">
        <f xml:space="preserve"> VLOOKUP($E$4&amp;"B",leggerx1,25,0)</f>
        <v>-</v>
      </c>
      <c r="D87" s="480"/>
      <c r="E87" s="480"/>
      <c r="F87" s="637" t="str">
        <f xml:space="preserve"> VLOOKUP($E$4&amp;"B",leggerx1,26,0)</f>
        <v>-</v>
      </c>
      <c r="G87" s="638"/>
      <c r="H87" s="650" t="str">
        <f>VLOOKUP(F87,$P$89:$Q$93,2,0)</f>
        <v>--</v>
      </c>
      <c r="I87" s="651"/>
      <c r="J87" s="651"/>
      <c r="K87" s="651"/>
      <c r="L87" s="652"/>
      <c r="M87" s="158"/>
      <c r="O87" s="52"/>
      <c r="P87" s="52"/>
      <c r="Q87" s="52"/>
      <c r="R87" s="52"/>
      <c r="S87" s="52"/>
    </row>
    <row r="88" spans="1:27" ht="17.100000000000001" customHeight="1" x14ac:dyDescent="0.2">
      <c r="A88" s="350"/>
      <c r="B88" s="476">
        <v>3</v>
      </c>
      <c r="C88" s="479" t="str">
        <f xml:space="preserve"> VLOOKUP($E$4&amp;"C",leggerx1,25,0)</f>
        <v>-</v>
      </c>
      <c r="D88" s="480"/>
      <c r="E88" s="480"/>
      <c r="F88" s="637" t="str">
        <f>VLOOKUP($E$4&amp;"C",leggerx1,26,0)</f>
        <v>-</v>
      </c>
      <c r="G88" s="638"/>
      <c r="H88" s="650" t="str">
        <f>VLOOKUP(F88,$P$89:$Q$93,2,0)</f>
        <v>--</v>
      </c>
      <c r="I88" s="651"/>
      <c r="J88" s="651"/>
      <c r="K88" s="651"/>
      <c r="L88" s="652"/>
      <c r="M88" s="158"/>
      <c r="O88" s="52"/>
      <c r="P88" s="584" t="s">
        <v>157</v>
      </c>
      <c r="Q88" s="585"/>
      <c r="R88" s="585"/>
      <c r="S88" s="52"/>
    </row>
    <row r="89" spans="1:27" ht="17.100000000000001" customHeight="1" x14ac:dyDescent="0.2">
      <c r="A89" s="350"/>
      <c r="B89" s="476">
        <v>4</v>
      </c>
      <c r="C89" s="479" t="str">
        <f xml:space="preserve"> VLOOKUP($E$4&amp;"D",leggerx1,25,0)</f>
        <v>-</v>
      </c>
      <c r="D89" s="480"/>
      <c r="E89" s="480"/>
      <c r="F89" s="637" t="str">
        <f>VLOOKUP($E$4&amp;"D",leggerx1,26,0)</f>
        <v>-</v>
      </c>
      <c r="G89" s="638"/>
      <c r="H89" s="650" t="str">
        <f>VLOOKUP(F89,$P$89:$Q$93,2,0)</f>
        <v>--</v>
      </c>
      <c r="I89" s="651"/>
      <c r="J89" s="651"/>
      <c r="K89" s="651"/>
      <c r="L89" s="652"/>
      <c r="M89" s="158"/>
      <c r="O89" s="52"/>
      <c r="P89" s="313" t="s">
        <v>285</v>
      </c>
      <c r="Q89" s="329" t="s">
        <v>256</v>
      </c>
      <c r="S89" s="52"/>
    </row>
    <row r="90" spans="1:27" x14ac:dyDescent="0.2">
      <c r="A90" s="350"/>
      <c r="B90" s="158"/>
      <c r="C90" s="158"/>
      <c r="D90" s="158"/>
      <c r="E90" s="158"/>
      <c r="F90" s="158"/>
      <c r="G90" s="158"/>
      <c r="H90" s="158"/>
      <c r="I90" s="158"/>
      <c r="J90" s="158"/>
      <c r="K90" s="158"/>
      <c r="L90" s="158"/>
      <c r="M90" s="158"/>
      <c r="O90" s="52"/>
      <c r="P90" s="313" t="s">
        <v>6</v>
      </c>
      <c r="Q90" s="329" t="s">
        <v>257</v>
      </c>
      <c r="S90" s="52"/>
    </row>
    <row r="91" spans="1:27" ht="17.100000000000001" customHeight="1" x14ac:dyDescent="0.2">
      <c r="A91" s="148" t="s">
        <v>290</v>
      </c>
      <c r="B91" s="148"/>
      <c r="C91" s="148"/>
      <c r="D91" s="148"/>
      <c r="E91" s="149"/>
      <c r="F91" s="149"/>
      <c r="G91" s="149"/>
      <c r="H91" s="150"/>
      <c r="I91" s="150"/>
      <c r="J91" s="150"/>
      <c r="K91" s="150"/>
      <c r="L91" s="143"/>
      <c r="M91" s="158"/>
      <c r="O91" s="52"/>
      <c r="P91" s="313" t="s">
        <v>18</v>
      </c>
      <c r="Q91" s="329" t="s">
        <v>255</v>
      </c>
      <c r="S91" s="52"/>
    </row>
    <row r="92" spans="1:27" ht="17.100000000000001" customHeight="1" thickBot="1" x14ac:dyDescent="0.25">
      <c r="A92" s="350"/>
      <c r="B92" s="298" t="s">
        <v>188</v>
      </c>
      <c r="C92" s="629" t="s">
        <v>145</v>
      </c>
      <c r="D92" s="629"/>
      <c r="E92" s="629"/>
      <c r="F92" s="630"/>
      <c r="G92" s="631" t="s">
        <v>164</v>
      </c>
      <c r="H92" s="632"/>
      <c r="I92" s="632"/>
      <c r="J92" s="632"/>
      <c r="K92" s="632"/>
      <c r="L92" s="633"/>
      <c r="M92" s="158"/>
      <c r="O92" s="52"/>
      <c r="P92" s="313" t="s">
        <v>294</v>
      </c>
      <c r="Q92" s="329" t="s">
        <v>258</v>
      </c>
      <c r="S92" s="52"/>
    </row>
    <row r="93" spans="1:27" s="67" customFormat="1" ht="12.95" customHeight="1" x14ac:dyDescent="0.2">
      <c r="A93" s="350"/>
      <c r="B93" s="472">
        <v>1</v>
      </c>
      <c r="C93" s="634" t="str">
        <f>VLOOKUP($E$4&amp;"A",catatan,2,0)</f>
        <v>-</v>
      </c>
      <c r="D93" s="634"/>
      <c r="E93" s="634"/>
      <c r="F93" s="634"/>
      <c r="G93" s="639" t="str">
        <f>VLOOKUP($E$4&amp;"A",catatan,3,0)</f>
        <v>-</v>
      </c>
      <c r="H93" s="640"/>
      <c r="I93" s="640"/>
      <c r="J93" s="640"/>
      <c r="K93" s="640"/>
      <c r="L93" s="641"/>
      <c r="M93" s="158"/>
      <c r="N93" s="72"/>
      <c r="P93" s="313" t="s">
        <v>36</v>
      </c>
      <c r="Q93" s="330" t="s">
        <v>176</v>
      </c>
      <c r="T93" s="89"/>
      <c r="U93" s="89"/>
      <c r="V93" s="89"/>
      <c r="W93" s="41"/>
      <c r="X93" s="41"/>
      <c r="Y93" s="41"/>
      <c r="Z93" s="41"/>
      <c r="AA93" s="41"/>
    </row>
    <row r="94" spans="1:27" x14ac:dyDescent="0.2">
      <c r="A94" s="350"/>
      <c r="B94" s="476">
        <v>2</v>
      </c>
      <c r="C94" s="594" t="str">
        <f>VLOOKUP($E$4&amp;"B",catatan,2,0)</f>
        <v>-</v>
      </c>
      <c r="D94" s="594"/>
      <c r="E94" s="594"/>
      <c r="F94" s="594"/>
      <c r="G94" s="595" t="str">
        <f>VLOOKUP($E$4&amp;"B",catatan,3,0)</f>
        <v>-</v>
      </c>
      <c r="H94" s="596"/>
      <c r="I94" s="596"/>
      <c r="J94" s="596"/>
      <c r="K94" s="596"/>
      <c r="L94" s="597"/>
      <c r="M94" s="158"/>
      <c r="O94" s="52"/>
      <c r="P94" s="52"/>
      <c r="Q94" s="52"/>
      <c r="R94" s="52"/>
      <c r="S94" s="52"/>
    </row>
    <row r="95" spans="1:27" x14ac:dyDescent="0.2">
      <c r="A95" s="350"/>
      <c r="B95" s="476">
        <v>3</v>
      </c>
      <c r="C95" s="594" t="str">
        <f>VLOOKUP($E$4&amp;"C",catatan,2,0)</f>
        <v>-</v>
      </c>
      <c r="D95" s="594"/>
      <c r="E95" s="594"/>
      <c r="F95" s="594"/>
      <c r="G95" s="595" t="str">
        <f>VLOOKUP($E$4&amp;"C",catatan,3,0)</f>
        <v>-</v>
      </c>
      <c r="H95" s="596"/>
      <c r="I95" s="596"/>
      <c r="J95" s="596"/>
      <c r="K95" s="596"/>
      <c r="L95" s="597"/>
      <c r="M95" s="158"/>
      <c r="O95" s="52"/>
      <c r="P95" s="52"/>
      <c r="Q95" s="52"/>
      <c r="R95" s="52"/>
      <c r="S95" s="52"/>
    </row>
    <row r="96" spans="1:27" x14ac:dyDescent="0.2">
      <c r="A96" s="350"/>
      <c r="B96" s="476">
        <v>4</v>
      </c>
      <c r="C96" s="594" t="str">
        <f>VLOOKUP($E$4&amp;"D",catatan,2,0)</f>
        <v>-</v>
      </c>
      <c r="D96" s="594"/>
      <c r="E96" s="594"/>
      <c r="F96" s="594"/>
      <c r="G96" s="595" t="str">
        <f>VLOOKUP($E$4&amp;"D",catatan,3,0)</f>
        <v>-</v>
      </c>
      <c r="H96" s="596"/>
      <c r="I96" s="596"/>
      <c r="J96" s="596"/>
      <c r="K96" s="596"/>
      <c r="L96" s="597"/>
      <c r="M96" s="158"/>
      <c r="O96" s="52"/>
      <c r="P96" s="52"/>
      <c r="Q96" s="52"/>
      <c r="R96" s="52"/>
      <c r="S96" s="52"/>
    </row>
    <row r="97" spans="1:27" s="67" customFormat="1" x14ac:dyDescent="0.2">
      <c r="A97" s="350"/>
      <c r="B97" s="167"/>
      <c r="C97" s="167"/>
      <c r="D97" s="167"/>
      <c r="E97" s="167"/>
      <c r="F97" s="167"/>
      <c r="G97" s="167"/>
      <c r="H97" s="167"/>
      <c r="I97" s="167"/>
      <c r="J97" s="167"/>
      <c r="K97" s="167"/>
      <c r="L97" s="167"/>
      <c r="M97" s="167"/>
      <c r="N97" s="72"/>
      <c r="T97" s="89"/>
      <c r="U97" s="89"/>
      <c r="V97" s="89"/>
      <c r="W97" s="41"/>
      <c r="X97" s="41"/>
      <c r="Y97" s="41"/>
      <c r="Z97" s="41"/>
      <c r="AA97" s="41"/>
    </row>
    <row r="98" spans="1:27" x14ac:dyDescent="0.2">
      <c r="A98" s="148" t="s">
        <v>291</v>
      </c>
      <c r="B98" s="148"/>
      <c r="C98" s="148"/>
      <c r="D98" s="148"/>
      <c r="E98" s="149"/>
      <c r="F98" s="149"/>
      <c r="G98" s="149"/>
      <c r="H98" s="143"/>
      <c r="I98" s="143"/>
      <c r="J98" s="143"/>
      <c r="K98" s="143"/>
      <c r="L98" s="143"/>
      <c r="M98" s="158"/>
      <c r="O98" s="52"/>
      <c r="P98" s="52"/>
      <c r="Q98" s="52"/>
      <c r="R98" s="52"/>
      <c r="S98" s="52"/>
    </row>
    <row r="99" spans="1:27" x14ac:dyDescent="0.2">
      <c r="A99" s="350"/>
      <c r="B99" s="592" t="s">
        <v>172</v>
      </c>
      <c r="C99" s="593"/>
      <c r="D99" s="356"/>
      <c r="E99" s="332" t="s">
        <v>3</v>
      </c>
      <c r="F99" s="296">
        <f>VLOOKUP($E$4&amp;"A",leggerx1,22,0)</f>
        <v>0</v>
      </c>
      <c r="G99" s="297" t="s">
        <v>175</v>
      </c>
      <c r="H99" s="150"/>
      <c r="I99" s="150"/>
      <c r="J99" s="150"/>
      <c r="K99" s="150"/>
      <c r="L99" s="143"/>
      <c r="M99" s="158"/>
      <c r="O99" s="52"/>
      <c r="P99" s="52"/>
      <c r="Q99" s="52"/>
      <c r="R99" s="52"/>
      <c r="S99" s="52"/>
    </row>
    <row r="100" spans="1:27" s="67" customFormat="1" ht="12.95" customHeight="1" x14ac:dyDescent="0.2">
      <c r="A100" s="350"/>
      <c r="B100" s="592" t="s">
        <v>173</v>
      </c>
      <c r="C100" s="593"/>
      <c r="D100" s="356"/>
      <c r="E100" s="332" t="s">
        <v>3</v>
      </c>
      <c r="F100" s="296" t="str">
        <f>VLOOKUP($E$4&amp;"A",leggerx1,23,0)</f>
        <v>-</v>
      </c>
      <c r="G100" s="297" t="s">
        <v>175</v>
      </c>
      <c r="H100" s="150"/>
      <c r="I100" s="150"/>
      <c r="J100" s="150"/>
      <c r="K100" s="150"/>
      <c r="L100" s="143"/>
      <c r="M100" s="158"/>
      <c r="N100" s="72"/>
      <c r="T100" s="89"/>
      <c r="U100" s="89"/>
      <c r="V100" s="89"/>
      <c r="W100" s="41"/>
      <c r="X100" s="41"/>
      <c r="Y100" s="41"/>
      <c r="Z100" s="41"/>
      <c r="AA100" s="41"/>
    </row>
    <row r="101" spans="1:27" x14ac:dyDescent="0.2">
      <c r="A101" s="350"/>
      <c r="B101" s="592" t="s">
        <v>174</v>
      </c>
      <c r="C101" s="593"/>
      <c r="D101" s="356"/>
      <c r="E101" s="332" t="s">
        <v>3</v>
      </c>
      <c r="F101" s="296">
        <f>VLOOKUP($E$4&amp;"A",leggerx1,24,0)</f>
        <v>15</v>
      </c>
      <c r="G101" s="297" t="s">
        <v>175</v>
      </c>
      <c r="H101" s="150"/>
      <c r="I101" s="150"/>
      <c r="J101" s="150"/>
      <c r="K101" s="150"/>
      <c r="L101" s="143"/>
      <c r="M101" s="158"/>
      <c r="O101" s="52"/>
      <c r="P101" s="52"/>
      <c r="Q101" s="52"/>
      <c r="R101" s="52"/>
      <c r="S101" s="52"/>
    </row>
    <row r="102" spans="1:27" s="67" customFormat="1" x14ac:dyDescent="0.2">
      <c r="A102" s="350"/>
      <c r="B102" s="167"/>
      <c r="C102" s="167"/>
      <c r="D102" s="167"/>
      <c r="E102" s="167"/>
      <c r="F102" s="167"/>
      <c r="G102" s="167"/>
      <c r="H102" s="167"/>
      <c r="I102" s="339"/>
      <c r="J102" s="339"/>
      <c r="K102" s="339"/>
      <c r="L102" s="167"/>
      <c r="M102" s="167"/>
      <c r="N102" s="72"/>
      <c r="T102" s="89"/>
      <c r="U102" s="89"/>
      <c r="V102" s="89"/>
      <c r="W102" s="41"/>
      <c r="X102" s="41"/>
      <c r="Y102" s="41"/>
      <c r="Z102" s="41"/>
      <c r="AA102" s="41"/>
    </row>
    <row r="103" spans="1:27" x14ac:dyDescent="0.2">
      <c r="A103" s="148" t="s">
        <v>292</v>
      </c>
      <c r="B103" s="148"/>
      <c r="C103" s="150"/>
      <c r="D103" s="150"/>
      <c r="E103" s="150"/>
      <c r="F103" s="150"/>
      <c r="G103" s="150"/>
      <c r="H103" s="150"/>
      <c r="I103" s="150"/>
      <c r="J103" s="150"/>
      <c r="K103" s="150"/>
      <c r="L103" s="143"/>
      <c r="M103" s="158"/>
      <c r="O103" s="52"/>
      <c r="P103" s="52"/>
      <c r="Q103" s="52"/>
      <c r="R103" s="52"/>
      <c r="S103" s="52"/>
    </row>
    <row r="104" spans="1:27" ht="24.95" customHeight="1" x14ac:dyDescent="0.2">
      <c r="A104" s="350"/>
      <c r="B104" s="589" t="str">
        <f>VLOOKUP(E4&amp;"A",leger10,30,0)</f>
        <v>Belajarlah lebih rajin dan minta pengayaan !</v>
      </c>
      <c r="C104" s="590"/>
      <c r="D104" s="590"/>
      <c r="E104" s="590"/>
      <c r="F104" s="590"/>
      <c r="G104" s="590"/>
      <c r="H104" s="590"/>
      <c r="I104" s="590"/>
      <c r="J104" s="590"/>
      <c r="K104" s="590"/>
      <c r="L104" s="591"/>
      <c r="M104" s="158"/>
      <c r="O104" s="52"/>
      <c r="P104" s="52"/>
      <c r="Q104" s="52"/>
      <c r="R104" s="52"/>
      <c r="S104" s="52"/>
    </row>
    <row r="105" spans="1:27" x14ac:dyDescent="0.2">
      <c r="A105" s="350"/>
      <c r="B105" s="338"/>
      <c r="C105" s="338"/>
      <c r="D105" s="338"/>
      <c r="E105" s="338"/>
      <c r="F105" s="338"/>
      <c r="G105" s="338"/>
      <c r="H105" s="338"/>
      <c r="I105" s="338"/>
      <c r="J105" s="338"/>
      <c r="K105" s="338"/>
      <c r="L105" s="158"/>
      <c r="M105" s="158"/>
      <c r="O105" s="52"/>
      <c r="P105" s="52"/>
      <c r="Q105" s="52"/>
      <c r="R105" s="52"/>
      <c r="S105" s="52"/>
    </row>
    <row r="106" spans="1:27" x14ac:dyDescent="0.2">
      <c r="A106" s="148" t="s">
        <v>293</v>
      </c>
      <c r="B106" s="148"/>
      <c r="C106" s="150"/>
      <c r="D106" s="150"/>
      <c r="E106" s="150"/>
      <c r="F106" s="150"/>
      <c r="G106" s="150"/>
      <c r="H106" s="150"/>
      <c r="I106" s="150"/>
      <c r="J106" s="150"/>
      <c r="K106" s="150"/>
      <c r="L106" s="143"/>
      <c r="M106" s="158"/>
      <c r="O106" s="52"/>
      <c r="P106" s="52"/>
      <c r="Q106" s="52"/>
      <c r="R106" s="52"/>
      <c r="S106" s="52"/>
    </row>
    <row r="107" spans="1:27" ht="24.95" customHeight="1" x14ac:dyDescent="0.2">
      <c r="A107" s="350"/>
      <c r="B107" s="586"/>
      <c r="C107" s="587"/>
      <c r="D107" s="587"/>
      <c r="E107" s="587"/>
      <c r="F107" s="587"/>
      <c r="G107" s="587"/>
      <c r="H107" s="587"/>
      <c r="I107" s="587"/>
      <c r="J107" s="587"/>
      <c r="K107" s="587"/>
      <c r="L107" s="588"/>
      <c r="M107" s="158"/>
      <c r="O107" s="52"/>
      <c r="P107" s="52"/>
      <c r="Q107" s="52"/>
      <c r="R107" s="52"/>
      <c r="S107" s="52"/>
    </row>
    <row r="108" spans="1:27" ht="12.95" customHeight="1" x14ac:dyDescent="0.2">
      <c r="A108" s="350"/>
      <c r="B108" s="143"/>
      <c r="C108" s="143"/>
      <c r="D108" s="143"/>
      <c r="E108" s="143"/>
      <c r="F108" s="143"/>
      <c r="G108" s="143"/>
      <c r="H108" s="143"/>
      <c r="I108" s="143"/>
      <c r="J108" s="143"/>
      <c r="K108" s="143"/>
      <c r="L108" s="420" t="s">
        <v>318</v>
      </c>
      <c r="M108" s="158"/>
      <c r="O108" s="52"/>
      <c r="P108" s="52"/>
      <c r="Q108" s="52"/>
      <c r="R108" s="52"/>
      <c r="S108" s="52"/>
    </row>
    <row r="109" spans="1:27" ht="24.95" customHeight="1" x14ac:dyDescent="0.2">
      <c r="A109" s="350"/>
      <c r="B109" s="581" t="s">
        <v>300</v>
      </c>
      <c r="C109" s="582"/>
      <c r="D109" s="582"/>
      <c r="E109" s="582"/>
      <c r="F109" s="582"/>
      <c r="G109" s="582"/>
      <c r="H109" s="579" t="str">
        <f>VLOOKUP(E4,Naiktidak,8,0)</f>
        <v>Naik dengan Remedial</v>
      </c>
      <c r="I109" s="579"/>
      <c r="J109" s="579"/>
      <c r="K109" s="580"/>
      <c r="L109" s="421">
        <f>VLOOKUP(E4,Naiktidak,7,0)</f>
        <v>17</v>
      </c>
      <c r="M109" s="158"/>
      <c r="O109" s="52"/>
      <c r="P109" s="52"/>
      <c r="Q109" s="52"/>
      <c r="R109" s="52"/>
      <c r="S109" s="52"/>
    </row>
    <row r="110" spans="1:27" x14ac:dyDescent="0.2">
      <c r="A110" s="350"/>
      <c r="B110" s="150"/>
      <c r="C110" s="150"/>
      <c r="D110" s="150"/>
      <c r="E110" s="150"/>
      <c r="F110" s="150"/>
      <c r="G110" s="150"/>
      <c r="H110" s="150"/>
      <c r="I110" s="150"/>
      <c r="J110" s="150"/>
      <c r="K110" s="150"/>
      <c r="L110" s="143"/>
      <c r="M110" s="158"/>
      <c r="O110" s="52"/>
      <c r="P110" s="52"/>
      <c r="Q110" s="52"/>
      <c r="R110" s="52"/>
      <c r="S110" s="52"/>
    </row>
    <row r="111" spans="1:27" x14ac:dyDescent="0.2">
      <c r="A111" s="350"/>
      <c r="B111" s="150"/>
      <c r="C111" s="302" t="s">
        <v>39</v>
      </c>
      <c r="D111" s="302"/>
      <c r="E111" s="113"/>
      <c r="F111" s="154"/>
      <c r="G111" s="154"/>
      <c r="H111" s="154"/>
      <c r="I111" s="143"/>
      <c r="K111" s="301" t="s">
        <v>436</v>
      </c>
      <c r="L111" s="143"/>
      <c r="M111" s="158"/>
      <c r="O111" s="52"/>
      <c r="P111" s="52"/>
      <c r="Q111" s="52"/>
      <c r="R111" s="52"/>
      <c r="S111" s="52"/>
    </row>
    <row r="112" spans="1:27" x14ac:dyDescent="0.2">
      <c r="A112" s="350"/>
      <c r="B112" s="143"/>
      <c r="C112" s="302" t="s">
        <v>46</v>
      </c>
      <c r="D112" s="302"/>
      <c r="E112" s="143"/>
      <c r="F112" s="143"/>
      <c r="G112" s="143"/>
      <c r="H112" s="143"/>
      <c r="I112" s="154"/>
      <c r="K112" s="302" t="s">
        <v>2</v>
      </c>
      <c r="L112" s="143"/>
      <c r="M112" s="158"/>
      <c r="O112" s="52"/>
      <c r="P112" s="52"/>
      <c r="Q112" s="52"/>
      <c r="R112" s="52"/>
      <c r="S112" s="52"/>
    </row>
    <row r="113" spans="1:19" x14ac:dyDescent="0.2">
      <c r="A113" s="350"/>
      <c r="B113" s="143"/>
      <c r="C113" s="302"/>
      <c r="D113" s="302"/>
      <c r="E113" s="143"/>
      <c r="F113" s="143"/>
      <c r="G113" s="143"/>
      <c r="H113" s="143"/>
      <c r="I113" s="153"/>
      <c r="K113" s="302"/>
      <c r="L113" s="143"/>
      <c r="M113" s="158"/>
      <c r="O113" s="52"/>
      <c r="P113" s="52"/>
      <c r="Q113" s="52"/>
      <c r="R113" s="52"/>
      <c r="S113" s="52"/>
    </row>
    <row r="114" spans="1:19" x14ac:dyDescent="0.2">
      <c r="A114" s="350"/>
      <c r="B114" s="150"/>
      <c r="C114" s="302"/>
      <c r="D114" s="302"/>
      <c r="E114" s="143"/>
      <c r="F114" s="143"/>
      <c r="G114" s="143"/>
      <c r="H114" s="143"/>
      <c r="I114" s="153"/>
      <c r="K114" s="302"/>
      <c r="L114" s="143"/>
      <c r="M114" s="158"/>
      <c r="O114" s="52"/>
      <c r="P114" s="52"/>
      <c r="Q114" s="52"/>
      <c r="R114" s="52"/>
      <c r="S114" s="52"/>
    </row>
    <row r="115" spans="1:19" x14ac:dyDescent="0.2">
      <c r="A115" s="350"/>
      <c r="B115" s="150"/>
      <c r="C115" s="305" t="s">
        <v>156</v>
      </c>
      <c r="D115" s="305"/>
      <c r="E115" s="143"/>
      <c r="F115" s="143"/>
      <c r="G115" s="143"/>
      <c r="H115" s="143"/>
      <c r="I115" s="153"/>
      <c r="K115" s="303" t="str">
        <f>Biodata!E4</f>
        <v>Harun Arrosyid, S.Pd.I</v>
      </c>
      <c r="L115" s="143"/>
      <c r="M115" s="158"/>
      <c r="O115" s="52"/>
      <c r="P115" s="52"/>
      <c r="Q115" s="52"/>
      <c r="R115" s="52"/>
      <c r="S115" s="52"/>
    </row>
    <row r="116" spans="1:19" x14ac:dyDescent="0.2">
      <c r="A116" s="350"/>
      <c r="B116" s="149"/>
      <c r="C116" s="143"/>
      <c r="D116" s="143"/>
      <c r="E116" s="143"/>
      <c r="F116" s="143"/>
      <c r="G116" s="143"/>
      <c r="H116" s="143"/>
      <c r="I116" s="155"/>
      <c r="K116" s="304" t="str">
        <f>"NIP :"&amp;Biodata!E5</f>
        <v>NIP :--</v>
      </c>
      <c r="L116" s="143"/>
      <c r="M116" s="158"/>
      <c r="O116" s="52"/>
      <c r="P116" s="52"/>
      <c r="Q116" s="52"/>
      <c r="R116" s="52"/>
      <c r="S116" s="52"/>
    </row>
    <row r="117" spans="1:19" x14ac:dyDescent="0.2">
      <c r="A117" s="350"/>
      <c r="B117" s="143"/>
      <c r="C117" s="143"/>
      <c r="D117" s="143"/>
      <c r="E117" s="143"/>
      <c r="F117" s="149"/>
      <c r="G117" s="52"/>
      <c r="H117" s="143"/>
      <c r="I117" s="153"/>
      <c r="J117" s="143"/>
      <c r="K117" s="143"/>
      <c r="L117" s="143"/>
      <c r="M117" s="158"/>
      <c r="O117" s="52"/>
      <c r="P117" s="52"/>
      <c r="Q117" s="52"/>
      <c r="R117" s="52"/>
      <c r="S117" s="52"/>
    </row>
    <row r="118" spans="1:19" x14ac:dyDescent="0.2">
      <c r="A118" s="350"/>
      <c r="B118" s="143"/>
      <c r="C118" s="143"/>
      <c r="D118" s="143"/>
      <c r="E118" s="143"/>
      <c r="F118" s="143"/>
      <c r="H118" s="302" t="s">
        <v>39</v>
      </c>
      <c r="J118" s="143"/>
      <c r="K118" s="143"/>
      <c r="L118" s="143"/>
      <c r="M118" s="158"/>
      <c r="O118" s="52"/>
      <c r="P118" s="52"/>
      <c r="Q118" s="52"/>
      <c r="R118" s="52"/>
      <c r="S118" s="52"/>
    </row>
    <row r="119" spans="1:19" x14ac:dyDescent="0.2">
      <c r="A119" s="350"/>
      <c r="B119" s="143"/>
      <c r="C119" s="143"/>
      <c r="D119" s="143"/>
      <c r="E119" s="143"/>
      <c r="F119" s="143"/>
      <c r="H119" s="302" t="s">
        <v>1</v>
      </c>
      <c r="J119" s="143"/>
      <c r="K119" s="143"/>
      <c r="L119" s="143"/>
      <c r="M119" s="158"/>
      <c r="O119" s="52"/>
      <c r="P119" s="52"/>
      <c r="Q119" s="52"/>
      <c r="R119" s="52"/>
      <c r="S119" s="52"/>
    </row>
    <row r="120" spans="1:19" x14ac:dyDescent="0.2">
      <c r="A120" s="350"/>
      <c r="B120" s="143"/>
      <c r="C120" s="143"/>
      <c r="D120" s="143"/>
      <c r="E120" s="143"/>
      <c r="F120" s="153"/>
      <c r="G120" s="302"/>
      <c r="H120" s="143"/>
      <c r="I120" s="143"/>
      <c r="J120" s="143"/>
      <c r="K120" s="143"/>
      <c r="L120" s="143"/>
      <c r="M120" s="158"/>
      <c r="O120" s="52"/>
      <c r="P120" s="52"/>
      <c r="Q120" s="52"/>
      <c r="R120" s="52"/>
      <c r="S120" s="52"/>
    </row>
    <row r="121" spans="1:19" x14ac:dyDescent="0.2">
      <c r="A121" s="350"/>
      <c r="B121" s="143"/>
      <c r="C121" s="143"/>
      <c r="D121" s="143"/>
      <c r="E121" s="143"/>
      <c r="F121" s="153"/>
      <c r="G121" s="302"/>
      <c r="H121" s="143"/>
      <c r="I121" s="143"/>
      <c r="J121" s="143"/>
      <c r="K121" s="143"/>
      <c r="L121" s="143"/>
      <c r="M121" s="158"/>
      <c r="O121" s="52"/>
      <c r="P121" s="52"/>
      <c r="Q121" s="52"/>
      <c r="R121" s="52"/>
      <c r="S121" s="52"/>
    </row>
    <row r="122" spans="1:19" x14ac:dyDescent="0.2">
      <c r="A122" s="350"/>
      <c r="B122" s="143"/>
      <c r="C122" s="143"/>
      <c r="D122" s="143"/>
      <c r="E122" s="143"/>
      <c r="F122" s="153"/>
      <c r="H122" s="306" t="s">
        <v>37</v>
      </c>
      <c r="J122" s="143"/>
      <c r="K122" s="113"/>
      <c r="L122" s="143"/>
      <c r="M122" s="158"/>
      <c r="O122" s="52"/>
      <c r="P122" s="52"/>
      <c r="Q122" s="52"/>
      <c r="R122" s="52"/>
      <c r="S122" s="52"/>
    </row>
    <row r="123" spans="1:19" x14ac:dyDescent="0.2">
      <c r="A123" s="350"/>
      <c r="B123" s="143"/>
      <c r="C123" s="143"/>
      <c r="D123" s="143"/>
      <c r="E123" s="143"/>
      <c r="F123" s="143"/>
      <c r="H123" s="136" t="s">
        <v>347</v>
      </c>
      <c r="J123" s="143"/>
      <c r="K123" s="143"/>
      <c r="L123" s="143"/>
      <c r="M123" s="158"/>
      <c r="O123" s="52"/>
      <c r="P123" s="52"/>
      <c r="Q123" s="52"/>
      <c r="R123" s="52"/>
      <c r="S123" s="52"/>
    </row>
    <row r="124" spans="1:19" x14ac:dyDescent="0.2">
      <c r="A124" s="350"/>
      <c r="B124" s="143"/>
      <c r="C124" s="143"/>
      <c r="D124" s="143"/>
      <c r="E124" s="143"/>
      <c r="F124" s="143"/>
      <c r="G124" s="143"/>
      <c r="H124" s="143"/>
      <c r="I124" s="143"/>
      <c r="J124" s="143"/>
      <c r="K124" s="143"/>
      <c r="L124" s="143"/>
      <c r="M124" s="158"/>
      <c r="O124" s="52"/>
      <c r="P124" s="52"/>
      <c r="Q124" s="52"/>
      <c r="R124" s="52"/>
      <c r="S124" s="52"/>
    </row>
    <row r="125" spans="1:19" x14ac:dyDescent="0.2">
      <c r="A125" s="353"/>
      <c r="B125" s="151"/>
      <c r="C125" s="151"/>
      <c r="D125" s="151"/>
      <c r="E125" s="151"/>
      <c r="F125" s="151"/>
      <c r="G125" s="151"/>
      <c r="H125" s="151"/>
      <c r="I125" s="151"/>
      <c r="J125" s="151"/>
      <c r="K125" s="151"/>
      <c r="L125" s="151"/>
      <c r="M125" s="132"/>
      <c r="O125" s="52"/>
      <c r="P125" s="52"/>
      <c r="Q125" s="52"/>
      <c r="R125" s="52"/>
      <c r="S125" s="52"/>
    </row>
    <row r="126" spans="1:19" x14ac:dyDescent="0.2">
      <c r="A126" s="353"/>
      <c r="B126" s="151"/>
      <c r="C126" s="151"/>
      <c r="D126" s="151"/>
      <c r="E126" s="151"/>
      <c r="F126" s="151"/>
      <c r="G126" s="151"/>
      <c r="H126" s="151"/>
      <c r="I126" s="151"/>
      <c r="J126" s="151"/>
      <c r="K126" s="151"/>
      <c r="L126" s="151"/>
      <c r="M126" s="132"/>
      <c r="O126" s="52"/>
      <c r="P126" s="52"/>
      <c r="Q126" s="52"/>
      <c r="R126" s="52"/>
      <c r="S126" s="52"/>
    </row>
    <row r="127" spans="1:19" x14ac:dyDescent="0.2">
      <c r="A127" s="353"/>
      <c r="B127" s="151"/>
      <c r="C127" s="151"/>
      <c r="D127" s="151"/>
      <c r="E127" s="151"/>
      <c r="F127" s="151"/>
      <c r="G127" s="151"/>
      <c r="H127" s="151"/>
      <c r="I127" s="151"/>
      <c r="J127" s="151"/>
      <c r="K127" s="151"/>
      <c r="L127" s="151"/>
      <c r="M127" s="132"/>
      <c r="O127" s="52"/>
      <c r="P127" s="52"/>
      <c r="Q127" s="52"/>
      <c r="R127" s="52"/>
      <c r="S127" s="52"/>
    </row>
    <row r="128" spans="1:19" x14ac:dyDescent="0.2">
      <c r="A128" s="353"/>
      <c r="B128" s="151"/>
      <c r="C128" s="151"/>
      <c r="D128" s="151"/>
      <c r="E128" s="151"/>
      <c r="F128" s="151"/>
      <c r="G128" s="151"/>
      <c r="H128" s="151"/>
      <c r="I128" s="151"/>
      <c r="J128" s="151"/>
      <c r="K128" s="151"/>
      <c r="L128" s="151"/>
      <c r="M128" s="132"/>
      <c r="O128" s="52"/>
      <c r="P128" s="52"/>
      <c r="Q128" s="52"/>
      <c r="R128" s="52"/>
      <c r="S128" s="52"/>
    </row>
    <row r="129" spans="1:27" x14ac:dyDescent="0.2">
      <c r="A129" s="353"/>
      <c r="B129" s="151"/>
      <c r="C129" s="151"/>
      <c r="D129" s="151"/>
      <c r="E129" s="151"/>
      <c r="F129" s="151"/>
      <c r="G129" s="151"/>
      <c r="H129" s="151"/>
      <c r="I129" s="151"/>
      <c r="J129" s="151"/>
      <c r="K129" s="151"/>
      <c r="L129" s="151"/>
      <c r="M129" s="132"/>
      <c r="O129" s="52"/>
      <c r="P129" s="52"/>
      <c r="Q129" s="52"/>
      <c r="R129" s="52"/>
      <c r="S129" s="52"/>
    </row>
    <row r="130" spans="1:27" x14ac:dyDescent="0.2">
      <c r="A130" s="353"/>
      <c r="B130" s="151"/>
      <c r="C130" s="151"/>
      <c r="D130" s="151"/>
      <c r="E130" s="151"/>
      <c r="F130" s="151"/>
      <c r="G130" s="151"/>
      <c r="H130" s="151"/>
      <c r="I130" s="151"/>
      <c r="J130" s="151"/>
      <c r="K130" s="151"/>
      <c r="L130" s="151"/>
      <c r="M130" s="132"/>
      <c r="O130" s="52"/>
      <c r="P130" s="52"/>
      <c r="Q130" s="52"/>
      <c r="R130" s="52"/>
      <c r="S130" s="52"/>
    </row>
    <row r="131" spans="1:27" x14ac:dyDescent="0.2">
      <c r="A131" s="353"/>
      <c r="B131" s="151"/>
      <c r="C131" s="151"/>
      <c r="D131" s="151"/>
      <c r="E131" s="151"/>
      <c r="F131" s="151"/>
      <c r="G131" s="151"/>
      <c r="H131" s="151"/>
      <c r="I131" s="151"/>
      <c r="J131" s="151"/>
      <c r="K131" s="151"/>
      <c r="L131" s="151"/>
      <c r="M131" s="132"/>
      <c r="O131" s="168"/>
      <c r="P131" s="331"/>
      <c r="Q131" s="331"/>
      <c r="R131" s="331"/>
      <c r="S131" s="331"/>
    </row>
    <row r="132" spans="1:27" x14ac:dyDescent="0.2">
      <c r="A132" s="353"/>
      <c r="B132" s="151"/>
      <c r="C132" s="151"/>
      <c r="D132" s="151"/>
      <c r="E132" s="151"/>
      <c r="F132" s="151"/>
      <c r="G132" s="151"/>
      <c r="H132" s="151"/>
      <c r="I132" s="151"/>
      <c r="J132" s="151"/>
      <c r="K132" s="151"/>
      <c r="L132" s="151"/>
      <c r="M132" s="132"/>
      <c r="O132" s="156"/>
      <c r="S132" s="316"/>
    </row>
    <row r="133" spans="1:27" x14ac:dyDescent="0.2">
      <c r="A133" s="353"/>
      <c r="B133" s="151"/>
      <c r="C133" s="151"/>
      <c r="D133" s="151"/>
      <c r="E133" s="151"/>
      <c r="F133" s="151"/>
      <c r="G133" s="151"/>
      <c r="H133" s="151"/>
      <c r="I133" s="151"/>
      <c r="J133" s="151"/>
      <c r="K133" s="151"/>
      <c r="L133" s="151"/>
      <c r="M133" s="132"/>
      <c r="O133" s="156"/>
      <c r="S133" s="316"/>
    </row>
    <row r="134" spans="1:27" x14ac:dyDescent="0.2">
      <c r="A134" s="353"/>
      <c r="B134" s="151"/>
      <c r="C134" s="151"/>
      <c r="D134" s="151"/>
      <c r="E134" s="151"/>
      <c r="F134" s="151"/>
      <c r="G134" s="151"/>
      <c r="H134" s="151"/>
      <c r="I134" s="151"/>
      <c r="J134" s="151"/>
      <c r="K134" s="151"/>
      <c r="L134" s="151"/>
      <c r="M134" s="132"/>
      <c r="O134" s="156"/>
      <c r="S134" s="316"/>
    </row>
    <row r="135" spans="1:27" s="54" customFormat="1" x14ac:dyDescent="0.2">
      <c r="A135" s="353"/>
      <c r="B135" s="151"/>
      <c r="C135" s="151"/>
      <c r="D135" s="151"/>
      <c r="E135" s="151"/>
      <c r="F135" s="151"/>
      <c r="G135" s="151"/>
      <c r="H135" s="151"/>
      <c r="I135" s="151"/>
      <c r="J135" s="151"/>
      <c r="K135" s="151"/>
      <c r="L135" s="151"/>
      <c r="M135" s="132"/>
      <c r="N135" s="70"/>
      <c r="O135" s="156"/>
      <c r="S135" s="316"/>
      <c r="T135" s="88"/>
      <c r="U135" s="88"/>
      <c r="V135" s="88"/>
      <c r="W135" s="22"/>
      <c r="X135" s="22"/>
      <c r="Y135" s="22"/>
      <c r="Z135" s="22"/>
      <c r="AA135" s="22"/>
    </row>
    <row r="136" spans="1:27" s="54" customFormat="1" x14ac:dyDescent="0.2">
      <c r="A136" s="353"/>
      <c r="B136" s="151"/>
      <c r="C136" s="151"/>
      <c r="D136" s="151"/>
      <c r="E136" s="151"/>
      <c r="F136" s="151"/>
      <c r="G136" s="151"/>
      <c r="H136" s="151"/>
      <c r="I136" s="151"/>
      <c r="J136" s="151"/>
      <c r="K136" s="151"/>
      <c r="L136" s="151"/>
      <c r="M136" s="132"/>
      <c r="N136" s="70"/>
      <c r="O136" s="156"/>
      <c r="S136" s="316"/>
      <c r="T136" s="88"/>
      <c r="U136" s="88"/>
      <c r="V136" s="88"/>
      <c r="W136" s="22"/>
      <c r="X136" s="22"/>
      <c r="Y136" s="22"/>
      <c r="Z136" s="22"/>
      <c r="AA136" s="22"/>
    </row>
    <row r="137" spans="1:27" x14ac:dyDescent="0.2">
      <c r="A137" s="353"/>
      <c r="B137" s="151"/>
      <c r="C137" s="151"/>
      <c r="D137" s="151"/>
      <c r="E137" s="151"/>
      <c r="F137" s="151"/>
      <c r="G137" s="151"/>
      <c r="H137" s="151"/>
      <c r="I137" s="151"/>
      <c r="J137" s="151"/>
      <c r="K137" s="151"/>
      <c r="L137" s="151"/>
      <c r="M137" s="132"/>
      <c r="O137" s="156"/>
      <c r="S137" s="316"/>
    </row>
    <row r="138" spans="1:27" x14ac:dyDescent="0.2">
      <c r="A138" s="353"/>
      <c r="B138" s="151"/>
      <c r="C138" s="151"/>
      <c r="D138" s="151"/>
      <c r="E138" s="151"/>
      <c r="F138" s="151"/>
      <c r="G138" s="151"/>
      <c r="H138" s="151"/>
      <c r="I138" s="151"/>
      <c r="J138" s="151"/>
      <c r="K138" s="151"/>
      <c r="L138" s="151"/>
      <c r="M138" s="132"/>
    </row>
    <row r="139" spans="1:27" x14ac:dyDescent="0.2">
      <c r="A139" s="353"/>
      <c r="B139" s="151"/>
      <c r="C139" s="151"/>
      <c r="D139" s="151"/>
      <c r="E139" s="151"/>
      <c r="F139" s="151"/>
      <c r="G139" s="151"/>
      <c r="H139" s="151"/>
      <c r="I139" s="151"/>
      <c r="J139" s="151"/>
      <c r="K139" s="151"/>
      <c r="L139" s="151"/>
      <c r="M139" s="132"/>
    </row>
    <row r="140" spans="1:27" x14ac:dyDescent="0.2">
      <c r="A140" s="353"/>
      <c r="B140" s="151"/>
      <c r="C140" s="151"/>
      <c r="D140" s="151"/>
      <c r="E140" s="151"/>
      <c r="F140" s="151"/>
      <c r="G140" s="151"/>
      <c r="H140" s="151"/>
      <c r="I140" s="151"/>
      <c r="J140" s="151"/>
      <c r="K140" s="151"/>
      <c r="L140" s="151"/>
      <c r="M140" s="132"/>
    </row>
    <row r="141" spans="1:27" x14ac:dyDescent="0.2">
      <c r="A141" s="353"/>
      <c r="B141" s="151"/>
      <c r="C141" s="151"/>
      <c r="D141" s="151"/>
      <c r="E141" s="151"/>
      <c r="F141" s="151"/>
      <c r="G141" s="151"/>
      <c r="H141" s="151"/>
      <c r="I141" s="151"/>
      <c r="J141" s="151"/>
      <c r="K141" s="151"/>
      <c r="L141" s="151"/>
      <c r="M141" s="132"/>
    </row>
    <row r="142" spans="1:27" x14ac:dyDescent="0.2">
      <c r="A142" s="353"/>
      <c r="B142" s="151"/>
      <c r="C142" s="151"/>
      <c r="D142" s="151"/>
      <c r="E142" s="151"/>
      <c r="F142" s="151"/>
      <c r="G142" s="151"/>
      <c r="H142" s="151"/>
      <c r="I142" s="151"/>
      <c r="J142" s="151"/>
      <c r="K142" s="151"/>
      <c r="L142" s="151"/>
      <c r="M142" s="132"/>
    </row>
    <row r="143" spans="1:27" x14ac:dyDescent="0.2">
      <c r="A143" s="353"/>
      <c r="B143" s="151"/>
      <c r="C143" s="151"/>
      <c r="D143" s="151"/>
      <c r="E143" s="151"/>
      <c r="F143" s="151"/>
      <c r="G143" s="151"/>
      <c r="H143" s="151"/>
      <c r="I143" s="151"/>
      <c r="J143" s="151"/>
      <c r="K143" s="151"/>
      <c r="L143" s="151"/>
      <c r="M143" s="132"/>
    </row>
    <row r="144" spans="1:27" x14ac:dyDescent="0.2">
      <c r="A144" s="353"/>
      <c r="B144" s="151"/>
      <c r="C144" s="151"/>
      <c r="D144" s="151"/>
      <c r="E144" s="151"/>
      <c r="F144" s="151"/>
      <c r="G144" s="151"/>
      <c r="H144" s="151"/>
      <c r="I144" s="151"/>
      <c r="J144" s="151"/>
      <c r="K144" s="151"/>
      <c r="L144" s="151"/>
      <c r="M144" s="132"/>
    </row>
    <row r="145" spans="1:13" x14ac:dyDescent="0.2">
      <c r="A145" s="353"/>
      <c r="B145" s="151"/>
      <c r="C145" s="151"/>
      <c r="D145" s="151"/>
      <c r="E145" s="151"/>
      <c r="F145" s="151"/>
      <c r="G145" s="151"/>
      <c r="H145" s="151"/>
      <c r="I145" s="151"/>
      <c r="J145" s="151"/>
      <c r="K145" s="151"/>
      <c r="L145" s="151"/>
      <c r="M145" s="132"/>
    </row>
    <row r="146" spans="1:13" x14ac:dyDescent="0.2">
      <c r="A146" s="353"/>
      <c r="B146" s="151"/>
      <c r="C146" s="151"/>
      <c r="D146" s="151"/>
      <c r="E146" s="151"/>
      <c r="F146" s="151"/>
      <c r="G146" s="151"/>
      <c r="H146" s="151"/>
      <c r="I146" s="151"/>
      <c r="J146" s="151"/>
      <c r="K146" s="151"/>
      <c r="L146" s="151"/>
      <c r="M146" s="132"/>
    </row>
    <row r="147" spans="1:13" x14ac:dyDescent="0.2">
      <c r="A147" s="353"/>
      <c r="B147" s="151"/>
      <c r="C147" s="151"/>
      <c r="D147" s="151"/>
      <c r="E147" s="151"/>
      <c r="F147" s="151"/>
      <c r="G147" s="151"/>
      <c r="H147" s="151"/>
      <c r="I147" s="151"/>
      <c r="J147" s="151"/>
      <c r="K147" s="151"/>
      <c r="L147" s="151"/>
      <c r="M147" s="132"/>
    </row>
    <row r="148" spans="1:13" x14ac:dyDescent="0.2">
      <c r="A148" s="353"/>
      <c r="B148" s="151"/>
      <c r="C148" s="151"/>
      <c r="D148" s="151"/>
      <c r="E148" s="151"/>
      <c r="F148" s="151"/>
      <c r="G148" s="151"/>
      <c r="H148" s="151"/>
      <c r="I148" s="151"/>
      <c r="J148" s="151"/>
      <c r="K148" s="151"/>
      <c r="L148" s="151"/>
      <c r="M148" s="132"/>
    </row>
    <row r="149" spans="1:13" x14ac:dyDescent="0.2">
      <c r="A149" s="353"/>
      <c r="B149" s="151"/>
      <c r="C149" s="151"/>
      <c r="D149" s="151"/>
      <c r="E149" s="151"/>
      <c r="F149" s="151"/>
      <c r="G149" s="151"/>
      <c r="H149" s="151"/>
      <c r="I149" s="151"/>
      <c r="J149" s="151"/>
      <c r="K149" s="151"/>
      <c r="L149" s="151"/>
      <c r="M149" s="132"/>
    </row>
    <row r="150" spans="1:13" x14ac:dyDescent="0.2">
      <c r="A150" s="353"/>
      <c r="B150" s="151"/>
      <c r="C150" s="151"/>
      <c r="D150" s="151"/>
      <c r="E150" s="151"/>
      <c r="F150" s="151"/>
      <c r="G150" s="151"/>
      <c r="H150" s="151"/>
      <c r="I150" s="151"/>
      <c r="J150" s="151"/>
      <c r="K150" s="151"/>
      <c r="L150" s="151"/>
      <c r="M150" s="132"/>
    </row>
    <row r="151" spans="1:13" x14ac:dyDescent="0.2">
      <c r="A151" s="353"/>
      <c r="B151" s="151"/>
      <c r="C151" s="151"/>
      <c r="D151" s="151"/>
      <c r="E151" s="151"/>
      <c r="F151" s="151"/>
      <c r="G151" s="151"/>
      <c r="H151" s="151"/>
      <c r="I151" s="151"/>
      <c r="J151" s="151"/>
      <c r="K151" s="151"/>
      <c r="L151" s="151"/>
      <c r="M151" s="132"/>
    </row>
    <row r="152" spans="1:13" x14ac:dyDescent="0.2">
      <c r="A152" s="353"/>
      <c r="B152" s="151"/>
      <c r="C152" s="151"/>
      <c r="D152" s="151"/>
      <c r="E152" s="151"/>
      <c r="F152" s="151"/>
      <c r="G152" s="151"/>
      <c r="H152" s="151"/>
      <c r="I152" s="151"/>
      <c r="J152" s="151"/>
      <c r="K152" s="151"/>
      <c r="L152" s="151"/>
      <c r="M152" s="132"/>
    </row>
    <row r="153" spans="1:13" x14ac:dyDescent="0.2">
      <c r="A153" s="353"/>
      <c r="B153" s="151"/>
      <c r="C153" s="151"/>
      <c r="D153" s="151"/>
      <c r="E153" s="151"/>
      <c r="F153" s="151"/>
      <c r="G153" s="151"/>
      <c r="H153" s="151"/>
      <c r="I153" s="151"/>
      <c r="J153" s="151"/>
      <c r="K153" s="151"/>
      <c r="L153" s="151"/>
      <c r="M153" s="132"/>
    </row>
    <row r="154" spans="1:13" x14ac:dyDescent="0.2">
      <c r="A154" s="353"/>
      <c r="B154" s="151"/>
      <c r="C154" s="151"/>
      <c r="D154" s="151"/>
      <c r="E154" s="151"/>
      <c r="F154" s="151"/>
      <c r="G154" s="151"/>
      <c r="H154" s="151"/>
      <c r="I154" s="151"/>
      <c r="J154" s="151"/>
      <c r="K154" s="151"/>
      <c r="L154" s="151"/>
      <c r="M154" s="132"/>
    </row>
    <row r="155" spans="1:13" x14ac:dyDescent="0.2">
      <c r="A155" s="353"/>
      <c r="B155" s="151"/>
      <c r="C155" s="151"/>
      <c r="D155" s="151"/>
      <c r="E155" s="151"/>
      <c r="F155" s="151"/>
      <c r="G155" s="151"/>
      <c r="H155" s="151"/>
      <c r="I155" s="151"/>
      <c r="J155" s="151"/>
      <c r="K155" s="151"/>
      <c r="L155" s="151"/>
      <c r="M155" s="132"/>
    </row>
    <row r="156" spans="1:13" x14ac:dyDescent="0.2">
      <c r="A156" s="353"/>
      <c r="B156" s="151"/>
      <c r="C156" s="151"/>
      <c r="D156" s="151"/>
      <c r="E156" s="151"/>
      <c r="F156" s="151"/>
      <c r="G156" s="151"/>
      <c r="H156" s="151"/>
      <c r="I156" s="151"/>
      <c r="J156" s="151"/>
      <c r="K156" s="151"/>
      <c r="L156" s="151"/>
      <c r="M156" s="132"/>
    </row>
    <row r="157" spans="1:13" x14ac:dyDescent="0.2">
      <c r="A157" s="353"/>
      <c r="B157" s="151"/>
      <c r="C157" s="151"/>
      <c r="D157" s="151"/>
      <c r="E157" s="151"/>
      <c r="F157" s="151"/>
      <c r="G157" s="151"/>
      <c r="H157" s="151"/>
      <c r="I157" s="151"/>
      <c r="J157" s="151"/>
      <c r="K157" s="151"/>
      <c r="L157" s="151"/>
      <c r="M157" s="132"/>
    </row>
    <row r="158" spans="1:13" x14ac:dyDescent="0.2">
      <c r="A158" s="353"/>
      <c r="B158" s="151"/>
      <c r="C158" s="151"/>
      <c r="D158" s="151"/>
      <c r="E158" s="151"/>
      <c r="F158" s="151"/>
      <c r="G158" s="151"/>
      <c r="H158" s="151"/>
      <c r="I158" s="151"/>
      <c r="J158" s="151"/>
      <c r="K158" s="151"/>
      <c r="L158" s="151"/>
      <c r="M158" s="132"/>
    </row>
    <row r="159" spans="1:13" x14ac:dyDescent="0.2">
      <c r="A159" s="353"/>
      <c r="B159" s="151"/>
      <c r="C159" s="151"/>
      <c r="D159" s="151"/>
      <c r="E159" s="151"/>
      <c r="F159" s="151"/>
      <c r="G159" s="151"/>
      <c r="H159" s="151"/>
      <c r="I159" s="151"/>
      <c r="J159" s="151"/>
      <c r="K159" s="151"/>
      <c r="L159" s="151"/>
      <c r="M159" s="132"/>
    </row>
    <row r="160" spans="1:13" x14ac:dyDescent="0.2">
      <c r="A160" s="353"/>
      <c r="B160" s="151"/>
      <c r="C160" s="151"/>
      <c r="D160" s="151"/>
      <c r="E160" s="151"/>
      <c r="F160" s="151"/>
      <c r="G160" s="151"/>
      <c r="H160" s="151"/>
      <c r="I160" s="151"/>
      <c r="J160" s="151"/>
      <c r="K160" s="151"/>
      <c r="L160" s="151"/>
      <c r="M160" s="132"/>
    </row>
    <row r="161" spans="1:13" x14ac:dyDescent="0.2">
      <c r="A161" s="353"/>
      <c r="B161" s="151"/>
      <c r="C161" s="151"/>
      <c r="D161" s="151"/>
      <c r="E161" s="151"/>
      <c r="F161" s="151"/>
      <c r="G161" s="151"/>
      <c r="H161" s="151"/>
      <c r="I161" s="151"/>
      <c r="J161" s="151"/>
      <c r="K161" s="151"/>
      <c r="L161" s="151"/>
      <c r="M161" s="132"/>
    </row>
    <row r="162" spans="1:13" x14ac:dyDescent="0.2">
      <c r="A162" s="353"/>
      <c r="B162" s="151"/>
      <c r="C162" s="151"/>
      <c r="D162" s="151"/>
      <c r="E162" s="151"/>
      <c r="F162" s="151"/>
      <c r="G162" s="151"/>
      <c r="H162" s="151"/>
      <c r="I162" s="151"/>
      <c r="J162" s="151"/>
      <c r="K162" s="151"/>
      <c r="L162" s="151"/>
      <c r="M162" s="132"/>
    </row>
    <row r="163" spans="1:13" x14ac:dyDescent="0.2">
      <c r="A163" s="353"/>
      <c r="B163" s="151"/>
      <c r="C163" s="151"/>
      <c r="D163" s="151"/>
      <c r="E163" s="151"/>
      <c r="F163" s="151"/>
      <c r="G163" s="151"/>
      <c r="H163" s="151"/>
      <c r="I163" s="151"/>
      <c r="J163" s="151"/>
      <c r="K163" s="151"/>
      <c r="L163" s="151"/>
      <c r="M163" s="132"/>
    </row>
    <row r="164" spans="1:13" x14ac:dyDescent="0.2">
      <c r="A164" s="353"/>
      <c r="B164" s="151"/>
      <c r="C164" s="151"/>
      <c r="D164" s="151"/>
      <c r="E164" s="151"/>
      <c r="F164" s="151"/>
      <c r="G164" s="151"/>
      <c r="H164" s="151"/>
      <c r="I164" s="151"/>
      <c r="J164" s="151"/>
      <c r="K164" s="151"/>
      <c r="L164" s="151"/>
      <c r="M164" s="132"/>
    </row>
    <row r="165" spans="1:13" x14ac:dyDescent="0.2">
      <c r="A165" s="353"/>
      <c r="B165" s="151"/>
      <c r="C165" s="151"/>
      <c r="D165" s="151"/>
      <c r="E165" s="151"/>
      <c r="F165" s="151"/>
      <c r="G165" s="151"/>
      <c r="H165" s="151"/>
      <c r="I165" s="151"/>
      <c r="J165" s="151"/>
      <c r="K165" s="151"/>
      <c r="L165" s="151"/>
      <c r="M165" s="132"/>
    </row>
    <row r="166" spans="1:13" x14ac:dyDescent="0.2">
      <c r="A166" s="353"/>
      <c r="B166" s="151"/>
      <c r="C166" s="151"/>
      <c r="D166" s="151"/>
      <c r="E166" s="151"/>
      <c r="F166" s="151"/>
      <c r="G166" s="151"/>
      <c r="H166" s="151"/>
      <c r="I166" s="151"/>
      <c r="J166" s="151"/>
      <c r="K166" s="151"/>
      <c r="L166" s="151"/>
      <c r="M166" s="132"/>
    </row>
    <row r="167" spans="1:13" x14ac:dyDescent="0.2">
      <c r="A167" s="353"/>
      <c r="B167" s="151"/>
      <c r="C167" s="151"/>
      <c r="D167" s="151"/>
      <c r="E167" s="151"/>
      <c r="F167" s="151"/>
      <c r="G167" s="151"/>
      <c r="H167" s="151"/>
      <c r="I167" s="151"/>
      <c r="J167" s="151"/>
      <c r="K167" s="151"/>
      <c r="L167" s="151"/>
      <c r="M167" s="132"/>
    </row>
    <row r="168" spans="1:13" x14ac:dyDescent="0.2">
      <c r="A168" s="353"/>
      <c r="B168" s="151"/>
      <c r="C168" s="151"/>
      <c r="D168" s="151"/>
      <c r="E168" s="151"/>
      <c r="F168" s="151"/>
      <c r="G168" s="151"/>
      <c r="H168" s="151"/>
      <c r="I168" s="151"/>
      <c r="J168" s="151"/>
      <c r="K168" s="151"/>
      <c r="L168" s="151"/>
      <c r="M168" s="132"/>
    </row>
    <row r="169" spans="1:13" x14ac:dyDescent="0.2">
      <c r="A169" s="353"/>
      <c r="B169" s="151"/>
      <c r="C169" s="151"/>
      <c r="D169" s="151"/>
      <c r="E169" s="151"/>
      <c r="F169" s="151"/>
      <c r="G169" s="151"/>
      <c r="H169" s="151"/>
      <c r="I169" s="151"/>
      <c r="J169" s="151"/>
      <c r="K169" s="151"/>
      <c r="L169" s="151"/>
      <c r="M169" s="132"/>
    </row>
    <row r="170" spans="1:13" x14ac:dyDescent="0.2">
      <c r="A170" s="353"/>
      <c r="B170" s="151"/>
      <c r="C170" s="151"/>
      <c r="D170" s="151"/>
      <c r="E170" s="151"/>
      <c r="F170" s="151"/>
      <c r="G170" s="151"/>
      <c r="H170" s="151"/>
      <c r="I170" s="151"/>
      <c r="J170" s="151"/>
      <c r="K170" s="151"/>
      <c r="L170" s="151"/>
      <c r="M170" s="132"/>
    </row>
    <row r="171" spans="1:13" x14ac:dyDescent="0.2">
      <c r="A171" s="353"/>
      <c r="B171" s="151"/>
      <c r="C171" s="151"/>
      <c r="D171" s="151"/>
      <c r="E171" s="151"/>
      <c r="F171" s="151"/>
      <c r="G171" s="151"/>
      <c r="H171" s="151"/>
      <c r="I171" s="151"/>
      <c r="J171" s="151"/>
      <c r="K171" s="151"/>
      <c r="L171" s="151"/>
      <c r="M171" s="132"/>
    </row>
    <row r="172" spans="1:13" x14ac:dyDescent="0.2">
      <c r="A172" s="353"/>
      <c r="B172" s="151"/>
      <c r="C172" s="151"/>
      <c r="D172" s="151"/>
      <c r="E172" s="151"/>
      <c r="F172" s="151"/>
      <c r="G172" s="151"/>
      <c r="H172" s="151"/>
      <c r="I172" s="151"/>
      <c r="J172" s="151"/>
      <c r="K172" s="151"/>
      <c r="L172" s="151"/>
      <c r="M172" s="132"/>
    </row>
    <row r="173" spans="1:13" x14ac:dyDescent="0.2">
      <c r="A173" s="353"/>
      <c r="B173" s="151"/>
      <c r="C173" s="151"/>
      <c r="D173" s="151"/>
      <c r="E173" s="151"/>
      <c r="F173" s="151"/>
      <c r="G173" s="151"/>
      <c r="H173" s="151"/>
      <c r="I173" s="151"/>
      <c r="J173" s="151"/>
      <c r="K173" s="151"/>
      <c r="L173" s="151"/>
      <c r="M173" s="132"/>
    </row>
    <row r="174" spans="1:13" x14ac:dyDescent="0.2">
      <c r="A174" s="353"/>
      <c r="B174" s="151"/>
      <c r="C174" s="151"/>
      <c r="D174" s="151"/>
      <c r="E174" s="151"/>
      <c r="F174" s="151"/>
      <c r="G174" s="151"/>
      <c r="H174" s="151"/>
      <c r="I174" s="151"/>
      <c r="J174" s="151"/>
      <c r="K174" s="151"/>
      <c r="L174" s="151"/>
      <c r="M174" s="132"/>
    </row>
    <row r="175" spans="1:13" x14ac:dyDescent="0.2">
      <c r="A175" s="353"/>
      <c r="B175" s="151"/>
      <c r="C175" s="151"/>
      <c r="D175" s="151"/>
      <c r="E175" s="151"/>
      <c r="F175" s="151"/>
      <c r="G175" s="151"/>
      <c r="H175" s="151"/>
      <c r="I175" s="151"/>
      <c r="J175" s="151"/>
      <c r="K175" s="151"/>
      <c r="L175" s="151"/>
      <c r="M175" s="132"/>
    </row>
    <row r="176" spans="1:13" x14ac:dyDescent="0.2">
      <c r="A176" s="353"/>
      <c r="B176" s="151"/>
      <c r="C176" s="151"/>
      <c r="D176" s="151"/>
      <c r="E176" s="151"/>
      <c r="F176" s="151"/>
      <c r="G176" s="151"/>
      <c r="H176" s="151"/>
      <c r="I176" s="151"/>
      <c r="J176" s="151"/>
      <c r="K176" s="151"/>
      <c r="L176" s="151"/>
      <c r="M176" s="132"/>
    </row>
    <row r="177" spans="1:13" x14ac:dyDescent="0.2">
      <c r="A177" s="353"/>
      <c r="B177" s="151"/>
      <c r="C177" s="151"/>
      <c r="D177" s="151"/>
      <c r="E177" s="151"/>
      <c r="F177" s="151"/>
      <c r="G177" s="151"/>
      <c r="H177" s="151"/>
      <c r="I177" s="151"/>
      <c r="J177" s="151"/>
      <c r="K177" s="151"/>
      <c r="L177" s="151"/>
      <c r="M177" s="132"/>
    </row>
    <row r="178" spans="1:13" x14ac:dyDescent="0.2">
      <c r="A178" s="353"/>
      <c r="B178" s="151"/>
      <c r="C178" s="151"/>
      <c r="D178" s="151"/>
      <c r="E178" s="151"/>
      <c r="F178" s="151"/>
      <c r="G178" s="151"/>
      <c r="H178" s="151"/>
      <c r="I178" s="151"/>
      <c r="J178" s="151"/>
      <c r="K178" s="151"/>
      <c r="L178" s="151"/>
      <c r="M178" s="132"/>
    </row>
    <row r="179" spans="1:13" x14ac:dyDescent="0.2">
      <c r="A179" s="353"/>
      <c r="B179" s="151"/>
      <c r="C179" s="151"/>
      <c r="D179" s="151"/>
      <c r="E179" s="151"/>
      <c r="F179" s="151"/>
      <c r="G179" s="151"/>
      <c r="H179" s="151"/>
      <c r="I179" s="151"/>
      <c r="J179" s="151"/>
      <c r="K179" s="151"/>
      <c r="L179" s="151"/>
      <c r="M179" s="132"/>
    </row>
    <row r="180" spans="1:13" x14ac:dyDescent="0.2">
      <c r="A180" s="353"/>
      <c r="B180" s="151"/>
      <c r="C180" s="151"/>
      <c r="D180" s="151"/>
      <c r="E180" s="151"/>
      <c r="F180" s="151"/>
      <c r="G180" s="151"/>
      <c r="H180" s="151"/>
      <c r="I180" s="151"/>
      <c r="J180" s="151"/>
      <c r="K180" s="151"/>
      <c r="L180" s="151"/>
      <c r="M180" s="132"/>
    </row>
    <row r="181" spans="1:13" x14ac:dyDescent="0.2">
      <c r="A181" s="353"/>
      <c r="B181" s="151"/>
      <c r="C181" s="151"/>
      <c r="D181" s="151"/>
      <c r="E181" s="151"/>
      <c r="F181" s="151"/>
      <c r="G181" s="151"/>
      <c r="H181" s="151"/>
      <c r="I181" s="151"/>
      <c r="J181" s="151"/>
      <c r="K181" s="151"/>
      <c r="L181" s="151"/>
      <c r="M181" s="132"/>
    </row>
    <row r="182" spans="1:13" x14ac:dyDescent="0.2">
      <c r="A182" s="353"/>
      <c r="B182" s="151"/>
      <c r="C182" s="151"/>
      <c r="D182" s="151"/>
      <c r="E182" s="151"/>
      <c r="F182" s="151"/>
      <c r="G182" s="151"/>
      <c r="H182" s="151"/>
      <c r="I182" s="151"/>
      <c r="J182" s="151"/>
      <c r="K182" s="151"/>
      <c r="L182" s="151"/>
      <c r="M182" s="132"/>
    </row>
    <row r="183" spans="1:13" x14ac:dyDescent="0.2">
      <c r="A183" s="353"/>
      <c r="B183" s="151"/>
      <c r="C183" s="151"/>
      <c r="D183" s="151"/>
      <c r="E183" s="151"/>
      <c r="F183" s="151"/>
      <c r="G183" s="151"/>
      <c r="H183" s="151"/>
      <c r="I183" s="151"/>
      <c r="J183" s="151"/>
      <c r="K183" s="151"/>
      <c r="L183" s="151"/>
      <c r="M183" s="132"/>
    </row>
    <row r="184" spans="1:13" x14ac:dyDescent="0.2">
      <c r="A184" s="353"/>
      <c r="B184" s="151"/>
      <c r="C184" s="151"/>
      <c r="D184" s="151"/>
      <c r="E184" s="151"/>
      <c r="F184" s="151"/>
      <c r="G184" s="151"/>
      <c r="H184" s="151"/>
      <c r="I184" s="151"/>
      <c r="J184" s="151"/>
      <c r="K184" s="151"/>
      <c r="L184" s="151"/>
      <c r="M184" s="132"/>
    </row>
    <row r="185" spans="1:13" x14ac:dyDescent="0.2">
      <c r="A185" s="353"/>
      <c r="B185" s="151"/>
      <c r="C185" s="151"/>
      <c r="D185" s="151"/>
      <c r="E185" s="151"/>
      <c r="F185" s="151"/>
      <c r="G185" s="151"/>
      <c r="H185" s="151"/>
      <c r="I185" s="151"/>
      <c r="J185" s="151"/>
      <c r="K185" s="151"/>
      <c r="L185" s="151"/>
      <c r="M185" s="132"/>
    </row>
    <row r="186" spans="1:13" x14ac:dyDescent="0.2">
      <c r="A186" s="353"/>
      <c r="B186" s="151"/>
      <c r="C186" s="151"/>
      <c r="D186" s="151"/>
      <c r="E186" s="151"/>
      <c r="F186" s="151"/>
      <c r="G186" s="151"/>
      <c r="H186" s="151"/>
      <c r="I186" s="151"/>
      <c r="J186" s="151"/>
      <c r="K186" s="151"/>
      <c r="L186" s="151"/>
      <c r="M186" s="132"/>
    </row>
    <row r="187" spans="1:13" x14ac:dyDescent="0.2">
      <c r="A187" s="353"/>
      <c r="B187" s="151"/>
      <c r="C187" s="151"/>
      <c r="D187" s="151"/>
      <c r="E187" s="151"/>
      <c r="F187" s="151"/>
      <c r="G187" s="151"/>
      <c r="H187" s="151"/>
      <c r="I187" s="151"/>
      <c r="J187" s="151"/>
      <c r="K187" s="151"/>
      <c r="L187" s="151"/>
      <c r="M187" s="132"/>
    </row>
    <row r="188" spans="1:13" x14ac:dyDescent="0.2">
      <c r="A188" s="353"/>
      <c r="B188" s="151"/>
      <c r="C188" s="151"/>
      <c r="D188" s="151"/>
      <c r="E188" s="151"/>
      <c r="F188" s="151"/>
      <c r="G188" s="151"/>
      <c r="H188" s="151"/>
      <c r="I188" s="151"/>
      <c r="J188" s="151"/>
      <c r="K188" s="151"/>
      <c r="L188" s="151"/>
      <c r="M188" s="132"/>
    </row>
    <row r="189" spans="1:13" x14ac:dyDescent="0.2">
      <c r="A189" s="353"/>
      <c r="B189" s="151"/>
      <c r="C189" s="151"/>
      <c r="D189" s="151"/>
      <c r="E189" s="151"/>
      <c r="F189" s="151"/>
      <c r="G189" s="151"/>
      <c r="H189" s="151"/>
      <c r="I189" s="151"/>
      <c r="J189" s="151"/>
      <c r="K189" s="151"/>
      <c r="L189" s="151"/>
      <c r="M189" s="132"/>
    </row>
    <row r="190" spans="1:13" x14ac:dyDescent="0.2">
      <c r="A190" s="353"/>
      <c r="B190" s="151"/>
      <c r="C190" s="151"/>
      <c r="D190" s="151"/>
      <c r="E190" s="151"/>
      <c r="F190" s="151"/>
      <c r="G190" s="151"/>
      <c r="H190" s="151"/>
      <c r="I190" s="151"/>
      <c r="J190" s="151"/>
      <c r="K190" s="151"/>
      <c r="L190" s="151"/>
      <c r="M190" s="132"/>
    </row>
    <row r="191" spans="1:13" x14ac:dyDescent="0.2">
      <c r="A191" s="353"/>
      <c r="B191" s="151"/>
      <c r="C191" s="151"/>
      <c r="D191" s="151"/>
      <c r="E191" s="151"/>
      <c r="F191" s="151"/>
      <c r="G191" s="151"/>
      <c r="H191" s="151"/>
      <c r="I191" s="151"/>
      <c r="J191" s="151"/>
      <c r="K191" s="151"/>
      <c r="L191" s="151"/>
      <c r="M191" s="132"/>
    </row>
    <row r="192" spans="1:13" x14ac:dyDescent="0.2">
      <c r="A192" s="353"/>
      <c r="B192" s="151"/>
      <c r="C192" s="151"/>
      <c r="D192" s="151"/>
      <c r="E192" s="151"/>
      <c r="F192" s="151"/>
      <c r="G192" s="151"/>
      <c r="H192" s="151"/>
      <c r="I192" s="151"/>
      <c r="J192" s="151"/>
      <c r="K192" s="151"/>
      <c r="L192" s="151"/>
      <c r="M192" s="132"/>
    </row>
    <row r="193" spans="1:13" x14ac:dyDescent="0.2">
      <c r="A193" s="353"/>
      <c r="B193" s="151"/>
      <c r="C193" s="151"/>
      <c r="D193" s="151"/>
      <c r="E193" s="151"/>
      <c r="F193" s="151"/>
      <c r="G193" s="151"/>
      <c r="H193" s="151"/>
      <c r="I193" s="151"/>
      <c r="J193" s="151"/>
      <c r="K193" s="151"/>
      <c r="L193" s="151"/>
      <c r="M193" s="132"/>
    </row>
    <row r="194" spans="1:13" x14ac:dyDescent="0.2">
      <c r="A194" s="353"/>
      <c r="B194" s="151"/>
      <c r="C194" s="151"/>
      <c r="D194" s="151"/>
      <c r="E194" s="151"/>
      <c r="F194" s="151"/>
      <c r="G194" s="151"/>
      <c r="H194" s="151"/>
      <c r="I194" s="151"/>
      <c r="J194" s="151"/>
      <c r="K194" s="151"/>
      <c r="L194" s="151"/>
      <c r="M194" s="132"/>
    </row>
    <row r="195" spans="1:13" x14ac:dyDescent="0.2">
      <c r="A195" s="353"/>
      <c r="B195" s="151"/>
      <c r="C195" s="151"/>
      <c r="D195" s="151"/>
      <c r="E195" s="151"/>
      <c r="F195" s="151"/>
      <c r="G195" s="151"/>
      <c r="H195" s="151"/>
      <c r="I195" s="151"/>
      <c r="J195" s="151"/>
      <c r="K195" s="151"/>
      <c r="L195" s="151"/>
      <c r="M195" s="132"/>
    </row>
    <row r="196" spans="1:13" x14ac:dyDescent="0.2">
      <c r="A196" s="353"/>
      <c r="B196" s="151"/>
      <c r="C196" s="151"/>
      <c r="D196" s="151"/>
      <c r="E196" s="151"/>
      <c r="F196" s="151"/>
      <c r="G196" s="151"/>
      <c r="H196" s="151"/>
      <c r="I196" s="151"/>
      <c r="J196" s="151"/>
      <c r="K196" s="151"/>
      <c r="L196" s="151"/>
      <c r="M196" s="132"/>
    </row>
    <row r="197" spans="1:13" x14ac:dyDescent="0.2">
      <c r="A197" s="353"/>
      <c r="B197" s="151"/>
      <c r="C197" s="151"/>
      <c r="D197" s="151"/>
      <c r="E197" s="151"/>
      <c r="F197" s="151"/>
      <c r="G197" s="151"/>
      <c r="H197" s="151"/>
      <c r="I197" s="151"/>
      <c r="J197" s="151"/>
      <c r="K197" s="151"/>
      <c r="L197" s="151"/>
      <c r="M197" s="132"/>
    </row>
    <row r="198" spans="1:13" x14ac:dyDescent="0.2">
      <c r="A198" s="353"/>
      <c r="B198" s="151"/>
      <c r="C198" s="151"/>
      <c r="D198" s="151"/>
      <c r="E198" s="151"/>
      <c r="F198" s="151"/>
      <c r="G198" s="151"/>
      <c r="H198" s="151"/>
      <c r="I198" s="151"/>
      <c r="J198" s="151"/>
      <c r="K198" s="151"/>
      <c r="L198" s="151"/>
      <c r="M198" s="132"/>
    </row>
    <row r="199" spans="1:13" x14ac:dyDescent="0.2">
      <c r="A199" s="353"/>
      <c r="B199" s="151"/>
      <c r="C199" s="151"/>
      <c r="D199" s="151"/>
      <c r="E199" s="151"/>
      <c r="F199" s="151"/>
      <c r="G199" s="151"/>
      <c r="H199" s="151"/>
      <c r="I199" s="151"/>
      <c r="J199" s="151"/>
      <c r="K199" s="151"/>
      <c r="L199" s="151"/>
      <c r="M199" s="132"/>
    </row>
    <row r="200" spans="1:13" x14ac:dyDescent="0.2">
      <c r="A200" s="353"/>
      <c r="B200" s="151"/>
      <c r="C200" s="151"/>
      <c r="D200" s="151"/>
      <c r="E200" s="151"/>
      <c r="F200" s="151"/>
      <c r="G200" s="151"/>
      <c r="H200" s="151"/>
      <c r="I200" s="151"/>
      <c r="J200" s="151"/>
      <c r="K200" s="151"/>
      <c r="L200" s="151"/>
      <c r="M200" s="132"/>
    </row>
    <row r="201" spans="1:13" x14ac:dyDescent="0.2">
      <c r="A201" s="353"/>
      <c r="B201" s="151"/>
      <c r="C201" s="151"/>
      <c r="D201" s="151"/>
      <c r="E201" s="151"/>
      <c r="F201" s="151"/>
      <c r="G201" s="151"/>
      <c r="H201" s="151"/>
      <c r="I201" s="151"/>
      <c r="J201" s="151"/>
      <c r="K201" s="151"/>
      <c r="L201" s="151"/>
      <c r="M201" s="132"/>
    </row>
    <row r="202" spans="1:13" x14ac:dyDescent="0.2">
      <c r="A202" s="353"/>
      <c r="B202" s="151"/>
      <c r="C202" s="151"/>
      <c r="D202" s="151"/>
      <c r="E202" s="151"/>
      <c r="F202" s="151"/>
      <c r="G202" s="151"/>
      <c r="H202" s="151"/>
      <c r="I202" s="151"/>
      <c r="J202" s="151"/>
      <c r="K202" s="151"/>
      <c r="L202" s="151"/>
      <c r="M202" s="132"/>
    </row>
    <row r="203" spans="1:13" x14ac:dyDescent="0.2">
      <c r="A203" s="353"/>
      <c r="B203" s="151"/>
      <c r="C203" s="151"/>
      <c r="D203" s="151"/>
      <c r="E203" s="151"/>
      <c r="F203" s="151"/>
      <c r="G203" s="151"/>
      <c r="H203" s="151"/>
      <c r="I203" s="151"/>
      <c r="J203" s="151"/>
      <c r="K203" s="151"/>
      <c r="L203" s="151"/>
      <c r="M203" s="132"/>
    </row>
    <row r="204" spans="1:13" x14ac:dyDescent="0.2">
      <c r="A204" s="353"/>
      <c r="B204" s="151"/>
      <c r="C204" s="151"/>
      <c r="D204" s="151"/>
      <c r="E204" s="151"/>
      <c r="F204" s="151"/>
      <c r="G204" s="151"/>
      <c r="H204" s="151"/>
      <c r="I204" s="151"/>
      <c r="J204" s="151"/>
      <c r="K204" s="151"/>
      <c r="L204" s="151"/>
      <c r="M204" s="132"/>
    </row>
    <row r="205" spans="1:13" x14ac:dyDescent="0.2">
      <c r="A205" s="353"/>
      <c r="B205" s="151"/>
      <c r="C205" s="151"/>
      <c r="D205" s="151"/>
      <c r="E205" s="151"/>
      <c r="F205" s="151"/>
      <c r="G205" s="151"/>
      <c r="H205" s="151"/>
      <c r="I205" s="151"/>
      <c r="J205" s="151"/>
      <c r="K205" s="151"/>
      <c r="L205" s="151"/>
      <c r="M205" s="132"/>
    </row>
    <row r="206" spans="1:13" x14ac:dyDescent="0.2">
      <c r="A206" s="353"/>
      <c r="B206" s="151"/>
      <c r="C206" s="151"/>
      <c r="D206" s="151"/>
      <c r="E206" s="151"/>
      <c r="F206" s="151"/>
      <c r="G206" s="151"/>
      <c r="H206" s="151"/>
      <c r="I206" s="151"/>
      <c r="J206" s="151"/>
      <c r="K206" s="151"/>
      <c r="L206" s="151"/>
      <c r="M206" s="132"/>
    </row>
    <row r="207" spans="1:13" x14ac:dyDescent="0.2">
      <c r="A207" s="353"/>
      <c r="B207" s="151"/>
      <c r="C207" s="151"/>
      <c r="D207" s="151"/>
      <c r="E207" s="151"/>
      <c r="F207" s="151"/>
      <c r="G207" s="151"/>
      <c r="H207" s="151"/>
      <c r="I207" s="151"/>
      <c r="J207" s="151"/>
      <c r="K207" s="151"/>
      <c r="L207" s="151"/>
      <c r="M207" s="132"/>
    </row>
    <row r="208" spans="1:13" x14ac:dyDescent="0.2">
      <c r="A208" s="353"/>
      <c r="B208" s="151"/>
      <c r="C208" s="151"/>
      <c r="D208" s="151"/>
      <c r="E208" s="151"/>
      <c r="F208" s="151"/>
      <c r="G208" s="151"/>
      <c r="H208" s="151"/>
      <c r="I208" s="151"/>
      <c r="J208" s="151"/>
      <c r="K208" s="151"/>
      <c r="L208" s="151"/>
      <c r="M208" s="132"/>
    </row>
    <row r="209" spans="1:13" x14ac:dyDescent="0.2">
      <c r="A209" s="353"/>
      <c r="B209" s="151"/>
      <c r="C209" s="151"/>
      <c r="D209" s="151"/>
      <c r="E209" s="151"/>
      <c r="F209" s="151"/>
      <c r="G209" s="151"/>
      <c r="H209" s="151"/>
      <c r="I209" s="151"/>
      <c r="J209" s="151"/>
      <c r="K209" s="151"/>
      <c r="L209" s="151"/>
      <c r="M209" s="132"/>
    </row>
    <row r="210" spans="1:13" x14ac:dyDescent="0.2">
      <c r="A210" s="353"/>
      <c r="B210" s="151"/>
      <c r="C210" s="151"/>
      <c r="D210" s="151"/>
      <c r="E210" s="151"/>
      <c r="F210" s="151"/>
      <c r="G210" s="151"/>
      <c r="H210" s="151"/>
      <c r="I210" s="151"/>
      <c r="J210" s="151"/>
      <c r="K210" s="151"/>
      <c r="L210" s="151"/>
      <c r="M210" s="132"/>
    </row>
    <row r="211" spans="1:13" x14ac:dyDescent="0.2">
      <c r="A211" s="353"/>
      <c r="B211" s="151"/>
      <c r="C211" s="151"/>
      <c r="D211" s="151"/>
      <c r="E211" s="151"/>
      <c r="F211" s="151"/>
      <c r="G211" s="151"/>
      <c r="H211" s="151"/>
      <c r="I211" s="151"/>
      <c r="J211" s="151"/>
      <c r="K211" s="151"/>
      <c r="L211" s="151"/>
      <c r="M211" s="132"/>
    </row>
    <row r="212" spans="1:13" x14ac:dyDescent="0.2">
      <c r="A212" s="353"/>
      <c r="B212" s="151"/>
      <c r="C212" s="151"/>
      <c r="D212" s="151"/>
      <c r="E212" s="151"/>
      <c r="F212" s="151"/>
      <c r="G212" s="151"/>
      <c r="H212" s="151"/>
      <c r="I212" s="151"/>
      <c r="J212" s="151"/>
      <c r="K212" s="151"/>
      <c r="L212" s="151"/>
      <c r="M212" s="132"/>
    </row>
    <row r="213" spans="1:13" x14ac:dyDescent="0.2">
      <c r="A213" s="353"/>
      <c r="B213" s="151"/>
      <c r="C213" s="151"/>
      <c r="D213" s="151"/>
      <c r="E213" s="151"/>
      <c r="F213" s="151"/>
      <c r="G213" s="151"/>
      <c r="H213" s="151"/>
      <c r="I213" s="151"/>
      <c r="J213" s="151"/>
      <c r="K213" s="151"/>
      <c r="L213" s="151"/>
      <c r="M213" s="132"/>
    </row>
    <row r="214" spans="1:13" x14ac:dyDescent="0.2">
      <c r="A214" s="353"/>
      <c r="B214" s="151"/>
      <c r="C214" s="151"/>
      <c r="D214" s="151"/>
      <c r="E214" s="151"/>
      <c r="F214" s="151"/>
      <c r="G214" s="151"/>
      <c r="H214" s="151"/>
      <c r="I214" s="151"/>
      <c r="J214" s="151"/>
      <c r="K214" s="151"/>
      <c r="L214" s="151"/>
      <c r="M214" s="132"/>
    </row>
    <row r="215" spans="1:13" x14ac:dyDescent="0.2">
      <c r="A215" s="353"/>
      <c r="B215" s="151"/>
      <c r="C215" s="151"/>
      <c r="D215" s="151"/>
      <c r="E215" s="151"/>
      <c r="F215" s="151"/>
      <c r="G215" s="151"/>
      <c r="H215" s="151"/>
      <c r="I215" s="151"/>
      <c r="J215" s="151"/>
      <c r="K215" s="151"/>
      <c r="L215" s="151"/>
      <c r="M215" s="132"/>
    </row>
    <row r="216" spans="1:13" x14ac:dyDescent="0.2">
      <c r="A216" s="353"/>
      <c r="B216" s="151"/>
      <c r="C216" s="151"/>
      <c r="D216" s="151"/>
      <c r="E216" s="151"/>
      <c r="F216" s="151"/>
      <c r="G216" s="151"/>
      <c r="H216" s="151"/>
      <c r="I216" s="151"/>
      <c r="J216" s="151"/>
      <c r="K216" s="151"/>
      <c r="L216" s="151"/>
      <c r="M216" s="132"/>
    </row>
    <row r="217" spans="1:13" x14ac:dyDescent="0.2">
      <c r="A217" s="353"/>
      <c r="B217" s="151"/>
      <c r="C217" s="151"/>
      <c r="D217" s="151"/>
      <c r="E217" s="151"/>
      <c r="F217" s="151"/>
      <c r="G217" s="151"/>
      <c r="H217" s="151"/>
      <c r="I217" s="151"/>
      <c r="J217" s="151"/>
      <c r="K217" s="151"/>
      <c r="L217" s="151"/>
      <c r="M217" s="132"/>
    </row>
    <row r="218" spans="1:13" x14ac:dyDescent="0.2">
      <c r="A218" s="353"/>
      <c r="B218" s="151"/>
      <c r="C218" s="151"/>
      <c r="D218" s="151"/>
      <c r="E218" s="151"/>
      <c r="F218" s="151"/>
      <c r="G218" s="151"/>
      <c r="H218" s="151"/>
      <c r="I218" s="151"/>
      <c r="J218" s="151"/>
      <c r="K218" s="151"/>
      <c r="L218" s="151"/>
      <c r="M218" s="132"/>
    </row>
    <row r="219" spans="1:13" x14ac:dyDescent="0.2">
      <c r="A219" s="353"/>
      <c r="B219" s="151"/>
      <c r="C219" s="151"/>
      <c r="D219" s="151"/>
      <c r="E219" s="151"/>
      <c r="F219" s="151"/>
      <c r="G219" s="151"/>
      <c r="H219" s="151"/>
      <c r="I219" s="151"/>
      <c r="J219" s="151"/>
      <c r="K219" s="151"/>
      <c r="L219" s="151"/>
      <c r="M219" s="132"/>
    </row>
    <row r="220" spans="1:13" x14ac:dyDescent="0.2">
      <c r="A220" s="353"/>
      <c r="B220" s="151"/>
      <c r="C220" s="151"/>
      <c r="D220" s="151"/>
      <c r="E220" s="151"/>
      <c r="F220" s="151"/>
      <c r="G220" s="151"/>
      <c r="H220" s="151"/>
      <c r="I220" s="151"/>
      <c r="J220" s="151"/>
      <c r="K220" s="151"/>
      <c r="L220" s="151"/>
      <c r="M220" s="132"/>
    </row>
    <row r="221" spans="1:13" x14ac:dyDescent="0.2">
      <c r="A221" s="353"/>
      <c r="B221" s="151"/>
      <c r="C221" s="151"/>
      <c r="D221" s="151"/>
      <c r="E221" s="151"/>
      <c r="F221" s="151"/>
      <c r="G221" s="151"/>
      <c r="H221" s="151"/>
      <c r="I221" s="151"/>
      <c r="J221" s="151"/>
      <c r="K221" s="151"/>
      <c r="L221" s="151"/>
      <c r="M221" s="132"/>
    </row>
    <row r="222" spans="1:13" x14ac:dyDescent="0.2">
      <c r="A222" s="353"/>
      <c r="B222" s="151"/>
      <c r="C222" s="151"/>
      <c r="D222" s="151"/>
      <c r="E222" s="151"/>
      <c r="F222" s="151"/>
      <c r="G222" s="151"/>
      <c r="H222" s="151"/>
      <c r="I222" s="151"/>
      <c r="J222" s="151"/>
      <c r="K222" s="151"/>
      <c r="L222" s="151"/>
      <c r="M222" s="132"/>
    </row>
    <row r="223" spans="1:13" x14ac:dyDescent="0.2">
      <c r="A223" s="353"/>
      <c r="B223" s="151"/>
      <c r="C223" s="151"/>
      <c r="D223" s="151"/>
      <c r="E223" s="151"/>
      <c r="F223" s="151"/>
      <c r="G223" s="151"/>
      <c r="H223" s="151"/>
      <c r="I223" s="151"/>
      <c r="J223" s="151"/>
      <c r="K223" s="151"/>
      <c r="L223" s="151"/>
      <c r="M223" s="132"/>
    </row>
    <row r="224" spans="1:13" x14ac:dyDescent="0.2">
      <c r="A224" s="353"/>
      <c r="B224" s="151"/>
      <c r="C224" s="151"/>
      <c r="D224" s="151"/>
      <c r="E224" s="151"/>
      <c r="F224" s="151"/>
      <c r="G224" s="151"/>
      <c r="H224" s="151"/>
      <c r="I224" s="151"/>
      <c r="J224" s="151"/>
      <c r="K224" s="151"/>
      <c r="L224" s="151"/>
      <c r="M224" s="132"/>
    </row>
    <row r="225" spans="1:13" x14ac:dyDescent="0.2">
      <c r="A225" s="353"/>
      <c r="B225" s="151"/>
      <c r="C225" s="151"/>
      <c r="D225" s="151"/>
      <c r="E225" s="151"/>
      <c r="F225" s="151"/>
      <c r="G225" s="151"/>
      <c r="H225" s="151"/>
      <c r="I225" s="151"/>
      <c r="J225" s="151"/>
      <c r="K225" s="151"/>
      <c r="L225" s="151"/>
      <c r="M225" s="132"/>
    </row>
    <row r="226" spans="1:13" x14ac:dyDescent="0.2">
      <c r="A226" s="353"/>
      <c r="B226" s="151"/>
      <c r="C226" s="151"/>
      <c r="D226" s="151"/>
      <c r="E226" s="151"/>
      <c r="F226" s="151"/>
      <c r="G226" s="151"/>
      <c r="H226" s="151"/>
      <c r="I226" s="151"/>
      <c r="J226" s="151"/>
      <c r="K226" s="151"/>
      <c r="L226" s="151"/>
      <c r="M226" s="132"/>
    </row>
    <row r="227" spans="1:13" x14ac:dyDescent="0.2">
      <c r="A227" s="353"/>
      <c r="B227" s="151"/>
      <c r="C227" s="151"/>
      <c r="D227" s="151"/>
      <c r="E227" s="151"/>
      <c r="F227" s="151"/>
      <c r="G227" s="151"/>
      <c r="H227" s="151"/>
      <c r="I227" s="151"/>
      <c r="J227" s="151"/>
      <c r="K227" s="151"/>
      <c r="L227" s="151"/>
      <c r="M227" s="132"/>
    </row>
    <row r="228" spans="1:13" x14ac:dyDescent="0.2">
      <c r="A228" s="353"/>
      <c r="B228" s="151"/>
      <c r="C228" s="151"/>
      <c r="D228" s="151"/>
      <c r="E228" s="151"/>
      <c r="F228" s="151"/>
      <c r="G228" s="151"/>
      <c r="H228" s="151"/>
      <c r="I228" s="151"/>
      <c r="J228" s="151"/>
      <c r="K228" s="151"/>
      <c r="L228" s="151"/>
      <c r="M228" s="132"/>
    </row>
    <row r="229" spans="1:13" x14ac:dyDescent="0.2">
      <c r="A229" s="353"/>
      <c r="B229" s="151"/>
      <c r="C229" s="151"/>
      <c r="D229" s="151"/>
      <c r="E229" s="151"/>
      <c r="F229" s="151"/>
      <c r="G229" s="151"/>
      <c r="H229" s="151"/>
      <c r="I229" s="151"/>
      <c r="J229" s="151"/>
      <c r="K229" s="151"/>
      <c r="L229" s="151"/>
      <c r="M229" s="132"/>
    </row>
    <row r="230" spans="1:13" x14ac:dyDescent="0.2">
      <c r="A230" s="353"/>
      <c r="B230" s="151"/>
      <c r="C230" s="151"/>
      <c r="D230" s="151"/>
      <c r="E230" s="151"/>
      <c r="F230" s="151"/>
      <c r="G230" s="151"/>
      <c r="H230" s="151"/>
      <c r="I230" s="151"/>
      <c r="J230" s="151"/>
      <c r="K230" s="151"/>
      <c r="L230" s="151"/>
      <c r="M230" s="132"/>
    </row>
    <row r="231" spans="1:13" x14ac:dyDescent="0.2">
      <c r="A231" s="353"/>
      <c r="B231" s="151"/>
      <c r="C231" s="151"/>
      <c r="D231" s="151"/>
      <c r="E231" s="151"/>
      <c r="F231" s="151"/>
      <c r="G231" s="151"/>
      <c r="H231" s="151"/>
      <c r="I231" s="151"/>
      <c r="J231" s="151"/>
      <c r="K231" s="151"/>
      <c r="L231" s="151"/>
      <c r="M231" s="132"/>
    </row>
    <row r="232" spans="1:13" x14ac:dyDescent="0.2">
      <c r="A232" s="353"/>
      <c r="B232" s="151"/>
      <c r="C232" s="151"/>
      <c r="D232" s="151"/>
      <c r="E232" s="151"/>
      <c r="F232" s="151"/>
      <c r="G232" s="151"/>
      <c r="H232" s="151"/>
      <c r="I232" s="151"/>
      <c r="J232" s="151"/>
      <c r="K232" s="151"/>
      <c r="L232" s="151"/>
      <c r="M232" s="132"/>
    </row>
    <row r="233" spans="1:13" x14ac:dyDescent="0.2">
      <c r="A233" s="353"/>
      <c r="B233" s="151"/>
      <c r="C233" s="151"/>
      <c r="D233" s="151"/>
      <c r="E233" s="151"/>
      <c r="F233" s="151"/>
      <c r="G233" s="151"/>
      <c r="H233" s="151"/>
      <c r="I233" s="151"/>
      <c r="J233" s="151"/>
      <c r="K233" s="151"/>
      <c r="L233" s="151"/>
      <c r="M233" s="132"/>
    </row>
    <row r="234" spans="1:13" x14ac:dyDescent="0.2">
      <c r="A234" s="353"/>
      <c r="B234" s="151"/>
      <c r="C234" s="151"/>
      <c r="D234" s="151"/>
      <c r="E234" s="151"/>
      <c r="F234" s="151"/>
      <c r="G234" s="151"/>
      <c r="H234" s="151"/>
      <c r="I234" s="151"/>
      <c r="J234" s="151"/>
      <c r="K234" s="151"/>
      <c r="L234" s="151"/>
      <c r="M234" s="132"/>
    </row>
    <row r="235" spans="1:13" x14ac:dyDescent="0.2">
      <c r="A235" s="353"/>
      <c r="B235" s="151"/>
      <c r="C235" s="151"/>
      <c r="D235" s="151"/>
      <c r="E235" s="151"/>
      <c r="F235" s="151"/>
      <c r="G235" s="151"/>
      <c r="H235" s="151"/>
      <c r="I235" s="151"/>
      <c r="J235" s="151"/>
      <c r="K235" s="151"/>
      <c r="L235" s="151"/>
      <c r="M235" s="132"/>
    </row>
    <row r="236" spans="1:13" x14ac:dyDescent="0.2">
      <c r="A236" s="353"/>
      <c r="B236" s="151"/>
      <c r="C236" s="151"/>
      <c r="D236" s="151"/>
      <c r="E236" s="151"/>
      <c r="F236" s="151"/>
      <c r="G236" s="151"/>
      <c r="H236" s="151"/>
      <c r="I236" s="151"/>
      <c r="J236" s="151"/>
      <c r="K236" s="151"/>
      <c r="L236" s="151"/>
      <c r="M236" s="132"/>
    </row>
    <row r="237" spans="1:13" x14ac:dyDescent="0.2">
      <c r="A237" s="353"/>
      <c r="B237" s="151"/>
      <c r="C237" s="151"/>
      <c r="D237" s="151"/>
      <c r="E237" s="151"/>
      <c r="F237" s="151"/>
      <c r="G237" s="151"/>
      <c r="H237" s="151"/>
      <c r="I237" s="151"/>
      <c r="J237" s="151"/>
      <c r="K237" s="151"/>
      <c r="L237" s="151"/>
      <c r="M237" s="132"/>
    </row>
    <row r="238" spans="1:13" x14ac:dyDescent="0.2">
      <c r="A238" s="353"/>
      <c r="B238" s="151"/>
      <c r="C238" s="151"/>
      <c r="D238" s="151"/>
      <c r="E238" s="151"/>
      <c r="F238" s="151"/>
      <c r="G238" s="151"/>
      <c r="H238" s="151"/>
      <c r="I238" s="151"/>
      <c r="J238" s="151"/>
      <c r="K238" s="151"/>
      <c r="L238" s="151"/>
      <c r="M238" s="132"/>
    </row>
    <row r="239" spans="1:13" x14ac:dyDescent="0.2">
      <c r="A239" s="353"/>
      <c r="B239" s="151"/>
      <c r="C239" s="151"/>
      <c r="D239" s="151"/>
      <c r="E239" s="151"/>
      <c r="F239" s="151"/>
      <c r="G239" s="151"/>
      <c r="H239" s="151"/>
      <c r="I239" s="151"/>
      <c r="J239" s="151"/>
      <c r="K239" s="151"/>
      <c r="L239" s="151"/>
      <c r="M239" s="132"/>
    </row>
    <row r="240" spans="1:13" x14ac:dyDescent="0.2">
      <c r="A240" s="353"/>
      <c r="B240" s="151"/>
      <c r="C240" s="151"/>
      <c r="D240" s="151"/>
      <c r="E240" s="151"/>
      <c r="F240" s="151"/>
      <c r="G240" s="151"/>
      <c r="H240" s="151"/>
      <c r="I240" s="151"/>
      <c r="J240" s="151"/>
      <c r="K240" s="151"/>
      <c r="L240" s="151"/>
      <c r="M240" s="132"/>
    </row>
    <row r="241" spans="1:13" x14ac:dyDescent="0.2">
      <c r="A241" s="353"/>
      <c r="B241" s="151"/>
      <c r="C241" s="151"/>
      <c r="D241" s="151"/>
      <c r="E241" s="151"/>
      <c r="F241" s="151"/>
      <c r="G241" s="151"/>
      <c r="H241" s="151"/>
      <c r="I241" s="151"/>
      <c r="J241" s="151"/>
      <c r="K241" s="151"/>
      <c r="L241" s="151"/>
      <c r="M241" s="132"/>
    </row>
    <row r="242" spans="1:13" x14ac:dyDescent="0.2">
      <c r="A242" s="353"/>
      <c r="B242" s="151"/>
      <c r="C242" s="151"/>
      <c r="D242" s="151"/>
      <c r="E242" s="151"/>
      <c r="F242" s="151"/>
      <c r="G242" s="151"/>
      <c r="H242" s="151"/>
      <c r="I242" s="151"/>
      <c r="J242" s="151"/>
      <c r="K242" s="151"/>
      <c r="L242" s="151"/>
      <c r="M242" s="132"/>
    </row>
    <row r="243" spans="1:13" x14ac:dyDescent="0.2">
      <c r="A243" s="353"/>
      <c r="B243" s="151"/>
      <c r="C243" s="151"/>
      <c r="D243" s="151"/>
      <c r="E243" s="151"/>
      <c r="F243" s="151"/>
      <c r="G243" s="151"/>
      <c r="H243" s="151"/>
      <c r="I243" s="151"/>
      <c r="J243" s="151"/>
      <c r="K243" s="151"/>
      <c r="L243" s="151"/>
      <c r="M243" s="132"/>
    </row>
    <row r="244" spans="1:13" x14ac:dyDescent="0.2">
      <c r="A244" s="353"/>
      <c r="B244" s="151"/>
      <c r="C244" s="151"/>
      <c r="D244" s="151"/>
      <c r="E244" s="151"/>
      <c r="F244" s="151"/>
      <c r="G244" s="151"/>
      <c r="H244" s="151"/>
      <c r="I244" s="151"/>
      <c r="J244" s="151"/>
      <c r="K244" s="151"/>
      <c r="L244" s="151"/>
      <c r="M244" s="132"/>
    </row>
    <row r="245" spans="1:13" x14ac:dyDescent="0.2">
      <c r="A245" s="353"/>
      <c r="B245" s="151"/>
      <c r="C245" s="151"/>
      <c r="D245" s="151"/>
      <c r="E245" s="151"/>
      <c r="F245" s="151"/>
      <c r="G245" s="151"/>
      <c r="H245" s="151"/>
      <c r="I245" s="151"/>
      <c r="J245" s="151"/>
      <c r="K245" s="151"/>
      <c r="L245" s="151"/>
      <c r="M245" s="132"/>
    </row>
    <row r="246" spans="1:13" x14ac:dyDescent="0.2">
      <c r="A246" s="353"/>
      <c r="B246" s="151"/>
      <c r="C246" s="151"/>
      <c r="D246" s="151"/>
      <c r="E246" s="151"/>
      <c r="F246" s="151"/>
      <c r="G246" s="151"/>
      <c r="H246" s="151"/>
      <c r="I246" s="151"/>
      <c r="J246" s="151"/>
      <c r="K246" s="151"/>
      <c r="L246" s="151"/>
      <c r="M246" s="132"/>
    </row>
    <row r="247" spans="1:13" x14ac:dyDescent="0.2">
      <c r="A247" s="353"/>
      <c r="B247" s="151"/>
      <c r="C247" s="151"/>
      <c r="D247" s="151"/>
      <c r="E247" s="151"/>
      <c r="F247" s="151"/>
      <c r="G247" s="151"/>
      <c r="H247" s="151"/>
      <c r="I247" s="151"/>
      <c r="J247" s="151"/>
      <c r="K247" s="151"/>
      <c r="L247" s="151"/>
      <c r="M247" s="132"/>
    </row>
    <row r="248" spans="1:13" x14ac:dyDescent="0.2">
      <c r="A248" s="353"/>
      <c r="B248" s="151"/>
      <c r="C248" s="151"/>
      <c r="D248" s="151"/>
      <c r="E248" s="151"/>
      <c r="F248" s="151"/>
      <c r="G248" s="151"/>
      <c r="H248" s="151"/>
      <c r="I248" s="151"/>
      <c r="J248" s="151"/>
      <c r="K248" s="151"/>
      <c r="L248" s="151"/>
      <c r="M248" s="132"/>
    </row>
    <row r="249" spans="1:13" x14ac:dyDescent="0.2">
      <c r="A249" s="353"/>
      <c r="B249" s="151"/>
      <c r="C249" s="151"/>
      <c r="D249" s="151"/>
      <c r="E249" s="151"/>
      <c r="F249" s="151"/>
      <c r="G249" s="151"/>
      <c r="H249" s="151"/>
      <c r="I249" s="151"/>
      <c r="J249" s="151"/>
      <c r="K249" s="151"/>
      <c r="L249" s="151"/>
      <c r="M249" s="132"/>
    </row>
    <row r="250" spans="1:13" x14ac:dyDescent="0.2">
      <c r="A250" s="353"/>
      <c r="B250" s="151"/>
      <c r="C250" s="151"/>
      <c r="D250" s="151"/>
      <c r="E250" s="151"/>
      <c r="F250" s="151"/>
      <c r="G250" s="151"/>
      <c r="H250" s="151"/>
      <c r="I250" s="151"/>
      <c r="J250" s="151"/>
      <c r="K250" s="151"/>
      <c r="L250" s="151"/>
      <c r="M250" s="132"/>
    </row>
    <row r="251" spans="1:13" x14ac:dyDescent="0.2">
      <c r="A251" s="353"/>
      <c r="B251" s="151"/>
      <c r="C251" s="151"/>
      <c r="D251" s="151"/>
      <c r="E251" s="151"/>
      <c r="F251" s="151"/>
      <c r="G251" s="151"/>
      <c r="H251" s="151"/>
      <c r="I251" s="151"/>
      <c r="J251" s="151"/>
      <c r="K251" s="151"/>
      <c r="L251" s="151"/>
      <c r="M251" s="132"/>
    </row>
    <row r="252" spans="1:13" x14ac:dyDescent="0.2">
      <c r="A252" s="353"/>
      <c r="B252" s="151"/>
      <c r="C252" s="151"/>
      <c r="D252" s="151"/>
      <c r="E252" s="151"/>
      <c r="F252" s="151"/>
      <c r="G252" s="151"/>
      <c r="H252" s="151"/>
      <c r="I252" s="151"/>
      <c r="J252" s="151"/>
      <c r="K252" s="151"/>
      <c r="L252" s="151"/>
      <c r="M252" s="132"/>
    </row>
    <row r="253" spans="1:13" x14ac:dyDescent="0.2">
      <c r="A253" s="353"/>
      <c r="B253" s="151"/>
      <c r="C253" s="151"/>
      <c r="D253" s="151"/>
      <c r="E253" s="151"/>
      <c r="F253" s="151"/>
      <c r="G253" s="151"/>
      <c r="H253" s="151"/>
      <c r="I253" s="151"/>
      <c r="J253" s="151"/>
      <c r="K253" s="151"/>
      <c r="L253" s="151"/>
      <c r="M253" s="132"/>
    </row>
    <row r="254" spans="1:13" x14ac:dyDescent="0.2">
      <c r="A254" s="353"/>
      <c r="B254" s="151"/>
      <c r="C254" s="151"/>
      <c r="D254" s="151"/>
      <c r="E254" s="151"/>
      <c r="F254" s="151"/>
      <c r="G254" s="151"/>
      <c r="H254" s="151"/>
      <c r="I254" s="151"/>
      <c r="J254" s="151"/>
      <c r="K254" s="151"/>
      <c r="L254" s="151"/>
      <c r="M254" s="132"/>
    </row>
    <row r="255" spans="1:13" x14ac:dyDescent="0.2">
      <c r="A255" s="353"/>
      <c r="B255" s="151"/>
      <c r="C255" s="151"/>
      <c r="D255" s="151"/>
      <c r="E255" s="151"/>
      <c r="F255" s="151"/>
      <c r="G255" s="151"/>
      <c r="H255" s="151"/>
      <c r="I255" s="151"/>
      <c r="J255" s="151"/>
      <c r="K255" s="151"/>
      <c r="L255" s="151"/>
      <c r="M255" s="132"/>
    </row>
    <row r="256" spans="1:13" x14ac:dyDescent="0.2">
      <c r="A256" s="353"/>
      <c r="B256" s="151"/>
      <c r="C256" s="151"/>
      <c r="D256" s="151"/>
      <c r="E256" s="151"/>
      <c r="F256" s="151"/>
      <c r="G256" s="151"/>
      <c r="H256" s="151"/>
      <c r="I256" s="151"/>
      <c r="J256" s="151"/>
      <c r="K256" s="151"/>
      <c r="L256" s="151"/>
      <c r="M256" s="132"/>
    </row>
    <row r="257" spans="1:13" x14ac:dyDescent="0.2">
      <c r="A257" s="353"/>
      <c r="B257" s="151"/>
      <c r="C257" s="151"/>
      <c r="D257" s="151"/>
      <c r="E257" s="151"/>
      <c r="F257" s="151"/>
      <c r="G257" s="151"/>
      <c r="H257" s="151"/>
      <c r="I257" s="151"/>
      <c r="J257" s="151"/>
      <c r="K257" s="151"/>
      <c r="L257" s="151"/>
      <c r="M257" s="132"/>
    </row>
    <row r="258" spans="1:13" x14ac:dyDescent="0.2">
      <c r="A258" s="353"/>
      <c r="B258" s="151"/>
      <c r="C258" s="151"/>
      <c r="D258" s="151"/>
      <c r="E258" s="151"/>
      <c r="F258" s="151"/>
      <c r="G258" s="151"/>
      <c r="H258" s="151"/>
      <c r="I258" s="151"/>
      <c r="J258" s="151"/>
      <c r="K258" s="151"/>
      <c r="L258" s="151"/>
      <c r="M258" s="132"/>
    </row>
    <row r="259" spans="1:13" x14ac:dyDescent="0.2">
      <c r="A259" s="353"/>
      <c r="B259" s="151"/>
      <c r="C259" s="151"/>
      <c r="D259" s="151"/>
      <c r="E259" s="151"/>
      <c r="F259" s="151"/>
      <c r="G259" s="151"/>
      <c r="H259" s="151"/>
      <c r="I259" s="151"/>
      <c r="J259" s="151"/>
      <c r="K259" s="151"/>
      <c r="L259" s="151"/>
      <c r="M259" s="132"/>
    </row>
    <row r="260" spans="1:13" x14ac:dyDescent="0.2">
      <c r="A260" s="353"/>
      <c r="B260" s="151"/>
      <c r="C260" s="151"/>
      <c r="D260" s="151"/>
      <c r="E260" s="151"/>
      <c r="F260" s="151"/>
      <c r="G260" s="151"/>
      <c r="H260" s="151"/>
      <c r="I260" s="151"/>
      <c r="J260" s="151"/>
      <c r="K260" s="151"/>
      <c r="L260" s="151"/>
      <c r="M260" s="132"/>
    </row>
    <row r="261" spans="1:13" x14ac:dyDescent="0.2">
      <c r="A261" s="353"/>
      <c r="B261" s="151"/>
      <c r="C261" s="151"/>
      <c r="D261" s="151"/>
      <c r="E261" s="151"/>
      <c r="F261" s="151"/>
      <c r="G261" s="151"/>
      <c r="H261" s="151"/>
      <c r="I261" s="151"/>
      <c r="J261" s="151"/>
      <c r="K261" s="151"/>
      <c r="L261" s="151"/>
      <c r="M261" s="132"/>
    </row>
    <row r="262" spans="1:13" x14ac:dyDescent="0.2">
      <c r="A262" s="353"/>
      <c r="B262" s="151"/>
      <c r="C262" s="151"/>
      <c r="D262" s="151"/>
      <c r="E262" s="151"/>
      <c r="F262" s="151"/>
      <c r="G262" s="151"/>
      <c r="H262" s="151"/>
      <c r="I262" s="151"/>
      <c r="J262" s="151"/>
      <c r="K262" s="151"/>
      <c r="L262" s="151"/>
      <c r="M262" s="132"/>
    </row>
    <row r="263" spans="1:13" x14ac:dyDescent="0.2">
      <c r="A263" s="353"/>
      <c r="B263" s="151"/>
      <c r="C263" s="151"/>
      <c r="D263" s="151"/>
      <c r="E263" s="151"/>
      <c r="F263" s="151"/>
      <c r="G263" s="151"/>
      <c r="H263" s="151"/>
      <c r="I263" s="151"/>
      <c r="J263" s="151"/>
      <c r="K263" s="151"/>
      <c r="L263" s="151"/>
      <c r="M263" s="132"/>
    </row>
    <row r="264" spans="1:13" x14ac:dyDescent="0.2">
      <c r="A264" s="353"/>
      <c r="B264" s="151"/>
      <c r="C264" s="151"/>
      <c r="D264" s="151"/>
      <c r="E264" s="151"/>
      <c r="F264" s="151"/>
      <c r="G264" s="151"/>
      <c r="H264" s="151"/>
      <c r="I264" s="151"/>
      <c r="J264" s="151"/>
      <c r="K264" s="151"/>
      <c r="L264" s="151"/>
      <c r="M264" s="132"/>
    </row>
    <row r="265" spans="1:13" x14ac:dyDescent="0.2">
      <c r="A265" s="353"/>
      <c r="B265" s="151"/>
      <c r="C265" s="151"/>
      <c r="D265" s="151"/>
      <c r="E265" s="151"/>
      <c r="F265" s="151"/>
      <c r="G265" s="151"/>
      <c r="H265" s="151"/>
      <c r="I265" s="151"/>
      <c r="J265" s="151"/>
      <c r="K265" s="151"/>
      <c r="L265" s="151"/>
      <c r="M265" s="132"/>
    </row>
    <row r="266" spans="1:13" x14ac:dyDescent="0.2">
      <c r="A266" s="353"/>
      <c r="B266" s="151"/>
      <c r="C266" s="151"/>
      <c r="D266" s="151"/>
      <c r="E266" s="151"/>
      <c r="F266" s="151"/>
      <c r="G266" s="151"/>
      <c r="H266" s="151"/>
      <c r="I266" s="151"/>
      <c r="J266" s="151"/>
      <c r="K266" s="151"/>
      <c r="L266" s="151"/>
      <c r="M266" s="132"/>
    </row>
    <row r="267" spans="1:13" x14ac:dyDescent="0.2">
      <c r="A267" s="353"/>
      <c r="B267" s="151"/>
      <c r="C267" s="151"/>
      <c r="D267" s="151"/>
      <c r="E267" s="151"/>
      <c r="F267" s="151"/>
      <c r="G267" s="151"/>
      <c r="H267" s="151"/>
      <c r="I267" s="151"/>
      <c r="J267" s="151"/>
      <c r="K267" s="151"/>
      <c r="L267" s="151"/>
      <c r="M267" s="132"/>
    </row>
    <row r="268" spans="1:13" x14ac:dyDescent="0.2">
      <c r="A268" s="353"/>
      <c r="B268" s="151"/>
      <c r="C268" s="151"/>
      <c r="D268" s="151"/>
      <c r="E268" s="151"/>
      <c r="F268" s="151"/>
      <c r="G268" s="151"/>
      <c r="H268" s="151"/>
      <c r="I268" s="151"/>
      <c r="J268" s="151"/>
      <c r="K268" s="151"/>
      <c r="L268" s="151"/>
      <c r="M268" s="132"/>
    </row>
    <row r="269" spans="1:13" x14ac:dyDescent="0.2">
      <c r="A269" s="353"/>
      <c r="B269" s="151"/>
      <c r="C269" s="151"/>
      <c r="D269" s="151"/>
      <c r="E269" s="151"/>
      <c r="F269" s="151"/>
      <c r="G269" s="151"/>
      <c r="H269" s="151"/>
      <c r="I269" s="151"/>
      <c r="J269" s="151"/>
      <c r="K269" s="151"/>
      <c r="L269" s="151"/>
      <c r="M269" s="132"/>
    </row>
    <row r="270" spans="1:13" x14ac:dyDescent="0.2">
      <c r="A270" s="353"/>
      <c r="B270" s="151"/>
      <c r="C270" s="151"/>
      <c r="D270" s="151"/>
      <c r="E270" s="151"/>
      <c r="F270" s="151"/>
      <c r="G270" s="151"/>
      <c r="H270" s="151"/>
      <c r="I270" s="151"/>
      <c r="J270" s="151"/>
      <c r="K270" s="151"/>
      <c r="L270" s="151"/>
      <c r="M270" s="132"/>
    </row>
    <row r="271" spans="1:13" x14ac:dyDescent="0.2">
      <c r="A271" s="353"/>
      <c r="B271" s="151"/>
      <c r="C271" s="151"/>
      <c r="D271" s="151"/>
      <c r="E271" s="151"/>
      <c r="F271" s="151"/>
      <c r="G271" s="151"/>
      <c r="H271" s="151"/>
      <c r="I271" s="151"/>
      <c r="J271" s="151"/>
      <c r="K271" s="151"/>
      <c r="L271" s="151"/>
      <c r="M271" s="132"/>
    </row>
    <row r="272" spans="1:13" x14ac:dyDescent="0.2">
      <c r="A272" s="353"/>
      <c r="B272" s="151"/>
      <c r="C272" s="151"/>
      <c r="D272" s="151"/>
      <c r="E272" s="151"/>
      <c r="F272" s="151"/>
      <c r="G272" s="151"/>
      <c r="H272" s="151"/>
      <c r="I272" s="151"/>
      <c r="J272" s="151"/>
      <c r="K272" s="151"/>
      <c r="L272" s="151"/>
      <c r="M272" s="132"/>
    </row>
    <row r="273" spans="1:13" x14ac:dyDescent="0.2">
      <c r="A273" s="353"/>
      <c r="B273" s="151"/>
      <c r="C273" s="151"/>
      <c r="D273" s="151"/>
      <c r="E273" s="151"/>
      <c r="F273" s="151"/>
      <c r="G273" s="151"/>
      <c r="H273" s="151"/>
      <c r="I273" s="151"/>
      <c r="J273" s="151"/>
      <c r="K273" s="151"/>
      <c r="L273" s="151"/>
      <c r="M273" s="132"/>
    </row>
    <row r="274" spans="1:13" x14ac:dyDescent="0.2">
      <c r="A274" s="353"/>
      <c r="B274" s="151"/>
      <c r="C274" s="151"/>
      <c r="D274" s="151"/>
      <c r="E274" s="151"/>
      <c r="F274" s="151"/>
      <c r="G274" s="151"/>
      <c r="H274" s="151"/>
      <c r="I274" s="151"/>
      <c r="J274" s="151"/>
      <c r="K274" s="151"/>
      <c r="L274" s="151"/>
      <c r="M274" s="132"/>
    </row>
    <row r="275" spans="1:13" x14ac:dyDescent="0.2">
      <c r="A275" s="353"/>
      <c r="B275" s="151"/>
      <c r="C275" s="151"/>
      <c r="D275" s="151"/>
      <c r="E275" s="151"/>
      <c r="F275" s="151"/>
      <c r="G275" s="151"/>
      <c r="H275" s="151"/>
      <c r="I275" s="151"/>
      <c r="J275" s="151"/>
      <c r="K275" s="151"/>
      <c r="L275" s="151"/>
      <c r="M275" s="132"/>
    </row>
    <row r="276" spans="1:13" x14ac:dyDescent="0.2">
      <c r="A276" s="353"/>
      <c r="B276" s="151"/>
      <c r="C276" s="151"/>
      <c r="D276" s="151"/>
      <c r="E276" s="151"/>
      <c r="F276" s="151"/>
      <c r="G276" s="151"/>
      <c r="H276" s="151"/>
      <c r="I276" s="151"/>
      <c r="J276" s="151"/>
      <c r="K276" s="151"/>
      <c r="L276" s="151"/>
      <c r="M276" s="132"/>
    </row>
    <row r="277" spans="1:13" x14ac:dyDescent="0.2">
      <c r="A277" s="353"/>
      <c r="B277" s="151"/>
      <c r="C277" s="151"/>
      <c r="D277" s="151"/>
      <c r="E277" s="151"/>
      <c r="F277" s="151"/>
      <c r="G277" s="151"/>
      <c r="H277" s="151"/>
      <c r="I277" s="151"/>
      <c r="J277" s="151"/>
      <c r="K277" s="151"/>
      <c r="L277" s="151"/>
      <c r="M277" s="132"/>
    </row>
    <row r="278" spans="1:13" x14ac:dyDescent="0.2">
      <c r="A278" s="353"/>
      <c r="B278" s="151"/>
      <c r="C278" s="151"/>
      <c r="D278" s="151"/>
      <c r="E278" s="151"/>
      <c r="F278" s="151"/>
      <c r="G278" s="151"/>
      <c r="H278" s="151"/>
      <c r="I278" s="151"/>
      <c r="J278" s="151"/>
      <c r="K278" s="151"/>
      <c r="L278" s="151"/>
      <c r="M278" s="132"/>
    </row>
    <row r="279" spans="1:13" x14ac:dyDescent="0.2">
      <c r="A279" s="353"/>
      <c r="B279" s="151"/>
      <c r="C279" s="151"/>
      <c r="D279" s="151"/>
      <c r="E279" s="151"/>
      <c r="F279" s="151"/>
      <c r="G279" s="151"/>
      <c r="H279" s="151"/>
      <c r="I279" s="151"/>
      <c r="J279" s="151"/>
      <c r="K279" s="151"/>
      <c r="L279" s="151"/>
      <c r="M279" s="132"/>
    </row>
    <row r="280" spans="1:13" x14ac:dyDescent="0.2">
      <c r="A280" s="353"/>
      <c r="B280" s="151"/>
      <c r="C280" s="151"/>
      <c r="D280" s="151"/>
      <c r="E280" s="151"/>
      <c r="F280" s="151"/>
      <c r="G280" s="151"/>
      <c r="H280" s="151"/>
      <c r="I280" s="151"/>
      <c r="J280" s="151"/>
      <c r="K280" s="151"/>
      <c r="L280" s="151"/>
      <c r="M280" s="132"/>
    </row>
    <row r="281" spans="1:13" x14ac:dyDescent="0.2">
      <c r="A281" s="353"/>
      <c r="B281" s="151"/>
      <c r="C281" s="151"/>
      <c r="D281" s="151"/>
      <c r="E281" s="151"/>
      <c r="F281" s="151"/>
      <c r="G281" s="151"/>
      <c r="H281" s="151"/>
      <c r="I281" s="151"/>
      <c r="J281" s="151"/>
      <c r="K281" s="151"/>
      <c r="L281" s="151"/>
      <c r="M281" s="132"/>
    </row>
    <row r="282" spans="1:13" x14ac:dyDescent="0.2">
      <c r="A282" s="353"/>
      <c r="B282" s="151"/>
      <c r="C282" s="151"/>
      <c r="D282" s="151"/>
      <c r="E282" s="151"/>
      <c r="F282" s="151"/>
      <c r="G282" s="151"/>
      <c r="H282" s="151"/>
      <c r="I282" s="151"/>
      <c r="J282" s="151"/>
      <c r="K282" s="151"/>
      <c r="L282" s="151"/>
      <c r="M282" s="132"/>
    </row>
    <row r="283" spans="1:13" x14ac:dyDescent="0.2">
      <c r="A283" s="353"/>
      <c r="B283" s="151"/>
      <c r="C283" s="151"/>
      <c r="D283" s="151"/>
      <c r="E283" s="151"/>
      <c r="F283" s="151"/>
      <c r="G283" s="151"/>
      <c r="H283" s="151"/>
      <c r="I283" s="151"/>
      <c r="J283" s="151"/>
      <c r="K283" s="151"/>
      <c r="L283" s="151"/>
      <c r="M283" s="132"/>
    </row>
    <row r="284" spans="1:13" x14ac:dyDescent="0.2">
      <c r="A284" s="353"/>
      <c r="B284" s="151"/>
      <c r="C284" s="151"/>
      <c r="D284" s="151"/>
      <c r="E284" s="151"/>
      <c r="F284" s="151"/>
      <c r="G284" s="151"/>
      <c r="H284" s="151"/>
      <c r="I284" s="151"/>
      <c r="J284" s="151"/>
      <c r="K284" s="151"/>
      <c r="L284" s="151"/>
      <c r="M284" s="132"/>
    </row>
    <row r="285" spans="1:13" x14ac:dyDescent="0.2">
      <c r="A285" s="353"/>
      <c r="B285" s="151"/>
      <c r="C285" s="151"/>
      <c r="D285" s="151"/>
      <c r="E285" s="151"/>
      <c r="F285" s="151"/>
      <c r="G285" s="151"/>
      <c r="H285" s="151"/>
      <c r="I285" s="151"/>
      <c r="J285" s="151"/>
      <c r="K285" s="151"/>
      <c r="L285" s="151"/>
      <c r="M285" s="132"/>
    </row>
    <row r="286" spans="1:13" x14ac:dyDescent="0.2">
      <c r="A286" s="353"/>
      <c r="B286" s="151"/>
      <c r="C286" s="151"/>
      <c r="D286" s="151"/>
      <c r="E286" s="151"/>
      <c r="F286" s="151"/>
      <c r="G286" s="151"/>
      <c r="H286" s="151"/>
      <c r="I286" s="151"/>
      <c r="J286" s="151"/>
      <c r="K286" s="151"/>
      <c r="L286" s="151"/>
      <c r="M286" s="132"/>
    </row>
    <row r="287" spans="1:13" x14ac:dyDescent="0.2">
      <c r="A287" s="353"/>
      <c r="B287" s="151"/>
      <c r="C287" s="151"/>
      <c r="D287" s="151"/>
      <c r="E287" s="151"/>
      <c r="F287" s="151"/>
      <c r="G287" s="151"/>
      <c r="H287" s="151"/>
      <c r="I287" s="151"/>
      <c r="J287" s="151"/>
      <c r="K287" s="151"/>
      <c r="L287" s="151"/>
      <c r="M287" s="132"/>
    </row>
    <row r="288" spans="1:13" x14ac:dyDescent="0.2">
      <c r="A288" s="353"/>
      <c r="B288" s="151"/>
      <c r="C288" s="151"/>
      <c r="D288" s="151"/>
      <c r="E288" s="151"/>
      <c r="F288" s="151"/>
      <c r="G288" s="151"/>
      <c r="H288" s="151"/>
      <c r="I288" s="151"/>
      <c r="J288" s="151"/>
      <c r="K288" s="151"/>
      <c r="L288" s="151"/>
      <c r="M288" s="132"/>
    </row>
    <row r="289" spans="1:13" x14ac:dyDescent="0.2">
      <c r="A289" s="353"/>
      <c r="B289" s="151"/>
      <c r="C289" s="151"/>
      <c r="D289" s="151"/>
      <c r="E289" s="151"/>
      <c r="F289" s="151"/>
      <c r="G289" s="151"/>
      <c r="H289" s="151"/>
      <c r="I289" s="151"/>
      <c r="J289" s="151"/>
      <c r="K289" s="151"/>
      <c r="L289" s="151"/>
      <c r="M289" s="132"/>
    </row>
    <row r="290" spans="1:13" x14ac:dyDescent="0.2">
      <c r="A290" s="353"/>
      <c r="B290" s="151"/>
      <c r="C290" s="151"/>
      <c r="D290" s="151"/>
      <c r="E290" s="151"/>
      <c r="F290" s="151"/>
      <c r="G290" s="151"/>
      <c r="H290" s="151"/>
      <c r="I290" s="151"/>
      <c r="J290" s="151"/>
      <c r="K290" s="151"/>
      <c r="L290" s="151"/>
      <c r="M290" s="132"/>
    </row>
    <row r="291" spans="1:13" x14ac:dyDescent="0.2">
      <c r="A291" s="353"/>
      <c r="B291" s="151"/>
      <c r="C291" s="151"/>
      <c r="D291" s="151"/>
      <c r="E291" s="151"/>
      <c r="F291" s="151"/>
      <c r="G291" s="151"/>
      <c r="H291" s="151"/>
      <c r="I291" s="151"/>
      <c r="J291" s="151"/>
      <c r="K291" s="151"/>
      <c r="L291" s="151"/>
      <c r="M291" s="132"/>
    </row>
    <row r="292" spans="1:13" x14ac:dyDescent="0.2">
      <c r="A292" s="353"/>
      <c r="B292" s="151"/>
      <c r="C292" s="151"/>
      <c r="D292" s="151"/>
      <c r="E292" s="151"/>
      <c r="F292" s="151"/>
      <c r="G292" s="151"/>
      <c r="H292" s="151"/>
      <c r="I292" s="151"/>
      <c r="J292" s="151"/>
      <c r="K292" s="151"/>
      <c r="L292" s="151"/>
      <c r="M292" s="132"/>
    </row>
    <row r="293" spans="1:13" x14ac:dyDescent="0.2">
      <c r="A293" s="353"/>
      <c r="B293" s="151"/>
      <c r="C293" s="151"/>
      <c r="D293" s="151"/>
      <c r="E293" s="151"/>
      <c r="F293" s="151"/>
      <c r="G293" s="151"/>
      <c r="H293" s="151"/>
      <c r="I293" s="151"/>
      <c r="J293" s="151"/>
      <c r="K293" s="151"/>
      <c r="L293" s="151"/>
      <c r="M293" s="132"/>
    </row>
    <row r="294" spans="1:13" x14ac:dyDescent="0.2">
      <c r="A294" s="353"/>
      <c r="B294" s="151"/>
      <c r="C294" s="151"/>
      <c r="D294" s="151"/>
      <c r="E294" s="151"/>
      <c r="F294" s="151"/>
      <c r="G294" s="151"/>
      <c r="H294" s="151"/>
      <c r="I294" s="151"/>
      <c r="J294" s="151"/>
      <c r="K294" s="151"/>
      <c r="L294" s="151"/>
      <c r="M294" s="132"/>
    </row>
    <row r="295" spans="1:13" x14ac:dyDescent="0.2">
      <c r="A295" s="353"/>
      <c r="B295" s="151"/>
      <c r="C295" s="151"/>
      <c r="D295" s="151"/>
      <c r="E295" s="151"/>
      <c r="F295" s="151"/>
      <c r="G295" s="151"/>
      <c r="H295" s="151"/>
      <c r="I295" s="151"/>
      <c r="J295" s="151"/>
      <c r="K295" s="151"/>
      <c r="L295" s="151"/>
      <c r="M295" s="132"/>
    </row>
  </sheetData>
  <sheetProtection sheet="1" objects="1" scenarios="1"/>
  <protectedRanges>
    <protectedRange password="DD40" sqref="B41:G42 M36 H8:H16 I11:K16 B5 B43:B45 D3:D4 K1 O64 K33:L33 B15:D15 H17:L19 B131:L65477 L99:L107 L110:L111 L6:L16 L91:L96 K36:K44 K6:K7 L2:L3 B6:I7 E5 D11 B8:D9 D17 C33:D33 C31:L32 E33:G40 C43:G44 C67:G68 B67:B69 B70:H78 E81 E82:F83 C80 K82 B79:D79 L84:L89 C55:G56 H33:H34 I33 B34:D40 B58:G66 H58:H68 I55:L56 K57:L57 C57:I57 I71:I77 J4:J7 K60:K64 K66:K68 C1:C4 B20:L30 I59:I64 I66:I68 D1:E2 A1:A4 G1:H2 K71:K80 J81:J83 H81:H82 E79:H80 G83:H83 C82 B81 B83 K46:K54 B46:G54 H54:H56 L114:L130 B10:B12 B16:B19 F15:G17 E15:E16 F8:G11 E8:E10" name="Range1"/>
    <protectedRange password="DD40" sqref="L36:L40 L42:L45 L47:L54 I70:J70 I46 K81 L60:L64 L66:L69 I65:J65 I41 J78:J80 L71:L83 J54" name="Range1_6"/>
    <protectedRange password="DD40" sqref="L41 L46" name="Range1_6_1"/>
    <protectedRange password="DD40" sqref="H35:H44 H46:H53 I78:I83 K83 I35:I40 I42:I44 I47:I54" name="Range1_2"/>
    <protectedRange password="DD40" sqref="J92 M61 M35 K93:K96 J85" name="Range1_4_1"/>
    <protectedRange password="DD40" sqref="J93:J96" name="Range1_6_2"/>
    <protectedRange password="DD40" sqref="I93:I96" name="Range1_2_1"/>
    <protectedRange password="DD40" sqref="C91:G91 B85:B89 B99:B101 C98:G98 B92:B96 H92 C92:E92 G99:G101 C85:F85" name="Range1_5_1"/>
    <protectedRange password="DD40" sqref="C117:E117 F114:G116 E118:E123 J118:J123 F111:H113 B124:B130 H114:H118 K111:K130 C111:D115 E113:E115 C117:D123" name="Range1_7_1"/>
    <protectedRange password="DD40" sqref="H122:H123 I116:I117" name="Range1_1_1"/>
    <protectedRange password="DD40" sqref="K86:K89" name="Range1_4_1_2"/>
    <protectedRange password="DD40" sqref="J86:J89" name="Range1_6_2_2"/>
    <protectedRange password="DD40" sqref="I86:I89" name="Range1_2_1_2"/>
    <protectedRange password="DD40" sqref="A8" name="Range1_1"/>
    <protectedRange password="DD40" sqref="L109" name="Range1_4"/>
  </protectedRanges>
  <mergeCells count="140">
    <mergeCell ref="C71:G71"/>
    <mergeCell ref="C82:D82"/>
    <mergeCell ref="C80:D81"/>
    <mergeCell ref="F88:G88"/>
    <mergeCell ref="F87:G87"/>
    <mergeCell ref="F86:G86"/>
    <mergeCell ref="U75:U78"/>
    <mergeCell ref="H89:L89"/>
    <mergeCell ref="H88:L88"/>
    <mergeCell ref="H87:L87"/>
    <mergeCell ref="H86:L86"/>
    <mergeCell ref="H85:L85"/>
    <mergeCell ref="H81:I81"/>
    <mergeCell ref="H82:I82"/>
    <mergeCell ref="E82:G82"/>
    <mergeCell ref="E81:G81"/>
    <mergeCell ref="J73:L73"/>
    <mergeCell ref="J72:L72"/>
    <mergeCell ref="C48:G48"/>
    <mergeCell ref="C40:G40"/>
    <mergeCell ref="C39:G39"/>
    <mergeCell ref="C47:G47"/>
    <mergeCell ref="C42:G42"/>
    <mergeCell ref="J71:L71"/>
    <mergeCell ref="C63:G63"/>
    <mergeCell ref="J49:L49"/>
    <mergeCell ref="J48:L48"/>
    <mergeCell ref="J47:L47"/>
    <mergeCell ref="J59:L59"/>
    <mergeCell ref="J61:L61"/>
    <mergeCell ref="J69:L69"/>
    <mergeCell ref="J68:L68"/>
    <mergeCell ref="J67:L67"/>
    <mergeCell ref="J66:L66"/>
    <mergeCell ref="J50:L50"/>
    <mergeCell ref="J53:L53"/>
    <mergeCell ref="J52:L52"/>
    <mergeCell ref="J51:L51"/>
    <mergeCell ref="C66:G66"/>
    <mergeCell ref="C67:G67"/>
    <mergeCell ref="C68:G68"/>
    <mergeCell ref="C69:G69"/>
    <mergeCell ref="C57:G57"/>
    <mergeCell ref="J57:L57"/>
    <mergeCell ref="J64:L64"/>
    <mergeCell ref="J63:L63"/>
    <mergeCell ref="J60:L60"/>
    <mergeCell ref="J62:L62"/>
    <mergeCell ref="C59:G59"/>
    <mergeCell ref="C60:G60"/>
    <mergeCell ref="C61:G61"/>
    <mergeCell ref="C62:G62"/>
    <mergeCell ref="G95:L95"/>
    <mergeCell ref="C92:F92"/>
    <mergeCell ref="G92:L92"/>
    <mergeCell ref="C93:F93"/>
    <mergeCell ref="B99:C99"/>
    <mergeCell ref="C44:G44"/>
    <mergeCell ref="C43:G43"/>
    <mergeCell ref="C64:G64"/>
    <mergeCell ref="C77:G77"/>
    <mergeCell ref="C72:G72"/>
    <mergeCell ref="C73:G73"/>
    <mergeCell ref="C74:G74"/>
    <mergeCell ref="C75:G75"/>
    <mergeCell ref="C76:G76"/>
    <mergeCell ref="J77:L77"/>
    <mergeCell ref="J76:L76"/>
    <mergeCell ref="J75:L75"/>
    <mergeCell ref="J74:L74"/>
    <mergeCell ref="E80:K80"/>
    <mergeCell ref="F85:G85"/>
    <mergeCell ref="C85:E85"/>
    <mergeCell ref="F89:G89"/>
    <mergeCell ref="G94:L94"/>
    <mergeCell ref="G93:L93"/>
    <mergeCell ref="P1:P2"/>
    <mergeCell ref="O1:O2"/>
    <mergeCell ref="B6:L6"/>
    <mergeCell ref="E10:L10"/>
    <mergeCell ref="E16:L16"/>
    <mergeCell ref="B10:C10"/>
    <mergeCell ref="B16:C16"/>
    <mergeCell ref="E4:G4"/>
    <mergeCell ref="J44:L44"/>
    <mergeCell ref="J43:L43"/>
    <mergeCell ref="J42:L42"/>
    <mergeCell ref="C38:G38"/>
    <mergeCell ref="B17:C17"/>
    <mergeCell ref="B12:C13"/>
    <mergeCell ref="B11:C11"/>
    <mergeCell ref="D11:L13"/>
    <mergeCell ref="U9:X9"/>
    <mergeCell ref="U71:U74"/>
    <mergeCell ref="U67:U70"/>
    <mergeCell ref="U63:U66"/>
    <mergeCell ref="U59:U62"/>
    <mergeCell ref="U55:U58"/>
    <mergeCell ref="C37:G37"/>
    <mergeCell ref="C36:G36"/>
    <mergeCell ref="C53:G53"/>
    <mergeCell ref="C52:G52"/>
    <mergeCell ref="C35:G35"/>
    <mergeCell ref="C45:G45"/>
    <mergeCell ref="C51:G51"/>
    <mergeCell ref="C50:G50"/>
    <mergeCell ref="C49:G49"/>
    <mergeCell ref="C33:G33"/>
    <mergeCell ref="J33:L33"/>
    <mergeCell ref="J40:L40"/>
    <mergeCell ref="D17:L19"/>
    <mergeCell ref="B18:C19"/>
    <mergeCell ref="J39:L39"/>
    <mergeCell ref="J38:L38"/>
    <mergeCell ref="J37:L37"/>
    <mergeCell ref="J36:L36"/>
    <mergeCell ref="H109:K109"/>
    <mergeCell ref="B109:G109"/>
    <mergeCell ref="U35:U38"/>
    <mergeCell ref="U31:U34"/>
    <mergeCell ref="U23:U26"/>
    <mergeCell ref="U27:U30"/>
    <mergeCell ref="U15:U18"/>
    <mergeCell ref="U19:U22"/>
    <mergeCell ref="U11:U14"/>
    <mergeCell ref="U51:U54"/>
    <mergeCell ref="U47:U50"/>
    <mergeCell ref="U43:U46"/>
    <mergeCell ref="U39:U42"/>
    <mergeCell ref="P88:R88"/>
    <mergeCell ref="B107:L107"/>
    <mergeCell ref="B104:L104"/>
    <mergeCell ref="B101:C101"/>
    <mergeCell ref="B100:C100"/>
    <mergeCell ref="C94:F94"/>
    <mergeCell ref="C96:F96"/>
    <mergeCell ref="C95:F95"/>
    <mergeCell ref="G96:L96"/>
    <mergeCell ref="J35:L35"/>
    <mergeCell ref="J45:L45"/>
  </mergeCells>
  <phoneticPr fontId="1" type="noConversion"/>
  <conditionalFormatting sqref="H35:I40 H42:I45 H47:I53">
    <cfRule type="cellIs" dxfId="4" priority="3" operator="lessThan">
      <formula>70</formula>
    </cfRule>
  </conditionalFormatting>
  <conditionalFormatting sqref="H59:I64 H66:I69 H71:I77">
    <cfRule type="cellIs" dxfId="3" priority="2" operator="lessThan">
      <formula>70</formula>
    </cfRule>
  </conditionalFormatting>
  <conditionalFormatting sqref="L109">
    <cfRule type="cellIs" dxfId="2" priority="1" operator="greaterThan">
      <formula>10</formula>
    </cfRule>
  </conditionalFormatting>
  <printOptions horizontalCentered="1"/>
  <pageMargins left="0.31496062992125984" right="0.15748031496062992" top="0.46" bottom="0.55000000000000004" header="0.23622047244094491" footer="0.23622047244094491"/>
  <pageSetup paperSize="9" scale="77" orientation="portrait" horizontalDpi="4294967293" verticalDpi="360" r:id="rId1"/>
  <headerFooter>
    <oddFooter>&amp;R&amp;"Arial Narrow,Regular"&amp;8&amp;P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331" r:id="rId4" name="Scroll Bar 67">
              <controlPr defaultSize="0" print="0" autoPict="0">
                <anchor moveWithCells="1" sizeWithCells="1">
                  <from>
                    <xdr:col>13</xdr:col>
                    <xdr:colOff>104775</xdr:colOff>
                    <xdr:row>2</xdr:row>
                    <xdr:rowOff>161925</xdr:rowOff>
                  </from>
                  <to>
                    <xdr:col>14</xdr:col>
                    <xdr:colOff>28575</xdr:colOff>
                    <xdr:row>12</xdr:row>
                    <xdr:rowOff>295275</xdr:rowOff>
                  </to>
                </anchor>
              </controlPr>
            </control>
          </mc:Choice>
        </mc:AlternateContent>
        <mc:AlternateContent xmlns:mc="http://schemas.openxmlformats.org/markup-compatibility/2006">
          <mc:Choice Requires="x14">
            <control shapeId="11336" r:id="rId5" name="Drop Down 72">
              <controlPr defaultSize="0" print="0" autoLine="0" autoPict="0">
                <anchor moveWithCells="1">
                  <from>
                    <xdr:col>14</xdr:col>
                    <xdr:colOff>95250</xdr:colOff>
                    <xdr:row>0</xdr:row>
                    <xdr:rowOff>76200</xdr:rowOff>
                  </from>
                  <to>
                    <xdr:col>17</xdr:col>
                    <xdr:colOff>2038350</xdr:colOff>
                    <xdr:row>2</xdr:row>
                    <xdr:rowOff>161925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autoPageBreaks="0"/>
  </sheetPr>
  <dimension ref="A1:U272"/>
  <sheetViews>
    <sheetView showGridLines="0" view="pageBreakPreview" zoomScaleNormal="100" zoomScaleSheetLayoutView="100" workbookViewId="0">
      <selection activeCell="R3" sqref="R3"/>
    </sheetView>
  </sheetViews>
  <sheetFormatPr defaultRowHeight="15.75" x14ac:dyDescent="0.2"/>
  <cols>
    <col min="1" max="1" width="3.42578125" style="365" customWidth="1"/>
    <col min="2" max="2" width="4.5703125" style="142" customWidth="1"/>
    <col min="3" max="3" width="14" style="142" customWidth="1"/>
    <col min="4" max="4" width="2.7109375" style="142" customWidth="1"/>
    <col min="5" max="5" width="4" style="142" customWidth="1"/>
    <col min="6" max="6" width="6" style="142" customWidth="1"/>
    <col min="7" max="7" width="12.42578125" style="142" customWidth="1"/>
    <col min="8" max="8" width="5.85546875" style="142" customWidth="1"/>
    <col min="9" max="9" width="8.7109375" style="142" customWidth="1"/>
    <col min="10" max="10" width="6.7109375" style="142" customWidth="1"/>
    <col min="11" max="11" width="9.140625" style="142" customWidth="1"/>
    <col min="12" max="12" width="13.42578125" style="142" customWidth="1"/>
    <col min="13" max="13" width="1.85546875" style="131" customWidth="1"/>
    <col min="14" max="14" width="7.5703125" style="70" customWidth="1"/>
    <col min="15" max="15" width="9.140625" style="85" customWidth="1"/>
    <col min="16" max="16" width="13.5703125" style="22" customWidth="1"/>
    <col min="17" max="18" width="50.7109375" style="22" customWidth="1"/>
    <col min="19" max="19" width="9.140625" style="88"/>
    <col min="20" max="21" width="9.140625" style="22"/>
    <col min="22" max="16384" width="9.140625" style="52"/>
  </cols>
  <sheetData>
    <row r="1" spans="1:21" x14ac:dyDescent="0.2">
      <c r="B1" s="165" t="s">
        <v>183</v>
      </c>
      <c r="C1" s="143"/>
      <c r="D1" s="154" t="s">
        <v>3</v>
      </c>
      <c r="E1" s="302" t="s">
        <v>185</v>
      </c>
      <c r="G1" s="157"/>
      <c r="H1" s="157"/>
      <c r="K1" s="382" t="s">
        <v>59</v>
      </c>
      <c r="L1" s="210" t="str">
        <f>": " &amp;Biodata!C4</f>
        <v xml:space="preserve">:  X / IPS_5 </v>
      </c>
      <c r="M1" s="158"/>
      <c r="O1" s="621">
        <v>34</v>
      </c>
      <c r="P1" s="620"/>
      <c r="R1" s="307"/>
    </row>
    <row r="2" spans="1:21" x14ac:dyDescent="0.2">
      <c r="B2" s="165" t="s">
        <v>184</v>
      </c>
      <c r="C2" s="113"/>
      <c r="D2" s="154" t="s">
        <v>3</v>
      </c>
      <c r="E2" s="165" t="s">
        <v>186</v>
      </c>
      <c r="G2" s="113"/>
      <c r="H2" s="113"/>
      <c r="K2" s="382" t="s">
        <v>13</v>
      </c>
      <c r="L2" s="210" t="str">
        <f>":  " &amp;LEGER!N2</f>
        <v>:  2 / Genap</v>
      </c>
      <c r="M2" s="158"/>
      <c r="O2" s="621"/>
      <c r="P2" s="620"/>
      <c r="R2" s="307"/>
    </row>
    <row r="3" spans="1:21" x14ac:dyDescent="0.2">
      <c r="B3" s="165" t="s">
        <v>14</v>
      </c>
      <c r="C3" s="113"/>
      <c r="D3" s="154" t="s">
        <v>3</v>
      </c>
      <c r="E3" s="684" t="str">
        <f>VLOOKUP(nomor,Biodata,3,0)</f>
        <v>SILFI HAMIDAH</v>
      </c>
      <c r="F3" s="684"/>
      <c r="G3" s="684"/>
      <c r="H3" s="684"/>
      <c r="I3" s="684"/>
      <c r="K3" s="382" t="s">
        <v>47</v>
      </c>
      <c r="L3" s="210" t="str">
        <f>":  " &amp;LEGER!N3</f>
        <v>:  2018/2019</v>
      </c>
      <c r="M3" s="158"/>
      <c r="O3" s="84"/>
      <c r="P3" s="308">
        <v>11671040</v>
      </c>
    </row>
    <row r="4" spans="1:21" ht="16.5" thickBot="1" x14ac:dyDescent="0.25">
      <c r="B4" s="368" t="s">
        <v>187</v>
      </c>
      <c r="C4" s="148"/>
      <c r="D4" s="383" t="s">
        <v>3</v>
      </c>
      <c r="E4" s="683" t="str">
        <f>VLOOKUP(nomor,Biodata,2,0)</f>
        <v>181910353</v>
      </c>
      <c r="F4" s="683"/>
      <c r="G4" s="683"/>
      <c r="H4" s="385" t="str">
        <f>"/   "&amp;IFERROR(VLOOKUP(nomor,Biodata!A9:D50,4,0),"")</f>
        <v>/   0.0021083036</v>
      </c>
      <c r="J4" s="149"/>
      <c r="K4" s="149"/>
      <c r="L4" s="149"/>
      <c r="M4" s="158"/>
      <c r="O4" s="86"/>
      <c r="P4" s="309"/>
      <c r="Q4" s="310"/>
      <c r="R4" s="310"/>
    </row>
    <row r="5" spans="1:21" ht="12.75" x14ac:dyDescent="0.2">
      <c r="A5" s="403"/>
      <c r="B5" s="404"/>
      <c r="C5" s="405"/>
      <c r="D5" s="406"/>
      <c r="E5" s="407"/>
      <c r="F5" s="407"/>
      <c r="G5" s="407"/>
      <c r="H5" s="408"/>
      <c r="I5" s="409"/>
      <c r="J5" s="404"/>
      <c r="K5" s="404"/>
      <c r="L5" s="404"/>
      <c r="M5" s="158"/>
      <c r="O5" s="86"/>
      <c r="P5" s="309"/>
      <c r="Q5" s="310"/>
      <c r="R5" s="310"/>
    </row>
    <row r="6" spans="1:21" x14ac:dyDescent="0.2">
      <c r="A6" s="402"/>
      <c r="B6" s="681" t="s">
        <v>61</v>
      </c>
      <c r="C6" s="681"/>
      <c r="D6" s="681"/>
      <c r="E6" s="681"/>
      <c r="F6" s="681"/>
      <c r="G6" s="681"/>
      <c r="H6" s="681"/>
      <c r="I6" s="681"/>
      <c r="J6" s="681"/>
      <c r="K6" s="681"/>
      <c r="L6" s="681"/>
      <c r="M6" s="158"/>
      <c r="O6" s="87"/>
      <c r="P6" s="310"/>
      <c r="Q6" s="310"/>
      <c r="R6" s="310"/>
    </row>
    <row r="7" spans="1:21" x14ac:dyDescent="0.2">
      <c r="A7" s="210" t="s">
        <v>269</v>
      </c>
      <c r="B7" s="113"/>
      <c r="C7" s="143"/>
      <c r="D7" s="143"/>
      <c r="E7" s="143"/>
      <c r="F7" s="143"/>
      <c r="G7" s="143"/>
      <c r="H7" s="143"/>
      <c r="I7" s="143"/>
      <c r="J7" s="143"/>
      <c r="K7" s="143"/>
      <c r="L7" s="143"/>
      <c r="M7" s="154"/>
    </row>
    <row r="8" spans="1:21" ht="15" x14ac:dyDescent="0.2">
      <c r="A8" s="362"/>
      <c r="B8" s="333" t="s">
        <v>62</v>
      </c>
      <c r="C8" s="368"/>
      <c r="D8" s="368"/>
      <c r="E8" s="368"/>
      <c r="F8" s="368"/>
      <c r="G8" s="368"/>
      <c r="H8" s="368"/>
      <c r="I8" s="368"/>
      <c r="J8" s="368"/>
      <c r="K8" s="368"/>
      <c r="L8" s="368"/>
      <c r="M8" s="163"/>
    </row>
    <row r="9" spans="1:21" ht="15" x14ac:dyDescent="0.2">
      <c r="A9" s="362"/>
      <c r="B9" s="637" t="s">
        <v>4</v>
      </c>
      <c r="C9" s="638"/>
      <c r="D9" s="381"/>
      <c r="E9" s="682" t="s">
        <v>64</v>
      </c>
      <c r="F9" s="682"/>
      <c r="G9" s="682"/>
      <c r="H9" s="682"/>
      <c r="I9" s="682"/>
      <c r="J9" s="682"/>
      <c r="K9" s="682"/>
      <c r="L9" s="638"/>
      <c r="M9" s="163"/>
      <c r="O9" s="156"/>
      <c r="P9" s="358" t="s">
        <v>301</v>
      </c>
      <c r="Q9" s="358" t="s">
        <v>302</v>
      </c>
      <c r="R9" s="358" t="s">
        <v>303</v>
      </c>
      <c r="S9" s="200"/>
    </row>
    <row r="10" spans="1:21" ht="30" customHeight="1" x14ac:dyDescent="0.2">
      <c r="A10" s="362"/>
      <c r="B10" s="674" t="str">
        <f>IFERROR(VLOOKUP($E$4&amp;"a",leggerx1,20,0),"")</f>
        <v>SB</v>
      </c>
      <c r="C10" s="675"/>
      <c r="D10" s="678" t="str">
        <f>IFERROR(VLOOKUP(B10,$P$11:$Q$14,2,0),"")</f>
        <v>Selalu bersyukur dan selalu berdoa sebelum melakukan kegiatan, memiliki toleran pada agama yang berbeda, serta memiliki ketaatan beribadah.</v>
      </c>
      <c r="E10" s="679"/>
      <c r="F10" s="679"/>
      <c r="G10" s="679"/>
      <c r="H10" s="679"/>
      <c r="I10" s="679"/>
      <c r="J10" s="679"/>
      <c r="K10" s="679"/>
      <c r="L10" s="680"/>
      <c r="M10" s="163"/>
      <c r="O10" s="156"/>
      <c r="P10" s="311" t="s">
        <v>72</v>
      </c>
      <c r="Q10" s="312" t="s">
        <v>155</v>
      </c>
      <c r="R10" s="312" t="s">
        <v>155</v>
      </c>
      <c r="S10" s="200"/>
    </row>
    <row r="11" spans="1:21" ht="12.75" customHeight="1" x14ac:dyDescent="0.2">
      <c r="A11" s="369"/>
      <c r="B11" s="367"/>
      <c r="C11" s="370"/>
      <c r="D11" s="370"/>
      <c r="E11" s="374"/>
      <c r="F11" s="374"/>
      <c r="G11" s="374"/>
      <c r="H11" s="374"/>
      <c r="I11" s="374"/>
      <c r="J11" s="374"/>
      <c r="K11" s="374"/>
      <c r="L11" s="374"/>
      <c r="M11" s="163"/>
      <c r="O11" s="156"/>
      <c r="P11" s="314" t="s">
        <v>285</v>
      </c>
      <c r="Q11" s="366" t="s">
        <v>166</v>
      </c>
      <c r="R11" s="366" t="s">
        <v>169</v>
      </c>
      <c r="S11" s="201"/>
    </row>
    <row r="12" spans="1:21" s="67" customFormat="1" ht="15" x14ac:dyDescent="0.2">
      <c r="A12" s="362"/>
      <c r="B12" s="210" t="s">
        <v>63</v>
      </c>
      <c r="C12" s="165"/>
      <c r="D12" s="165"/>
      <c r="E12" s="165"/>
      <c r="F12" s="165"/>
      <c r="G12" s="165"/>
      <c r="H12" s="165"/>
      <c r="I12" s="165"/>
      <c r="J12" s="165"/>
      <c r="K12" s="165"/>
      <c r="L12" s="165"/>
      <c r="M12" s="167"/>
      <c r="N12" s="72"/>
      <c r="O12" s="372"/>
      <c r="P12" s="375" t="s">
        <v>6</v>
      </c>
      <c r="Q12" s="376" t="s">
        <v>167</v>
      </c>
      <c r="R12" s="376" t="s">
        <v>170</v>
      </c>
      <c r="S12" s="377"/>
      <c r="T12" s="41"/>
      <c r="U12" s="41"/>
    </row>
    <row r="13" spans="1:21" ht="15" x14ac:dyDescent="0.2">
      <c r="A13" s="362"/>
      <c r="B13" s="637" t="s">
        <v>4</v>
      </c>
      <c r="C13" s="638"/>
      <c r="D13" s="381"/>
      <c r="E13" s="682" t="s">
        <v>64</v>
      </c>
      <c r="F13" s="682"/>
      <c r="G13" s="682"/>
      <c r="H13" s="682"/>
      <c r="I13" s="682"/>
      <c r="J13" s="682"/>
      <c r="K13" s="682"/>
      <c r="L13" s="638"/>
      <c r="M13" s="163"/>
      <c r="O13" s="156"/>
      <c r="P13" s="314" t="s">
        <v>18</v>
      </c>
      <c r="Q13" s="366" t="s">
        <v>168</v>
      </c>
      <c r="R13" s="366" t="s">
        <v>171</v>
      </c>
      <c r="S13" s="202"/>
    </row>
    <row r="14" spans="1:21" s="53" customFormat="1" ht="30" customHeight="1" x14ac:dyDescent="0.2">
      <c r="A14" s="362"/>
      <c r="B14" s="674" t="str">
        <f>IFERROR(VLOOKUP($E$4&amp;"a",leggerx1,21,0),"")</f>
        <v>SB</v>
      </c>
      <c r="C14" s="675"/>
      <c r="D14" s="678" t="str">
        <f>IFERROR(VLOOKUP(B14,$P$11:$R$14,3,0),"")</f>
        <v>Memiliki sikap santun, disiplin, tanggung jawab, dan kepedulian yang sangat baik.</v>
      </c>
      <c r="E14" s="679"/>
      <c r="F14" s="679"/>
      <c r="G14" s="679"/>
      <c r="H14" s="679"/>
      <c r="I14" s="679"/>
      <c r="J14" s="679"/>
      <c r="K14" s="679"/>
      <c r="L14" s="680"/>
      <c r="M14" s="163"/>
      <c r="N14" s="71"/>
      <c r="O14" s="156"/>
      <c r="P14" s="314" t="s">
        <v>294</v>
      </c>
      <c r="Q14" s="366" t="s">
        <v>178</v>
      </c>
      <c r="R14" s="366" t="s">
        <v>179</v>
      </c>
      <c r="S14" s="202"/>
      <c r="T14" s="68"/>
      <c r="U14" s="68"/>
    </row>
    <row r="15" spans="1:21" ht="12.75" customHeight="1" x14ac:dyDescent="0.2">
      <c r="A15" s="369"/>
      <c r="B15" s="167"/>
      <c r="C15" s="370"/>
      <c r="D15" s="370"/>
      <c r="E15" s="371"/>
      <c r="F15" s="371"/>
      <c r="G15" s="371"/>
      <c r="H15" s="371"/>
      <c r="I15" s="371"/>
      <c r="J15" s="371"/>
      <c r="K15" s="371"/>
      <c r="L15" s="371"/>
      <c r="M15" s="163"/>
      <c r="O15" s="156"/>
      <c r="P15" s="315"/>
      <c r="Q15" s="315"/>
    </row>
    <row r="16" spans="1:21" s="67" customFormat="1" x14ac:dyDescent="0.2">
      <c r="A16" s="210" t="s">
        <v>309</v>
      </c>
      <c r="B16" s="113"/>
      <c r="C16" s="113"/>
      <c r="D16" s="113"/>
      <c r="E16" s="143"/>
      <c r="F16" s="143"/>
      <c r="G16" s="143"/>
      <c r="H16" s="143"/>
      <c r="I16" s="143"/>
      <c r="J16" s="143"/>
      <c r="K16" s="143"/>
      <c r="L16" s="143"/>
      <c r="M16" s="167"/>
      <c r="N16" s="72"/>
      <c r="O16" s="372"/>
      <c r="P16" s="373"/>
      <c r="Q16" s="41"/>
      <c r="R16" s="41"/>
      <c r="S16" s="89"/>
      <c r="T16" s="41"/>
      <c r="U16" s="41"/>
    </row>
    <row r="17" spans="1:21" x14ac:dyDescent="0.2">
      <c r="A17" s="210"/>
      <c r="B17" s="165" t="s">
        <v>307</v>
      </c>
      <c r="C17" s="113"/>
      <c r="D17" s="113"/>
      <c r="E17" s="143"/>
      <c r="F17" s="143"/>
      <c r="G17" s="143"/>
      <c r="H17" s="143"/>
      <c r="I17" s="143"/>
      <c r="J17" s="143"/>
      <c r="K17" s="143"/>
      <c r="L17" s="143"/>
      <c r="M17" s="163"/>
      <c r="O17" s="156"/>
      <c r="P17" s="317"/>
      <c r="Q17" s="88"/>
      <c r="R17" s="318"/>
    </row>
    <row r="18" spans="1:21" ht="15" x14ac:dyDescent="0.2">
      <c r="A18" s="210"/>
      <c r="B18" s="685" t="s">
        <v>288</v>
      </c>
      <c r="C18" s="676" t="s">
        <v>181</v>
      </c>
      <c r="D18" s="676"/>
      <c r="E18" s="676"/>
      <c r="F18" s="676"/>
      <c r="G18" s="676"/>
      <c r="H18" s="676" t="s">
        <v>8</v>
      </c>
      <c r="I18" s="676"/>
      <c r="J18" s="676" t="s">
        <v>25</v>
      </c>
      <c r="K18" s="676"/>
      <c r="L18" s="676" t="s">
        <v>310</v>
      </c>
      <c r="M18" s="163"/>
      <c r="O18" s="156"/>
      <c r="P18" s="74"/>
      <c r="Q18" s="88"/>
      <c r="R18" s="319"/>
      <c r="S18" s="203"/>
    </row>
    <row r="19" spans="1:21" ht="15" x14ac:dyDescent="0.2">
      <c r="A19" s="362"/>
      <c r="B19" s="686"/>
      <c r="C19" s="677"/>
      <c r="D19" s="677"/>
      <c r="E19" s="677"/>
      <c r="F19" s="677"/>
      <c r="G19" s="677"/>
      <c r="H19" s="295" t="s">
        <v>65</v>
      </c>
      <c r="I19" s="294" t="s">
        <v>4</v>
      </c>
      <c r="J19" s="295" t="s">
        <v>65</v>
      </c>
      <c r="K19" s="294" t="s">
        <v>4</v>
      </c>
      <c r="L19" s="677"/>
      <c r="M19" s="163"/>
      <c r="O19" s="156"/>
      <c r="P19" s="74"/>
      <c r="Q19" s="88"/>
      <c r="R19" s="319"/>
      <c r="S19" s="203"/>
    </row>
    <row r="20" spans="1:21" ht="15" x14ac:dyDescent="0.2">
      <c r="A20" s="362"/>
      <c r="B20" s="335" t="s">
        <v>261</v>
      </c>
      <c r="C20" s="333"/>
      <c r="D20" s="333"/>
      <c r="E20" s="333"/>
      <c r="F20" s="333"/>
      <c r="G20" s="333"/>
      <c r="H20" s="333"/>
      <c r="I20" s="333"/>
      <c r="J20" s="333"/>
      <c r="K20" s="368"/>
      <c r="L20" s="380"/>
      <c r="M20" s="163"/>
      <c r="O20" s="156"/>
      <c r="P20" s="74"/>
      <c r="Q20" s="88"/>
      <c r="R20" s="319"/>
      <c r="S20" s="203"/>
    </row>
    <row r="21" spans="1:21" s="53" customFormat="1" ht="16.5" x14ac:dyDescent="0.2">
      <c r="A21" s="363"/>
      <c r="B21" s="476">
        <v>1</v>
      </c>
      <c r="C21" s="592" t="str">
        <f>LEGER!F$6</f>
        <v>Pendidikan Agama dan Budi Pekerti</v>
      </c>
      <c r="D21" s="593"/>
      <c r="E21" s="593"/>
      <c r="F21" s="593"/>
      <c r="G21" s="673"/>
      <c r="H21" s="486">
        <f>IFERROR(VLOOKUP($E$4&amp;"A",leggerx1,3,0),"")</f>
        <v>75</v>
      </c>
      <c r="I21" s="487" t="str">
        <f>IFERROR(VLOOKUP($E$4&amp;"C",leggerx1,3,0),"")</f>
        <v>C</v>
      </c>
      <c r="J21" s="486">
        <f>IFERROR(VLOOKUP($E$4&amp;"B",leggerx1,3,0),"")</f>
        <v>75</v>
      </c>
      <c r="K21" s="487" t="str">
        <f>IFERROR(VLOOKUP($E$4&amp;"D",leggerx1,3,0),"")</f>
        <v>C</v>
      </c>
      <c r="L21" s="485" t="str">
        <f>IF(AND(H21&gt;=70,J21&gt;=70),"SUDAH Tuntas","BELUM Tuntas")</f>
        <v>SUDAH Tuntas</v>
      </c>
      <c r="M21" s="163"/>
      <c r="N21" s="71"/>
      <c r="O21" s="156"/>
      <c r="P21" s="74"/>
      <c r="Q21" s="204"/>
      <c r="R21" s="319"/>
      <c r="S21" s="191"/>
      <c r="T21" s="68"/>
      <c r="U21" s="68"/>
    </row>
    <row r="22" spans="1:21" s="53" customFormat="1" ht="16.5" x14ac:dyDescent="0.2">
      <c r="A22" s="363"/>
      <c r="B22" s="476">
        <v>2</v>
      </c>
      <c r="C22" s="592" t="str">
        <f>LEGER!G$6</f>
        <v>Pendidikan Pancasila dan Kewarganegaraan</v>
      </c>
      <c r="D22" s="593"/>
      <c r="E22" s="593"/>
      <c r="F22" s="593"/>
      <c r="G22" s="673"/>
      <c r="H22" s="486">
        <f>IFERROR(VLOOKUP($E$4&amp;"A",leggerx1,4,0),"")</f>
        <v>80</v>
      </c>
      <c r="I22" s="487" t="str">
        <f>IFERROR(VLOOKUP($E$4&amp;"C",leggerx1,4,0),"")</f>
        <v>B</v>
      </c>
      <c r="J22" s="486">
        <f>IFERROR(VLOOKUP($E$4&amp;"B",leggerx1,4,0),"")</f>
        <v>80</v>
      </c>
      <c r="K22" s="487" t="str">
        <f>IFERROR(VLOOKUP($E$4&amp;"D",leggerx1,4,0),"")</f>
        <v>B</v>
      </c>
      <c r="L22" s="485" t="str">
        <f t="shared" ref="L22:L26" si="0">IF(AND(H22&gt;=70,J22&gt;=70),"SUDAH Tuntas","BELUM Tuntas")</f>
        <v>SUDAH Tuntas</v>
      </c>
      <c r="M22" s="163"/>
      <c r="N22" s="71"/>
      <c r="O22" s="156"/>
      <c r="P22" s="74"/>
      <c r="Q22" s="204"/>
      <c r="R22" s="320"/>
      <c r="S22" s="191"/>
      <c r="T22" s="68"/>
      <c r="U22" s="68"/>
    </row>
    <row r="23" spans="1:21" s="53" customFormat="1" ht="16.5" x14ac:dyDescent="0.2">
      <c r="A23" s="363"/>
      <c r="B23" s="476">
        <v>3</v>
      </c>
      <c r="C23" s="586" t="str">
        <f>LEGER!H$6</f>
        <v>Bahasa Indonesia</v>
      </c>
      <c r="D23" s="587"/>
      <c r="E23" s="587"/>
      <c r="F23" s="587"/>
      <c r="G23" s="588"/>
      <c r="H23" s="486">
        <f>IFERROR(VLOOKUP($E$4&amp;"A",leggerx1,5,0),"")</f>
        <v>80</v>
      </c>
      <c r="I23" s="487" t="str">
        <f>IFERROR(VLOOKUP($E$4&amp;"C",leggerx1,5,0),"")</f>
        <v>B</v>
      </c>
      <c r="J23" s="486">
        <f>IFERROR(VLOOKUP($E$4&amp;"B",leggerx1,5,0),"")</f>
        <v>80</v>
      </c>
      <c r="K23" s="487" t="str">
        <f>IFERROR(VLOOKUP($E$4&amp;"D",leggerx1,5,0),"")</f>
        <v>B</v>
      </c>
      <c r="L23" s="485" t="str">
        <f t="shared" si="0"/>
        <v>SUDAH Tuntas</v>
      </c>
      <c r="M23" s="163"/>
      <c r="N23" s="71"/>
      <c r="O23" s="156"/>
      <c r="P23" s="74"/>
      <c r="Q23" s="319"/>
      <c r="R23" s="319"/>
      <c r="S23" s="191"/>
      <c r="T23" s="68"/>
      <c r="U23" s="68"/>
    </row>
    <row r="24" spans="1:21" s="53" customFormat="1" ht="16.5" x14ac:dyDescent="0.2">
      <c r="A24" s="363"/>
      <c r="B24" s="476">
        <v>4</v>
      </c>
      <c r="C24" s="586" t="str">
        <f>LEGER!I$6</f>
        <v>Matematika</v>
      </c>
      <c r="D24" s="587"/>
      <c r="E24" s="587"/>
      <c r="F24" s="587"/>
      <c r="G24" s="588"/>
      <c r="H24" s="486">
        <f>IFERROR(VLOOKUP($E$4&amp;"A",leggerx1,6,0),"")</f>
        <v>78</v>
      </c>
      <c r="I24" s="487" t="str">
        <f>IFERROR(VLOOKUP($E$4&amp;"C",leggerx1,6,0),"")</f>
        <v>C</v>
      </c>
      <c r="J24" s="486">
        <f>IFERROR(VLOOKUP($E$4&amp;"B",leggerx1,6,0),"")</f>
        <v>76</v>
      </c>
      <c r="K24" s="487" t="str">
        <f>IFERROR(VLOOKUP($E$4&amp;"D",leggerx1,6,0),"")</f>
        <v>C</v>
      </c>
      <c r="L24" s="485" t="str">
        <f t="shared" si="0"/>
        <v>SUDAH Tuntas</v>
      </c>
      <c r="M24" s="163"/>
      <c r="N24" s="71"/>
      <c r="O24" s="156"/>
      <c r="P24" s="74"/>
      <c r="Q24" s="319"/>
      <c r="R24" s="319"/>
      <c r="S24" s="191"/>
      <c r="T24" s="68"/>
      <c r="U24" s="68"/>
    </row>
    <row r="25" spans="1:21" s="53" customFormat="1" ht="16.5" x14ac:dyDescent="0.2">
      <c r="A25" s="363"/>
      <c r="B25" s="476">
        <v>5</v>
      </c>
      <c r="C25" s="586" t="str">
        <f>LEGER!J$6</f>
        <v>Sejarah Indonesia</v>
      </c>
      <c r="D25" s="587"/>
      <c r="E25" s="587"/>
      <c r="F25" s="587"/>
      <c r="G25" s="588"/>
      <c r="H25" s="486">
        <f>IFERROR(VLOOKUP($E$4&amp;"A",leggerx1,7,0),"")</f>
        <v>80</v>
      </c>
      <c r="I25" s="487" t="str">
        <f>IFERROR(VLOOKUP($E$4&amp;"C",leggerx1,7,0),"")</f>
        <v>B</v>
      </c>
      <c r="J25" s="486">
        <f>IFERROR(VLOOKUP($E$4&amp;"B",leggerx1,7,0),"")</f>
        <v>75</v>
      </c>
      <c r="K25" s="487" t="str">
        <f>IFERROR(VLOOKUP($E$4&amp;"D",leggerx1,7,0),"")</f>
        <v>C</v>
      </c>
      <c r="L25" s="485" t="str">
        <f t="shared" si="0"/>
        <v>SUDAH Tuntas</v>
      </c>
      <c r="M25" s="163"/>
      <c r="N25" s="71"/>
      <c r="O25" s="156"/>
      <c r="P25" s="74"/>
      <c r="Q25" s="319"/>
      <c r="R25" s="319"/>
      <c r="S25" s="191"/>
      <c r="T25" s="68"/>
      <c r="U25" s="68"/>
    </row>
    <row r="26" spans="1:21" s="53" customFormat="1" ht="16.5" x14ac:dyDescent="0.2">
      <c r="A26" s="363"/>
      <c r="B26" s="476">
        <v>6</v>
      </c>
      <c r="C26" s="586" t="str">
        <f>LEGER!K$6</f>
        <v>Bahasa Inggris</v>
      </c>
      <c r="D26" s="587"/>
      <c r="E26" s="587"/>
      <c r="F26" s="587"/>
      <c r="G26" s="588"/>
      <c r="H26" s="486">
        <f>IFERROR(VLOOKUP($E$4&amp;"A",leggerx1,8,0),"")</f>
        <v>70</v>
      </c>
      <c r="I26" s="487" t="str">
        <f>IFERROR(VLOOKUP($E$4&amp;"C",leggerx1,8,0),"")</f>
        <v>C</v>
      </c>
      <c r="J26" s="486">
        <f>IFERROR(VLOOKUP($E$4&amp;"B",leggerx1,8,0),"")</f>
        <v>71</v>
      </c>
      <c r="K26" s="487" t="str">
        <f>IFERROR(VLOOKUP($E$4&amp;"D",leggerx1,8,0),"")</f>
        <v>C</v>
      </c>
      <c r="L26" s="485" t="str">
        <f t="shared" si="0"/>
        <v>SUDAH Tuntas</v>
      </c>
      <c r="M26" s="163"/>
      <c r="N26" s="71"/>
      <c r="O26" s="156"/>
      <c r="P26" s="74"/>
      <c r="Q26" s="319"/>
      <c r="R26" s="319"/>
      <c r="S26" s="191"/>
      <c r="T26" s="68"/>
      <c r="U26" s="68"/>
    </row>
    <row r="27" spans="1:21" s="53" customFormat="1" ht="15" x14ac:dyDescent="0.2">
      <c r="A27" s="363"/>
      <c r="B27" s="335" t="s">
        <v>262</v>
      </c>
      <c r="C27" s="333"/>
      <c r="D27" s="333"/>
      <c r="E27" s="333"/>
      <c r="F27" s="333"/>
      <c r="G27" s="333"/>
      <c r="H27" s="333"/>
      <c r="I27" s="368"/>
      <c r="J27" s="379"/>
      <c r="K27" s="368"/>
      <c r="L27" s="481"/>
      <c r="M27" s="163"/>
      <c r="N27" s="71"/>
      <c r="O27" s="156"/>
      <c r="P27" s="74"/>
      <c r="Q27" s="319"/>
      <c r="R27" s="319"/>
      <c r="S27" s="191"/>
      <c r="T27" s="68"/>
      <c r="U27" s="68"/>
    </row>
    <row r="28" spans="1:21" s="53" customFormat="1" ht="16.5" x14ac:dyDescent="0.2">
      <c r="A28" s="363"/>
      <c r="B28" s="476">
        <v>1</v>
      </c>
      <c r="C28" s="586" t="str">
        <f>LEGER!L$6</f>
        <v>Seni Budaya</v>
      </c>
      <c r="D28" s="587"/>
      <c r="E28" s="587"/>
      <c r="F28" s="587"/>
      <c r="G28" s="588"/>
      <c r="H28" s="486">
        <f>IFERROR(VLOOKUP($E$4&amp;"A",leggerx1,9,0),"")</f>
        <v>76</v>
      </c>
      <c r="I28" s="487" t="str">
        <f>IFERROR(VLOOKUP($E$4&amp;"C",leggerx1,9,0),"")</f>
        <v>C</v>
      </c>
      <c r="J28" s="486">
        <f>IFERROR(VLOOKUP($E$4&amp;"B",leggerx1,9,0),"")</f>
        <v>76</v>
      </c>
      <c r="K28" s="487" t="str">
        <f>IFERROR(VLOOKUP($E$4&amp;"D",leggerx1,9,0),"")</f>
        <v>C</v>
      </c>
      <c r="L28" s="485" t="str">
        <f t="shared" ref="L28:L31" si="1">IF(AND(H28&gt;=70,J28&gt;=70),"SUDAH Tuntas","BELUM Tuntas")</f>
        <v>SUDAH Tuntas</v>
      </c>
      <c r="M28" s="163"/>
      <c r="N28" s="71"/>
      <c r="O28" s="156"/>
      <c r="P28" s="74"/>
      <c r="Q28" s="319"/>
      <c r="R28" s="319"/>
      <c r="S28" s="191"/>
      <c r="T28" s="68"/>
      <c r="U28" s="68"/>
    </row>
    <row r="29" spans="1:21" s="53" customFormat="1" ht="16.5" x14ac:dyDescent="0.2">
      <c r="A29" s="363"/>
      <c r="B29" s="476">
        <v>2</v>
      </c>
      <c r="C29" s="592" t="str">
        <f>LEGER!M$6</f>
        <v>Pendidikan Jasmani, Olah Raga dan Kesehatan</v>
      </c>
      <c r="D29" s="593"/>
      <c r="E29" s="593"/>
      <c r="F29" s="593"/>
      <c r="G29" s="673"/>
      <c r="H29" s="483">
        <f>IFERROR(VLOOKUP($E$4&amp;"A",leggerx1,10,0),"")</f>
        <v>80</v>
      </c>
      <c r="I29" s="484" t="str">
        <f>IFERROR(VLOOKUP($E$4&amp;"C",leggerx1,10,0),"")</f>
        <v>B</v>
      </c>
      <c r="J29" s="483">
        <f>IFERROR(VLOOKUP($E$4&amp;"B",leggerx1,10,0),"")</f>
        <v>83</v>
      </c>
      <c r="K29" s="484" t="str">
        <f>IFERROR(VLOOKUP($E$4&amp;"D",leggerx1,10,0),"")</f>
        <v>B</v>
      </c>
      <c r="L29" s="485" t="str">
        <f t="shared" si="1"/>
        <v>SUDAH Tuntas</v>
      </c>
      <c r="M29" s="163"/>
      <c r="N29" s="71"/>
      <c r="O29" s="156"/>
      <c r="P29" s="74"/>
      <c r="Q29" s="319"/>
      <c r="R29" s="319"/>
      <c r="S29" s="191"/>
      <c r="T29" s="68"/>
      <c r="U29" s="68"/>
    </row>
    <row r="30" spans="1:21" s="53" customFormat="1" ht="16.5" x14ac:dyDescent="0.2">
      <c r="A30" s="363"/>
      <c r="B30" s="476">
        <v>3</v>
      </c>
      <c r="C30" s="586" t="str">
        <f>LEGER!N$6</f>
        <v>Prakarya dan Kewirausahaan</v>
      </c>
      <c r="D30" s="587"/>
      <c r="E30" s="587"/>
      <c r="F30" s="587"/>
      <c r="G30" s="588"/>
      <c r="H30" s="483">
        <f>IFERROR(VLOOKUP($E$4&amp;"A",leggerx1,11,0),"")</f>
        <v>73</v>
      </c>
      <c r="I30" s="484" t="str">
        <f>IFERROR(VLOOKUP($E$4&amp;"C",leggerx1,11,0),"")</f>
        <v>C</v>
      </c>
      <c r="J30" s="483">
        <f>IFERROR(VLOOKUP($E$4&amp;"B",leggerx1,11,0),"")</f>
        <v>75</v>
      </c>
      <c r="K30" s="484" t="str">
        <f>IFERROR(VLOOKUP($E$4&amp;"D",leggerx1,11,0),"")</f>
        <v>C</v>
      </c>
      <c r="L30" s="485" t="str">
        <f t="shared" si="1"/>
        <v>SUDAH Tuntas</v>
      </c>
      <c r="M30" s="163"/>
      <c r="N30" s="71"/>
      <c r="O30" s="156"/>
      <c r="P30" s="74"/>
      <c r="Q30" s="319"/>
      <c r="R30" s="319"/>
      <c r="S30" s="191"/>
      <c r="T30" s="68"/>
      <c r="U30" s="68"/>
    </row>
    <row r="31" spans="1:21" s="53" customFormat="1" ht="16.5" x14ac:dyDescent="0.2">
      <c r="A31" s="363"/>
      <c r="B31" s="476">
        <v>4</v>
      </c>
      <c r="C31" s="586" t="str">
        <f>LEGER!O$6</f>
        <v>Bahasa Sunda</v>
      </c>
      <c r="D31" s="587"/>
      <c r="E31" s="587"/>
      <c r="F31" s="587"/>
      <c r="G31" s="588"/>
      <c r="H31" s="483">
        <f>IFERROR(VLOOKUP($E$4&amp;"A",leggerx1,12,0),"")</f>
        <v>78</v>
      </c>
      <c r="I31" s="484" t="str">
        <f>IFERROR(VLOOKUP($E$4&amp;"C",leggerx1,12,0),"")</f>
        <v>C</v>
      </c>
      <c r="J31" s="483">
        <f>IFERROR(VLOOKUP($E$4&amp;"B",leggerx1,12,0),"")</f>
        <v>90</v>
      </c>
      <c r="K31" s="484" t="str">
        <f>IFERROR(VLOOKUP($E$4&amp;"D",leggerx1,12,0),"")</f>
        <v>A</v>
      </c>
      <c r="L31" s="485" t="str">
        <f t="shared" si="1"/>
        <v>SUDAH Tuntas</v>
      </c>
      <c r="M31" s="163"/>
      <c r="N31" s="71"/>
      <c r="O31" s="156"/>
      <c r="P31" s="74"/>
      <c r="Q31" s="319"/>
      <c r="R31" s="319"/>
      <c r="S31" s="191"/>
      <c r="T31" s="68"/>
      <c r="U31" s="68"/>
    </row>
    <row r="32" spans="1:21" ht="15" x14ac:dyDescent="0.2">
      <c r="A32" s="362"/>
      <c r="B32" s="335" t="s">
        <v>263</v>
      </c>
      <c r="C32" s="333"/>
      <c r="D32" s="333"/>
      <c r="E32" s="333"/>
      <c r="F32" s="333"/>
      <c r="G32" s="333"/>
      <c r="H32" s="333"/>
      <c r="I32" s="368"/>
      <c r="J32" s="379"/>
      <c r="K32" s="368"/>
      <c r="L32" s="481"/>
      <c r="M32" s="163"/>
      <c r="O32" s="52"/>
      <c r="P32" s="52"/>
      <c r="Q32" s="52"/>
      <c r="R32" s="52"/>
      <c r="S32" s="190"/>
    </row>
    <row r="33" spans="1:21" ht="16.5" x14ac:dyDescent="0.2">
      <c r="A33" s="363"/>
      <c r="B33" s="476">
        <v>1</v>
      </c>
      <c r="C33" s="586" t="str">
        <f>LEGER!P$6</f>
        <v>G e o g r a f i</v>
      </c>
      <c r="D33" s="587"/>
      <c r="E33" s="587"/>
      <c r="F33" s="587"/>
      <c r="G33" s="588"/>
      <c r="H33" s="483">
        <f>IFERROR(VLOOKUP($E$4&amp;"A",leggerx1,13,0),"")</f>
        <v>73</v>
      </c>
      <c r="I33" s="484" t="str">
        <f>IFERROR(VLOOKUP($E$4&amp;"C",leggerx1,13,0),"")</f>
        <v>C</v>
      </c>
      <c r="J33" s="483">
        <f>IFERROR(VLOOKUP($E$4&amp;"B",leggerx1,13,0),"")</f>
        <v>70</v>
      </c>
      <c r="K33" s="484" t="str">
        <f>IFERROR(VLOOKUP($E$4&amp;"D",leggerx1,13,0),"")</f>
        <v>C</v>
      </c>
      <c r="L33" s="485" t="str">
        <f t="shared" ref="L33:L39" si="2">IF(AND(H33&gt;=70,J33&gt;=70),"SUDAH Tuntas","BELUM Tuntas")</f>
        <v>SUDAH Tuntas</v>
      </c>
      <c r="M33" s="165"/>
      <c r="O33" s="52"/>
      <c r="P33" s="52"/>
      <c r="Q33" s="52"/>
      <c r="R33" s="52"/>
      <c r="S33" s="190"/>
    </row>
    <row r="34" spans="1:21" s="22" customFormat="1" ht="16.5" x14ac:dyDescent="0.2">
      <c r="A34" s="363"/>
      <c r="B34" s="476">
        <v>2</v>
      </c>
      <c r="C34" s="586" t="str">
        <f>LEGER!Q$6</f>
        <v>S e j a r a h</v>
      </c>
      <c r="D34" s="587"/>
      <c r="E34" s="587"/>
      <c r="F34" s="587"/>
      <c r="G34" s="588"/>
      <c r="H34" s="483">
        <f>IFERROR(VLOOKUP($E$4&amp;"A",leggerx1,14,0),"")</f>
        <v>86</v>
      </c>
      <c r="I34" s="484" t="str">
        <f>IFERROR(VLOOKUP($E$4&amp;"C",leggerx1,14,0),"")</f>
        <v>B</v>
      </c>
      <c r="J34" s="483">
        <f>IFERROR(VLOOKUP($E$4&amp;"B",leggerx1,14,0),"")</f>
        <v>88</v>
      </c>
      <c r="K34" s="484" t="str">
        <f>IFERROR(VLOOKUP($E$4&amp;"D",leggerx1,14,0),"")</f>
        <v>B</v>
      </c>
      <c r="L34" s="485" t="str">
        <f t="shared" si="2"/>
        <v>SUDAH Tuntas</v>
      </c>
      <c r="M34" s="165"/>
      <c r="N34" s="70"/>
      <c r="O34" s="52"/>
      <c r="P34" s="52"/>
      <c r="Q34" s="52"/>
      <c r="R34" s="52"/>
      <c r="S34" s="59"/>
    </row>
    <row r="35" spans="1:21" s="22" customFormat="1" ht="16.5" x14ac:dyDescent="0.2">
      <c r="A35" s="363"/>
      <c r="B35" s="476">
        <v>3</v>
      </c>
      <c r="C35" s="586" t="str">
        <f>LEGER!R$6</f>
        <v>S o s i o l o g i</v>
      </c>
      <c r="D35" s="587"/>
      <c r="E35" s="587"/>
      <c r="F35" s="587"/>
      <c r="G35" s="588"/>
      <c r="H35" s="483">
        <f>IFERROR(VLOOKUP($E$4&amp;"A",leggerx1,15,0),"")</f>
        <v>80</v>
      </c>
      <c r="I35" s="484" t="str">
        <f>IFERROR(VLOOKUP($E$4&amp;"C",leggerx1,15,0),"")</f>
        <v>B</v>
      </c>
      <c r="J35" s="483">
        <f>IFERROR(VLOOKUP($E$4&amp;"B",leggerx1,15,0),"")</f>
        <v>80</v>
      </c>
      <c r="K35" s="484" t="str">
        <f>IFERROR(VLOOKUP($E$4&amp;"D",leggerx1,15,0),"")</f>
        <v>B</v>
      </c>
      <c r="L35" s="485" t="str">
        <f t="shared" si="2"/>
        <v>SUDAH Tuntas</v>
      </c>
      <c r="M35" s="205"/>
      <c r="N35" s="70"/>
      <c r="O35" s="52"/>
      <c r="P35" s="52"/>
      <c r="Q35" s="52"/>
      <c r="R35" s="52"/>
      <c r="S35" s="59"/>
    </row>
    <row r="36" spans="1:21" s="22" customFormat="1" ht="16.5" x14ac:dyDescent="0.2">
      <c r="A36" s="363"/>
      <c r="B36" s="476">
        <v>4</v>
      </c>
      <c r="C36" s="586" t="str">
        <f>LEGER!S$6</f>
        <v>E k o n o m i</v>
      </c>
      <c r="D36" s="587"/>
      <c r="E36" s="587"/>
      <c r="F36" s="587"/>
      <c r="G36" s="588"/>
      <c r="H36" s="483">
        <f>IFERROR(VLOOKUP($E$4&amp;"A",leggerx1,16,0),"")</f>
        <v>73</v>
      </c>
      <c r="I36" s="484" t="str">
        <f>IFERROR(VLOOKUP($E$4&amp;"C",leggerx1,16,0),"")</f>
        <v>C</v>
      </c>
      <c r="J36" s="483">
        <f>IFERROR(VLOOKUP($E$4&amp;"B",leggerx1,16,0),"")</f>
        <v>80</v>
      </c>
      <c r="K36" s="484" t="str">
        <f>IFERROR(VLOOKUP($E$4&amp;"D",leggerx1,16,0),"")</f>
        <v>B</v>
      </c>
      <c r="L36" s="485" t="str">
        <f t="shared" si="2"/>
        <v>SUDAH Tuntas</v>
      </c>
      <c r="M36" s="166"/>
      <c r="N36" s="205"/>
      <c r="O36" s="52"/>
      <c r="P36" s="52"/>
      <c r="Q36" s="52"/>
      <c r="R36" s="52"/>
      <c r="S36" s="59"/>
    </row>
    <row r="37" spans="1:21" s="22" customFormat="1" ht="16.5" x14ac:dyDescent="0.2">
      <c r="A37" s="363"/>
      <c r="B37" s="476">
        <v>5</v>
      </c>
      <c r="C37" s="586" t="str">
        <f>LEGER!T$6</f>
        <v>Bahasa Inggris</v>
      </c>
      <c r="D37" s="587"/>
      <c r="E37" s="587"/>
      <c r="F37" s="587"/>
      <c r="G37" s="588"/>
      <c r="H37" s="483">
        <f>IFERROR(VLOOKUP($E$4&amp;"A",leggerx1,17,0),"")</f>
        <v>80</v>
      </c>
      <c r="I37" s="484" t="str">
        <f>IFERROR(VLOOKUP($E$4&amp;"C",leggerx1,17,0),"")</f>
        <v>B</v>
      </c>
      <c r="J37" s="483">
        <f>IFERROR(VLOOKUP($E$4&amp;"B",leggerx1,17,0),"")</f>
        <v>80</v>
      </c>
      <c r="K37" s="484" t="str">
        <f>IFERROR(VLOOKUP($E$4&amp;"D",leggerx1,17,0),"")</f>
        <v>B</v>
      </c>
      <c r="L37" s="485" t="str">
        <f t="shared" si="2"/>
        <v>SUDAH Tuntas</v>
      </c>
      <c r="M37" s="165"/>
      <c r="N37" s="70"/>
      <c r="O37" s="52"/>
      <c r="P37" s="52"/>
      <c r="Q37" s="52"/>
      <c r="R37" s="52"/>
      <c r="S37" s="59"/>
    </row>
    <row r="38" spans="1:21" s="22" customFormat="1" ht="16.5" x14ac:dyDescent="0.2">
      <c r="A38" s="363"/>
      <c r="B38" s="476">
        <v>6</v>
      </c>
      <c r="C38" s="586" t="str">
        <f>LEGER!U$6</f>
        <v>B i o l o g i</v>
      </c>
      <c r="D38" s="587"/>
      <c r="E38" s="587"/>
      <c r="F38" s="587"/>
      <c r="G38" s="588"/>
      <c r="H38" s="483">
        <f>IFERROR(VLOOKUP($E$4&amp;"A",leggerx1,18,0),"")</f>
        <v>77</v>
      </c>
      <c r="I38" s="484" t="str">
        <f>IFERROR(VLOOKUP($E$4&amp;"C",leggerx1,18,0),"")</f>
        <v>C</v>
      </c>
      <c r="J38" s="483">
        <f>IFERROR(VLOOKUP($E$4&amp;"B",leggerx1,18,0),"")</f>
        <v>81</v>
      </c>
      <c r="K38" s="484" t="str">
        <f>IFERROR(VLOOKUP($E$4&amp;"D",leggerx1,18,0),"")</f>
        <v>B</v>
      </c>
      <c r="L38" s="485" t="str">
        <f t="shared" si="2"/>
        <v>SUDAH Tuntas</v>
      </c>
      <c r="M38" s="165"/>
      <c r="N38" s="70"/>
      <c r="O38" s="52"/>
      <c r="P38" s="52"/>
      <c r="Q38" s="52"/>
      <c r="R38" s="52"/>
      <c r="S38" s="59"/>
    </row>
    <row r="39" spans="1:21" s="22" customFormat="1" ht="16.5" customHeight="1" x14ac:dyDescent="0.2">
      <c r="A39" s="362"/>
      <c r="B39" s="476">
        <v>7</v>
      </c>
      <c r="C39" s="586" t="str">
        <f>LEGER!V$6</f>
        <v>Baca Tulis Qur'an</v>
      </c>
      <c r="D39" s="587"/>
      <c r="E39" s="587"/>
      <c r="F39" s="587"/>
      <c r="G39" s="588"/>
      <c r="H39" s="483">
        <f>IFERROR(VLOOKUP($E$4&amp;"A",leggerx1,19,0),"")</f>
        <v>85</v>
      </c>
      <c r="I39" s="484" t="str">
        <f>IFERROR(VLOOKUP($E$4&amp;"C",leggerx1,19,0),"")</f>
        <v>B</v>
      </c>
      <c r="J39" s="483">
        <f>IFERROR(VLOOKUP($E$4&amp;"B",leggerx1,19,0),"")</f>
        <v>80</v>
      </c>
      <c r="K39" s="484" t="str">
        <f>IFERROR(VLOOKUP($E$4&amp;"D",leggerx1,19,0),"")</f>
        <v>B</v>
      </c>
      <c r="L39" s="485" t="str">
        <f t="shared" si="2"/>
        <v>SUDAH Tuntas</v>
      </c>
      <c r="M39" s="165"/>
      <c r="N39" s="70"/>
      <c r="O39" s="52"/>
      <c r="P39" s="52"/>
      <c r="Q39" s="52"/>
      <c r="R39" s="52"/>
      <c r="S39" s="59"/>
    </row>
    <row r="40" spans="1:21" s="41" customFormat="1" ht="12" customHeight="1" x14ac:dyDescent="0.2">
      <c r="A40" s="369"/>
      <c r="B40" s="167"/>
      <c r="C40" s="167"/>
      <c r="D40" s="167"/>
      <c r="E40" s="167"/>
      <c r="F40" s="167"/>
      <c r="G40" s="167"/>
      <c r="H40" s="167"/>
      <c r="I40" s="167"/>
      <c r="J40" s="167"/>
      <c r="K40" s="167"/>
      <c r="L40" s="167"/>
      <c r="M40" s="167"/>
      <c r="N40" s="72"/>
      <c r="O40" s="67"/>
      <c r="P40" s="67"/>
      <c r="Q40" s="67"/>
      <c r="R40" s="67"/>
      <c r="S40" s="411"/>
    </row>
    <row r="41" spans="1:21" x14ac:dyDescent="0.2">
      <c r="A41" s="148" t="s">
        <v>312</v>
      </c>
      <c r="B41" s="148"/>
      <c r="C41" s="150"/>
      <c r="D41" s="150"/>
      <c r="E41" s="150"/>
      <c r="F41" s="150"/>
      <c r="G41" s="150"/>
      <c r="H41" s="150"/>
      <c r="I41" s="150"/>
      <c r="J41" s="150"/>
      <c r="K41" s="150"/>
      <c r="L41" s="143"/>
      <c r="M41" s="158"/>
      <c r="O41" s="52"/>
      <c r="P41" s="52"/>
      <c r="Q41" s="52"/>
      <c r="R41" s="52"/>
    </row>
    <row r="42" spans="1:21" ht="16.5" thickBot="1" x14ac:dyDescent="0.25">
      <c r="A42" s="350"/>
      <c r="B42" s="389" t="s">
        <v>188</v>
      </c>
      <c r="C42" s="664" t="s">
        <v>182</v>
      </c>
      <c r="D42" s="665"/>
      <c r="E42" s="665"/>
      <c r="F42" s="666"/>
      <c r="G42" s="386" t="s">
        <v>4</v>
      </c>
      <c r="H42" s="631" t="s">
        <v>64</v>
      </c>
      <c r="I42" s="632"/>
      <c r="J42" s="632"/>
      <c r="K42" s="632"/>
      <c r="L42" s="633"/>
      <c r="M42" s="158"/>
      <c r="O42" s="52"/>
      <c r="P42" s="401" t="s">
        <v>157</v>
      </c>
      <c r="Q42" s="391"/>
      <c r="R42" s="52"/>
    </row>
    <row r="43" spans="1:21" x14ac:dyDescent="0.2">
      <c r="A43" s="350"/>
      <c r="B43" s="472">
        <v>1</v>
      </c>
      <c r="C43" s="661" t="str">
        <f xml:space="preserve"> VLOOKUP($E$4&amp;"A",leggerx1,25,0)</f>
        <v>Pend. Kepramukaan</v>
      </c>
      <c r="D43" s="662"/>
      <c r="E43" s="662"/>
      <c r="F43" s="663"/>
      <c r="G43" s="475" t="str">
        <f xml:space="preserve"> VLOOKUP($E$4&amp;"A",leggerx1,26,0)</f>
        <v>-</v>
      </c>
      <c r="H43" s="658" t="str">
        <f>VLOOKUP(G43,$P$43:$Q$47,2,0)</f>
        <v>--</v>
      </c>
      <c r="I43" s="659"/>
      <c r="J43" s="659"/>
      <c r="K43" s="659"/>
      <c r="L43" s="660"/>
      <c r="M43" s="158"/>
      <c r="O43" s="52"/>
      <c r="P43" s="321" t="s">
        <v>285</v>
      </c>
      <c r="Q43" s="399" t="s">
        <v>256</v>
      </c>
      <c r="R43" s="52"/>
    </row>
    <row r="44" spans="1:21" x14ac:dyDescent="0.2">
      <c r="A44" s="350"/>
      <c r="B44" s="476">
        <v>2</v>
      </c>
      <c r="C44" s="692" t="str">
        <f xml:space="preserve"> VLOOKUP($E$4&amp;"B",leggerx1,25,0)</f>
        <v>-</v>
      </c>
      <c r="D44" s="693"/>
      <c r="E44" s="693"/>
      <c r="F44" s="694"/>
      <c r="G44" s="469" t="str">
        <f xml:space="preserve"> VLOOKUP($E$4&amp;"B",leggerx1,26,0)</f>
        <v>-</v>
      </c>
      <c r="H44" s="670" t="str">
        <f>VLOOKUP(G44,$P$43:$Q$47,2,0)</f>
        <v>--</v>
      </c>
      <c r="I44" s="671"/>
      <c r="J44" s="671"/>
      <c r="K44" s="671"/>
      <c r="L44" s="672"/>
      <c r="M44" s="158"/>
      <c r="O44" s="52"/>
      <c r="P44" s="321" t="s">
        <v>6</v>
      </c>
      <c r="Q44" s="399" t="s">
        <v>257</v>
      </c>
      <c r="R44" s="52"/>
    </row>
    <row r="45" spans="1:21" x14ac:dyDescent="0.2">
      <c r="A45" s="350"/>
      <c r="B45" s="476">
        <v>3</v>
      </c>
      <c r="C45" s="692" t="str">
        <f xml:space="preserve"> VLOOKUP($E$4&amp;"C",leggerx1,25,0)</f>
        <v>-</v>
      </c>
      <c r="D45" s="693"/>
      <c r="E45" s="693"/>
      <c r="F45" s="694"/>
      <c r="G45" s="469" t="str">
        <f>VLOOKUP($E$4&amp;"C",leggerx1,26,0)</f>
        <v>-</v>
      </c>
      <c r="H45" s="670" t="str">
        <f>VLOOKUP(G45,$P$43:$Q$47,2,0)</f>
        <v>--</v>
      </c>
      <c r="I45" s="671"/>
      <c r="J45" s="671"/>
      <c r="K45" s="671"/>
      <c r="L45" s="672"/>
      <c r="M45" s="158"/>
      <c r="O45" s="52"/>
      <c r="P45" s="321" t="s">
        <v>18</v>
      </c>
      <c r="Q45" s="399" t="s">
        <v>255</v>
      </c>
      <c r="R45" s="52"/>
    </row>
    <row r="46" spans="1:21" x14ac:dyDescent="0.2">
      <c r="A46" s="350"/>
      <c r="B46" s="468">
        <v>4</v>
      </c>
      <c r="C46" s="689" t="str">
        <f xml:space="preserve"> VLOOKUP($E$4&amp;"D",leggerx1,25,0)</f>
        <v>-</v>
      </c>
      <c r="D46" s="690"/>
      <c r="E46" s="690"/>
      <c r="F46" s="691"/>
      <c r="G46" s="482" t="str">
        <f>VLOOKUP($E$4&amp;"D",leggerx1,26,0)</f>
        <v>-</v>
      </c>
      <c r="H46" s="667" t="str">
        <f>VLOOKUP(G46,$P$43:$Q$47,2,0)</f>
        <v>--</v>
      </c>
      <c r="I46" s="668"/>
      <c r="J46" s="668"/>
      <c r="K46" s="668"/>
      <c r="L46" s="669"/>
      <c r="M46" s="158"/>
      <c r="O46" s="52"/>
      <c r="P46" s="321" t="s">
        <v>294</v>
      </c>
      <c r="Q46" s="399" t="s">
        <v>258</v>
      </c>
      <c r="R46" s="52"/>
    </row>
    <row r="47" spans="1:21" s="67" customFormat="1" ht="12" x14ac:dyDescent="0.2">
      <c r="A47" s="369"/>
      <c r="B47" s="167"/>
      <c r="C47" s="167"/>
      <c r="D47" s="167"/>
      <c r="E47" s="167"/>
      <c r="F47" s="167"/>
      <c r="G47" s="167"/>
      <c r="H47" s="167"/>
      <c r="I47" s="167"/>
      <c r="J47" s="167"/>
      <c r="K47" s="167"/>
      <c r="L47" s="167"/>
      <c r="M47" s="167"/>
      <c r="N47" s="72"/>
      <c r="P47" s="321" t="s">
        <v>36</v>
      </c>
      <c r="Q47" s="400" t="s">
        <v>176</v>
      </c>
      <c r="S47" s="89"/>
      <c r="T47" s="41"/>
      <c r="U47" s="41"/>
    </row>
    <row r="48" spans="1:21" s="67" customFormat="1" ht="12" x14ac:dyDescent="0.2">
      <c r="A48" s="369"/>
      <c r="B48" s="167"/>
      <c r="C48" s="167"/>
      <c r="D48" s="167"/>
      <c r="E48" s="167"/>
      <c r="F48" s="167"/>
      <c r="G48" s="167"/>
      <c r="H48" s="167"/>
      <c r="I48" s="167"/>
      <c r="J48" s="167"/>
      <c r="K48" s="167"/>
      <c r="L48" s="167"/>
      <c r="M48" s="167"/>
      <c r="N48" s="72"/>
      <c r="P48" s="326"/>
      <c r="Q48" s="410"/>
      <c r="S48" s="89"/>
      <c r="T48" s="41"/>
      <c r="U48" s="41"/>
    </row>
    <row r="49" spans="1:21" s="67" customFormat="1" ht="12" x14ac:dyDescent="0.2">
      <c r="A49" s="369"/>
      <c r="B49" s="167"/>
      <c r="C49" s="167"/>
      <c r="D49" s="167"/>
      <c r="E49" s="167"/>
      <c r="F49" s="167"/>
      <c r="G49" s="167"/>
      <c r="H49" s="167"/>
      <c r="I49" s="167"/>
      <c r="J49" s="167"/>
      <c r="K49" s="167"/>
      <c r="L49" s="167"/>
      <c r="M49" s="167"/>
      <c r="N49" s="72"/>
      <c r="P49" s="326"/>
      <c r="Q49" s="410"/>
      <c r="S49" s="89"/>
      <c r="T49" s="41"/>
      <c r="U49" s="41"/>
    </row>
    <row r="50" spans="1:21" s="67" customFormat="1" ht="12" x14ac:dyDescent="0.2">
      <c r="A50" s="369"/>
      <c r="B50" s="167"/>
      <c r="C50" s="167"/>
      <c r="D50" s="167"/>
      <c r="E50" s="167"/>
      <c r="F50" s="167"/>
      <c r="G50" s="167"/>
      <c r="H50" s="167"/>
      <c r="I50" s="167"/>
      <c r="J50" s="167"/>
      <c r="K50" s="167"/>
      <c r="L50" s="167"/>
      <c r="M50" s="167"/>
      <c r="N50" s="72"/>
      <c r="P50" s="326"/>
      <c r="Q50" s="410"/>
      <c r="S50" s="89"/>
      <c r="T50" s="41"/>
      <c r="U50" s="41"/>
    </row>
    <row r="51" spans="1:21" x14ac:dyDescent="0.2">
      <c r="A51" s="148" t="s">
        <v>313</v>
      </c>
      <c r="B51" s="148"/>
      <c r="C51" s="148"/>
      <c r="D51" s="148"/>
      <c r="E51" s="149"/>
      <c r="F51" s="149"/>
      <c r="G51" s="149"/>
      <c r="H51" s="150"/>
      <c r="I51" s="150"/>
      <c r="J51" s="150"/>
      <c r="K51" s="150"/>
      <c r="L51" s="143"/>
      <c r="M51" s="158"/>
      <c r="O51" s="52"/>
      <c r="P51" s="52"/>
      <c r="Q51" s="52"/>
      <c r="R51" s="52"/>
    </row>
    <row r="52" spans="1:21" ht="16.5" thickBot="1" x14ac:dyDescent="0.25">
      <c r="A52" s="350"/>
      <c r="B52" s="389" t="s">
        <v>188</v>
      </c>
      <c r="C52" s="629" t="s">
        <v>145</v>
      </c>
      <c r="D52" s="629"/>
      <c r="E52" s="629"/>
      <c r="F52" s="630"/>
      <c r="G52" s="631" t="s">
        <v>164</v>
      </c>
      <c r="H52" s="632"/>
      <c r="I52" s="632"/>
      <c r="J52" s="632"/>
      <c r="K52" s="632"/>
      <c r="L52" s="633"/>
      <c r="M52" s="158"/>
      <c r="O52" s="52"/>
      <c r="P52" s="52"/>
      <c r="Q52" s="52"/>
      <c r="R52" s="52"/>
    </row>
    <row r="53" spans="1:21" s="67" customFormat="1" x14ac:dyDescent="0.2">
      <c r="A53" s="350"/>
      <c r="B53" s="472">
        <v>1</v>
      </c>
      <c r="C53" s="634" t="str">
        <f>VLOOKUP($E$4&amp;"A",catatan,2,0)</f>
        <v>-</v>
      </c>
      <c r="D53" s="634"/>
      <c r="E53" s="634"/>
      <c r="F53" s="634"/>
      <c r="G53" s="639" t="str">
        <f>VLOOKUP($E$4&amp;"A",catatan,3,0)</f>
        <v>-</v>
      </c>
      <c r="H53" s="640"/>
      <c r="I53" s="640"/>
      <c r="J53" s="640"/>
      <c r="K53" s="640"/>
      <c r="L53" s="641"/>
      <c r="M53" s="158"/>
      <c r="N53" s="72"/>
      <c r="S53" s="89"/>
      <c r="T53" s="41"/>
      <c r="U53" s="41"/>
    </row>
    <row r="54" spans="1:21" x14ac:dyDescent="0.2">
      <c r="A54" s="350"/>
      <c r="B54" s="476">
        <v>2</v>
      </c>
      <c r="C54" s="594" t="str">
        <f>VLOOKUP($E$4&amp;"B",catatan,2,0)</f>
        <v>-</v>
      </c>
      <c r="D54" s="594"/>
      <c r="E54" s="594"/>
      <c r="F54" s="594"/>
      <c r="G54" s="595" t="str">
        <f>VLOOKUP($E$4&amp;"B",catatan,3,0)</f>
        <v>-</v>
      </c>
      <c r="H54" s="596"/>
      <c r="I54" s="596"/>
      <c r="J54" s="596"/>
      <c r="K54" s="596"/>
      <c r="L54" s="597"/>
      <c r="M54" s="158"/>
      <c r="O54" s="52"/>
      <c r="P54" s="52"/>
      <c r="Q54" s="52"/>
      <c r="R54" s="52"/>
    </row>
    <row r="55" spans="1:21" x14ac:dyDescent="0.2">
      <c r="A55" s="350"/>
      <c r="B55" s="476">
        <v>3</v>
      </c>
      <c r="C55" s="594" t="str">
        <f>VLOOKUP($E$4&amp;"C",catatan,2,0)</f>
        <v>-</v>
      </c>
      <c r="D55" s="594"/>
      <c r="E55" s="594"/>
      <c r="F55" s="594"/>
      <c r="G55" s="595" t="str">
        <f>VLOOKUP($E$4&amp;"C",catatan,3,0)</f>
        <v>-</v>
      </c>
      <c r="H55" s="596"/>
      <c r="I55" s="596"/>
      <c r="J55" s="596"/>
      <c r="K55" s="596"/>
      <c r="L55" s="597"/>
      <c r="M55" s="158"/>
      <c r="O55" s="52"/>
      <c r="P55" s="52"/>
      <c r="Q55" s="52"/>
      <c r="R55" s="52"/>
    </row>
    <row r="56" spans="1:21" x14ac:dyDescent="0.2">
      <c r="A56" s="350"/>
      <c r="B56" s="468">
        <v>4</v>
      </c>
      <c r="C56" s="698" t="str">
        <f>VLOOKUP($E$4&amp;"D",catatan,2,0)</f>
        <v>-</v>
      </c>
      <c r="D56" s="698"/>
      <c r="E56" s="698"/>
      <c r="F56" s="698"/>
      <c r="G56" s="699" t="str">
        <f>VLOOKUP($E$4&amp;"D",catatan,3,0)</f>
        <v>-</v>
      </c>
      <c r="H56" s="700"/>
      <c r="I56" s="700"/>
      <c r="J56" s="700"/>
      <c r="K56" s="700"/>
      <c r="L56" s="701"/>
      <c r="M56" s="158"/>
      <c r="O56" s="52"/>
      <c r="P56" s="52"/>
      <c r="Q56" s="52"/>
      <c r="R56" s="52"/>
    </row>
    <row r="57" spans="1:21" s="67" customFormat="1" ht="12" x14ac:dyDescent="0.2">
      <c r="A57" s="369"/>
      <c r="B57" s="167"/>
      <c r="C57" s="167"/>
      <c r="D57" s="167"/>
      <c r="E57" s="167"/>
      <c r="F57" s="167"/>
      <c r="G57" s="167"/>
      <c r="H57" s="167"/>
      <c r="I57" s="167"/>
      <c r="J57" s="167"/>
      <c r="K57" s="167"/>
      <c r="L57" s="167"/>
      <c r="M57" s="167"/>
      <c r="N57" s="72"/>
      <c r="S57" s="89"/>
      <c r="T57" s="41"/>
      <c r="U57" s="41"/>
    </row>
    <row r="58" spans="1:21" x14ac:dyDescent="0.2">
      <c r="A58" s="148" t="s">
        <v>314</v>
      </c>
      <c r="B58" s="148"/>
      <c r="C58" s="148"/>
      <c r="D58" s="148"/>
      <c r="E58" s="149"/>
      <c r="F58" s="149"/>
      <c r="G58" s="149"/>
      <c r="H58" s="143"/>
      <c r="I58" s="143"/>
      <c r="J58" s="143"/>
      <c r="K58" s="143"/>
      <c r="L58" s="143"/>
      <c r="M58" s="158"/>
      <c r="O58" s="52"/>
      <c r="P58" s="52"/>
      <c r="Q58" s="52"/>
      <c r="R58" s="52"/>
    </row>
    <row r="59" spans="1:21" x14ac:dyDescent="0.2">
      <c r="A59" s="350"/>
      <c r="B59" s="592" t="s">
        <v>172</v>
      </c>
      <c r="C59" s="593"/>
      <c r="D59" s="390"/>
      <c r="E59" s="332" t="s">
        <v>3</v>
      </c>
      <c r="F59" s="296" t="str">
        <f>VLOOKUP($E$4&amp;"A",leggerx1,22,0)</f>
        <v>-</v>
      </c>
      <c r="G59" s="297" t="s">
        <v>175</v>
      </c>
      <c r="H59" s="150"/>
      <c r="I59" s="150"/>
      <c r="J59" s="150"/>
      <c r="K59" s="150"/>
      <c r="L59" s="143"/>
      <c r="M59" s="158"/>
      <c r="O59" s="52"/>
      <c r="P59" s="52"/>
      <c r="Q59" s="52"/>
      <c r="R59" s="52"/>
    </row>
    <row r="60" spans="1:21" s="67" customFormat="1" x14ac:dyDescent="0.2">
      <c r="A60" s="350"/>
      <c r="B60" s="592" t="s">
        <v>173</v>
      </c>
      <c r="C60" s="593"/>
      <c r="D60" s="390"/>
      <c r="E60" s="332" t="s">
        <v>3</v>
      </c>
      <c r="F60" s="296" t="str">
        <f>VLOOKUP($E$4&amp;"A",leggerx1,23,0)</f>
        <v>-</v>
      </c>
      <c r="G60" s="297" t="s">
        <v>175</v>
      </c>
      <c r="H60" s="150"/>
      <c r="I60" s="150"/>
      <c r="J60" s="150"/>
      <c r="K60" s="150"/>
      <c r="L60" s="143"/>
      <c r="M60" s="158"/>
      <c r="N60" s="72"/>
      <c r="S60" s="89"/>
      <c r="T60" s="41"/>
      <c r="U60" s="41"/>
    </row>
    <row r="61" spans="1:21" x14ac:dyDescent="0.2">
      <c r="A61" s="350"/>
      <c r="B61" s="592" t="s">
        <v>174</v>
      </c>
      <c r="C61" s="593"/>
      <c r="D61" s="390"/>
      <c r="E61" s="332" t="s">
        <v>3</v>
      </c>
      <c r="F61" s="296">
        <f>VLOOKUP($E$4&amp;"A",leggerx1,24,0)</f>
        <v>0</v>
      </c>
      <c r="G61" s="297" t="s">
        <v>175</v>
      </c>
      <c r="H61" s="150"/>
      <c r="I61" s="150"/>
      <c r="J61" s="150"/>
      <c r="K61" s="150"/>
      <c r="L61" s="143"/>
      <c r="M61" s="158"/>
      <c r="O61" s="52"/>
      <c r="P61" s="52"/>
      <c r="Q61" s="52"/>
      <c r="R61" s="52"/>
    </row>
    <row r="62" spans="1:21" s="67" customFormat="1" ht="12" x14ac:dyDescent="0.2">
      <c r="A62" s="369"/>
      <c r="B62" s="167"/>
      <c r="C62" s="167"/>
      <c r="D62" s="167"/>
      <c r="E62" s="167"/>
      <c r="F62" s="167"/>
      <c r="G62" s="167"/>
      <c r="H62" s="167"/>
      <c r="I62" s="339"/>
      <c r="J62" s="339"/>
      <c r="K62" s="339"/>
      <c r="L62" s="167"/>
      <c r="M62" s="167"/>
      <c r="N62" s="72"/>
      <c r="S62" s="89"/>
      <c r="T62" s="41"/>
      <c r="U62" s="41"/>
    </row>
    <row r="63" spans="1:21" x14ac:dyDescent="0.2">
      <c r="A63" s="148" t="s">
        <v>315</v>
      </c>
      <c r="B63" s="148"/>
      <c r="C63" s="150"/>
      <c r="D63" s="150"/>
      <c r="E63" s="150"/>
      <c r="F63" s="150"/>
      <c r="G63" s="150"/>
      <c r="H63" s="150"/>
      <c r="I63" s="150"/>
      <c r="J63" s="150"/>
      <c r="K63" s="150"/>
      <c r="L63" s="143"/>
      <c r="M63" s="158"/>
      <c r="O63" s="52"/>
      <c r="P63" s="52"/>
      <c r="Q63" s="52"/>
      <c r="R63" s="52"/>
    </row>
    <row r="64" spans="1:21" ht="24.95" customHeight="1" x14ac:dyDescent="0.2">
      <c r="A64" s="350"/>
      <c r="B64" s="589" t="str">
        <f>VLOOKUP(E4&amp;"A",leger10,30,0)</f>
        <v>Tingkatkan Prestasi dan minta pengayaan !</v>
      </c>
      <c r="C64" s="590"/>
      <c r="D64" s="590"/>
      <c r="E64" s="590"/>
      <c r="F64" s="590"/>
      <c r="G64" s="590"/>
      <c r="H64" s="590"/>
      <c r="I64" s="590"/>
      <c r="J64" s="590"/>
      <c r="K64" s="590"/>
      <c r="L64" s="591"/>
      <c r="M64" s="158"/>
      <c r="O64" s="52"/>
      <c r="P64" s="52"/>
      <c r="Q64" s="52"/>
      <c r="R64" s="52"/>
    </row>
    <row r="65" spans="1:21" s="67" customFormat="1" ht="12" x14ac:dyDescent="0.2">
      <c r="A65" s="369"/>
      <c r="B65" s="339"/>
      <c r="C65" s="339"/>
      <c r="D65" s="339"/>
      <c r="E65" s="339"/>
      <c r="F65" s="339"/>
      <c r="G65" s="339"/>
      <c r="H65" s="339"/>
      <c r="I65" s="339"/>
      <c r="J65" s="339"/>
      <c r="K65" s="339"/>
      <c r="L65" s="167"/>
      <c r="M65" s="167"/>
      <c r="N65" s="72"/>
      <c r="S65" s="89"/>
      <c r="T65" s="41"/>
      <c r="U65" s="41"/>
    </row>
    <row r="66" spans="1:21" x14ac:dyDescent="0.2">
      <c r="A66" s="148" t="s">
        <v>316</v>
      </c>
      <c r="B66" s="148"/>
      <c r="C66" s="150"/>
      <c r="D66" s="150"/>
      <c r="E66" s="150"/>
      <c r="F66" s="150"/>
      <c r="G66" s="150"/>
      <c r="H66" s="150"/>
      <c r="I66" s="150"/>
      <c r="J66" s="150"/>
      <c r="K66" s="150"/>
      <c r="L66" s="143"/>
      <c r="M66" s="158"/>
      <c r="O66" s="52"/>
      <c r="P66" s="52"/>
      <c r="Q66" s="52"/>
      <c r="R66" s="52"/>
    </row>
    <row r="67" spans="1:21" ht="24.95" customHeight="1" x14ac:dyDescent="0.2">
      <c r="A67" s="350"/>
      <c r="B67" s="695"/>
      <c r="C67" s="696"/>
      <c r="D67" s="696"/>
      <c r="E67" s="696"/>
      <c r="F67" s="696"/>
      <c r="G67" s="696"/>
      <c r="H67" s="696"/>
      <c r="I67" s="696"/>
      <c r="J67" s="696"/>
      <c r="K67" s="696"/>
      <c r="L67" s="697"/>
      <c r="M67" s="158"/>
      <c r="O67" s="52"/>
      <c r="P67" s="52"/>
      <c r="Q67" s="52"/>
      <c r="R67" s="52"/>
    </row>
    <row r="68" spans="1:21" x14ac:dyDescent="0.2">
      <c r="B68" s="148"/>
      <c r="C68" s="150"/>
      <c r="D68" s="150"/>
      <c r="E68" s="150"/>
      <c r="F68" s="150"/>
      <c r="G68" s="150"/>
      <c r="H68" s="150"/>
      <c r="I68" s="150"/>
      <c r="J68" s="150"/>
      <c r="K68" s="150"/>
      <c r="L68" s="143"/>
      <c r="M68" s="158"/>
      <c r="O68" s="52"/>
      <c r="P68" s="323"/>
      <c r="Q68" s="378"/>
      <c r="R68" s="197"/>
    </row>
    <row r="69" spans="1:21" ht="24.95" customHeight="1" x14ac:dyDescent="0.2">
      <c r="A69" s="362"/>
      <c r="B69" s="581" t="s">
        <v>300</v>
      </c>
      <c r="C69" s="582"/>
      <c r="D69" s="582"/>
      <c r="E69" s="582"/>
      <c r="F69" s="582"/>
      <c r="G69" s="687" t="str">
        <f>VLOOKUP(E4,Naiktidak,8,0)</f>
        <v>Naik ke Kelas XI MIPA</v>
      </c>
      <c r="H69" s="687"/>
      <c r="I69" s="687"/>
      <c r="J69" s="687"/>
      <c r="K69" s="687"/>
      <c r="L69" s="688"/>
      <c r="M69" s="158"/>
      <c r="O69" s="52"/>
      <c r="P69" s="197"/>
      <c r="Q69" s="197"/>
      <c r="R69" s="197"/>
    </row>
    <row r="70" spans="1:21" x14ac:dyDescent="0.2">
      <c r="A70" s="362"/>
      <c r="B70" s="150"/>
      <c r="C70" s="150"/>
      <c r="D70" s="150"/>
      <c r="E70" s="150"/>
      <c r="F70" s="150"/>
      <c r="G70" s="150"/>
      <c r="H70" s="150"/>
      <c r="I70" s="150"/>
      <c r="J70" s="150"/>
      <c r="K70" s="150"/>
      <c r="L70" s="143"/>
      <c r="M70" s="158"/>
      <c r="O70" s="52"/>
      <c r="P70" s="197"/>
      <c r="Q70" s="197"/>
      <c r="R70" s="197"/>
    </row>
    <row r="71" spans="1:21" ht="19.5" customHeight="1" x14ac:dyDescent="0.2">
      <c r="A71" s="362"/>
      <c r="B71" s="436"/>
      <c r="C71" s="437" t="s">
        <v>345</v>
      </c>
      <c r="D71" s="438"/>
      <c r="E71" s="439">
        <f>VLOOKUP(E4&amp;"A",leger10,29,0)</f>
        <v>3</v>
      </c>
      <c r="F71" s="440"/>
      <c r="G71" s="150"/>
      <c r="H71" s="150"/>
      <c r="I71" s="150"/>
      <c r="J71" s="150"/>
      <c r="K71" s="150"/>
      <c r="L71" s="143"/>
      <c r="M71" s="158"/>
      <c r="O71" s="52"/>
      <c r="P71" s="197"/>
      <c r="Q71" s="197"/>
      <c r="R71" s="197"/>
    </row>
    <row r="72" spans="1:21" x14ac:dyDescent="0.2">
      <c r="A72" s="362"/>
      <c r="B72" s="150"/>
      <c r="C72" s="150"/>
      <c r="D72" s="150"/>
      <c r="E72" s="150"/>
      <c r="F72" s="150"/>
      <c r="G72" s="150"/>
      <c r="H72" s="150"/>
      <c r="I72" s="150"/>
      <c r="J72" s="150"/>
      <c r="K72" s="150"/>
      <c r="L72" s="143"/>
      <c r="M72" s="158"/>
      <c r="O72" s="52"/>
      <c r="P72" s="197"/>
      <c r="Q72" s="197"/>
      <c r="R72" s="197"/>
    </row>
    <row r="73" spans="1:21" s="67" customFormat="1" x14ac:dyDescent="0.2">
      <c r="A73" s="362"/>
      <c r="B73" s="150"/>
      <c r="C73" s="302" t="s">
        <v>39</v>
      </c>
      <c r="D73" s="302"/>
      <c r="E73" s="113"/>
      <c r="F73" s="154"/>
      <c r="G73" s="154"/>
      <c r="H73" s="154"/>
      <c r="I73" s="143"/>
      <c r="J73" s="302" t="str">
        <f>RAPORT!K111</f>
        <v>Banjaran,  21 Juni 2019</v>
      </c>
      <c r="L73" s="143"/>
      <c r="M73" s="167"/>
      <c r="N73" s="72"/>
      <c r="S73" s="89"/>
      <c r="T73" s="41"/>
      <c r="U73" s="41"/>
    </row>
    <row r="74" spans="1:21" x14ac:dyDescent="0.2">
      <c r="A74" s="362"/>
      <c r="B74" s="143"/>
      <c r="C74" s="302" t="s">
        <v>46</v>
      </c>
      <c r="D74" s="302"/>
      <c r="E74" s="143"/>
      <c r="F74" s="143"/>
      <c r="G74" s="143"/>
      <c r="H74" s="143"/>
      <c r="I74" s="154"/>
      <c r="J74" s="302" t="s">
        <v>2</v>
      </c>
      <c r="L74" s="143"/>
      <c r="M74" s="158"/>
      <c r="O74" s="52"/>
      <c r="P74" s="52"/>
      <c r="Q74" s="52"/>
      <c r="R74" s="52"/>
    </row>
    <row r="75" spans="1:21" x14ac:dyDescent="0.2">
      <c r="A75" s="362"/>
      <c r="B75" s="143"/>
      <c r="C75" s="302"/>
      <c r="D75" s="302"/>
      <c r="E75" s="143"/>
      <c r="F75" s="143"/>
      <c r="G75" s="143"/>
      <c r="H75" s="143"/>
      <c r="I75" s="153"/>
      <c r="J75" s="302"/>
      <c r="L75" s="143"/>
      <c r="M75" s="158"/>
      <c r="O75" s="52"/>
      <c r="P75" s="52"/>
      <c r="Q75" s="52"/>
      <c r="R75" s="52"/>
    </row>
    <row r="76" spans="1:21" s="67" customFormat="1" x14ac:dyDescent="0.2">
      <c r="A76" s="362"/>
      <c r="B76" s="150"/>
      <c r="C76" s="302"/>
      <c r="D76" s="302"/>
      <c r="E76" s="143"/>
      <c r="F76" s="143"/>
      <c r="G76" s="143"/>
      <c r="H76" s="143"/>
      <c r="I76" s="153"/>
      <c r="J76" s="302"/>
      <c r="L76" s="143"/>
      <c r="M76" s="158"/>
      <c r="N76" s="72"/>
      <c r="S76" s="89"/>
      <c r="T76" s="41"/>
      <c r="U76" s="41"/>
    </row>
    <row r="77" spans="1:21" x14ac:dyDescent="0.2">
      <c r="A77" s="362"/>
      <c r="B77" s="150"/>
      <c r="C77" s="305" t="s">
        <v>311</v>
      </c>
      <c r="D77" s="305"/>
      <c r="E77" s="143"/>
      <c r="F77" s="143"/>
      <c r="G77" s="143"/>
      <c r="H77" s="143"/>
      <c r="I77" s="153"/>
      <c r="J77" s="303" t="str">
        <f>Biodata!E4</f>
        <v>Harun Arrosyid, S.Pd.I</v>
      </c>
      <c r="L77" s="143"/>
      <c r="M77" s="158"/>
      <c r="O77" s="52"/>
      <c r="P77" s="52"/>
      <c r="Q77" s="52"/>
      <c r="R77" s="52"/>
    </row>
    <row r="78" spans="1:21" s="67" customFormat="1" x14ac:dyDescent="0.2">
      <c r="A78" s="362"/>
      <c r="B78" s="149"/>
      <c r="C78" s="143"/>
      <c r="D78" s="143"/>
      <c r="E78" s="143"/>
      <c r="F78" s="143"/>
      <c r="H78" s="143"/>
      <c r="I78" s="155"/>
      <c r="J78" s="304" t="str">
        <f>"NIP :"&amp;Biodata!E5</f>
        <v>NIP :--</v>
      </c>
      <c r="L78" s="143"/>
      <c r="M78" s="167"/>
      <c r="N78" s="72"/>
      <c r="S78" s="89"/>
      <c r="T78" s="41"/>
      <c r="U78" s="41"/>
    </row>
    <row r="79" spans="1:21" s="67" customFormat="1" x14ac:dyDescent="0.2">
      <c r="A79" s="362"/>
      <c r="B79" s="149"/>
      <c r="C79" s="143"/>
      <c r="D79" s="143"/>
      <c r="E79" s="143"/>
      <c r="F79" s="143"/>
      <c r="H79" s="143"/>
      <c r="I79" s="155"/>
      <c r="K79" s="304"/>
      <c r="L79" s="143"/>
      <c r="M79" s="167"/>
      <c r="N79" s="72"/>
      <c r="S79" s="89"/>
      <c r="T79" s="41"/>
      <c r="U79" s="41"/>
    </row>
    <row r="80" spans="1:21" x14ac:dyDescent="0.2">
      <c r="A80" s="362"/>
      <c r="B80" s="143"/>
      <c r="C80" s="143"/>
      <c r="D80" s="143"/>
      <c r="E80" s="143"/>
      <c r="F80" s="143"/>
      <c r="G80" s="302" t="s">
        <v>39</v>
      </c>
      <c r="I80" s="143"/>
      <c r="J80" s="143"/>
      <c r="K80" s="143"/>
      <c r="L80" s="143"/>
      <c r="M80" s="158"/>
      <c r="O80" s="52"/>
      <c r="P80" s="52"/>
      <c r="Q80" s="52"/>
      <c r="R80" s="52"/>
    </row>
    <row r="81" spans="1:21" x14ac:dyDescent="0.2">
      <c r="A81" s="362"/>
      <c r="B81" s="143"/>
      <c r="C81" s="143"/>
      <c r="D81" s="143"/>
      <c r="E81" s="143"/>
      <c r="F81" s="143"/>
      <c r="G81" s="302" t="s">
        <v>1</v>
      </c>
      <c r="I81" s="143"/>
      <c r="J81" s="143"/>
      <c r="K81" s="143"/>
      <c r="L81" s="143"/>
      <c r="M81" s="158"/>
      <c r="O81" s="52"/>
      <c r="P81" s="52"/>
      <c r="Q81" s="52"/>
      <c r="R81" s="52"/>
    </row>
    <row r="82" spans="1:21" s="67" customFormat="1" ht="12" x14ac:dyDescent="0.2">
      <c r="A82" s="369"/>
      <c r="B82" s="167"/>
      <c r="C82" s="167"/>
      <c r="D82" s="167"/>
      <c r="E82" s="167"/>
      <c r="F82" s="167"/>
      <c r="G82" s="384"/>
      <c r="H82" s="167"/>
      <c r="I82" s="167"/>
      <c r="J82" s="167"/>
      <c r="K82" s="167"/>
      <c r="L82" s="167"/>
      <c r="M82" s="167"/>
      <c r="N82" s="72"/>
      <c r="S82" s="89"/>
      <c r="T82" s="41"/>
      <c r="U82" s="41"/>
    </row>
    <row r="83" spans="1:21" s="67" customFormat="1" ht="12" x14ac:dyDescent="0.2">
      <c r="A83" s="369"/>
      <c r="B83" s="167"/>
      <c r="C83" s="167"/>
      <c r="D83" s="167"/>
      <c r="E83" s="167"/>
      <c r="F83" s="167"/>
      <c r="G83" s="384"/>
      <c r="H83" s="167"/>
      <c r="I83" s="167"/>
      <c r="J83" s="167"/>
      <c r="K83" s="167"/>
      <c r="L83" s="167"/>
      <c r="M83" s="167"/>
      <c r="N83" s="72"/>
      <c r="S83" s="89"/>
      <c r="T83" s="41"/>
      <c r="U83" s="41"/>
    </row>
    <row r="84" spans="1:21" s="67" customFormat="1" ht="12" x14ac:dyDescent="0.2">
      <c r="A84" s="369"/>
      <c r="B84" s="167"/>
      <c r="C84" s="167"/>
      <c r="D84" s="167"/>
      <c r="E84" s="167"/>
      <c r="F84" s="167"/>
      <c r="G84" s="384"/>
      <c r="H84" s="167"/>
      <c r="I84" s="167"/>
      <c r="J84" s="167"/>
      <c r="K84" s="167"/>
      <c r="L84" s="167"/>
      <c r="M84" s="167"/>
      <c r="N84" s="72"/>
      <c r="S84" s="89"/>
      <c r="T84" s="41"/>
      <c r="U84" s="41"/>
    </row>
    <row r="85" spans="1:21" x14ac:dyDescent="0.2">
      <c r="A85" s="362"/>
      <c r="B85" s="143"/>
      <c r="C85" s="143"/>
      <c r="D85" s="143"/>
      <c r="E85" s="143"/>
      <c r="F85" s="153"/>
      <c r="G85" s="306" t="s">
        <v>37</v>
      </c>
      <c r="I85" s="143"/>
      <c r="J85" s="143"/>
      <c r="K85" s="143"/>
      <c r="L85" s="143"/>
      <c r="M85" s="158"/>
      <c r="O85" s="52"/>
      <c r="P85" s="52"/>
      <c r="Q85" s="52"/>
      <c r="R85" s="52"/>
    </row>
    <row r="86" spans="1:21" x14ac:dyDescent="0.2">
      <c r="A86" s="362"/>
      <c r="B86" s="143"/>
      <c r="C86" s="143"/>
      <c r="D86" s="143"/>
      <c r="E86" s="143"/>
      <c r="F86" s="153"/>
      <c r="G86" s="418" t="s">
        <v>346</v>
      </c>
      <c r="I86" s="143"/>
      <c r="J86" s="143"/>
      <c r="K86" s="113"/>
      <c r="L86" s="143"/>
      <c r="M86" s="158"/>
      <c r="O86" s="52"/>
      <c r="P86" s="52"/>
      <c r="Q86" s="52"/>
      <c r="R86" s="52"/>
    </row>
    <row r="87" spans="1:21" x14ac:dyDescent="0.2">
      <c r="A87" s="362"/>
      <c r="B87" s="143"/>
      <c r="C87" s="143"/>
      <c r="D87" s="143"/>
      <c r="E87" s="143"/>
      <c r="F87" s="143"/>
      <c r="G87" s="143"/>
      <c r="H87" s="143"/>
      <c r="I87" s="143"/>
      <c r="J87" s="143"/>
      <c r="K87" s="143"/>
      <c r="L87" s="143"/>
      <c r="M87" s="158"/>
      <c r="O87" s="52"/>
      <c r="P87" s="52"/>
      <c r="Q87" s="52"/>
      <c r="R87" s="52"/>
    </row>
    <row r="88" spans="1:21" x14ac:dyDescent="0.2">
      <c r="A88" s="364"/>
      <c r="B88" s="151"/>
      <c r="C88" s="151"/>
      <c r="D88" s="151"/>
      <c r="E88" s="151"/>
      <c r="F88" s="151"/>
      <c r="G88" s="151"/>
      <c r="H88" s="151"/>
      <c r="I88" s="151"/>
      <c r="J88" s="151"/>
      <c r="K88" s="151"/>
      <c r="L88" s="151"/>
      <c r="M88" s="158"/>
      <c r="O88" s="52"/>
      <c r="P88" s="52"/>
      <c r="Q88" s="52"/>
      <c r="R88" s="52"/>
    </row>
    <row r="89" spans="1:21" s="88" customFormat="1" x14ac:dyDescent="0.2">
      <c r="A89" s="364"/>
      <c r="B89" s="151"/>
      <c r="C89" s="151"/>
      <c r="D89" s="151"/>
      <c r="E89" s="151"/>
      <c r="F89" s="151"/>
      <c r="G89" s="151"/>
      <c r="H89" s="151"/>
      <c r="I89" s="151"/>
      <c r="J89" s="151"/>
      <c r="K89" s="151"/>
      <c r="L89" s="151"/>
      <c r="M89" s="158"/>
      <c r="N89" s="70"/>
      <c r="O89" s="52"/>
      <c r="P89" s="52"/>
      <c r="Q89" s="52"/>
      <c r="R89" s="52"/>
      <c r="T89" s="22"/>
      <c r="U89" s="22"/>
    </row>
    <row r="90" spans="1:21" s="88" customFormat="1" x14ac:dyDescent="0.2">
      <c r="A90" s="364"/>
      <c r="B90" s="151"/>
      <c r="C90" s="151"/>
      <c r="D90" s="151"/>
      <c r="E90" s="151"/>
      <c r="F90" s="151"/>
      <c r="G90" s="151"/>
      <c r="H90" s="151"/>
      <c r="I90" s="151"/>
      <c r="J90" s="151"/>
      <c r="K90" s="151"/>
      <c r="L90" s="151"/>
      <c r="M90" s="158"/>
      <c r="N90" s="70"/>
      <c r="O90" s="52"/>
      <c r="P90" s="52"/>
      <c r="Q90" s="52"/>
      <c r="R90" s="52"/>
      <c r="T90" s="22"/>
      <c r="U90" s="22"/>
    </row>
    <row r="91" spans="1:21" s="88" customFormat="1" x14ac:dyDescent="0.2">
      <c r="A91" s="364"/>
      <c r="B91" s="151"/>
      <c r="C91" s="151"/>
      <c r="D91" s="151"/>
      <c r="E91" s="151"/>
      <c r="F91" s="151"/>
      <c r="G91" s="151"/>
      <c r="H91" s="151"/>
      <c r="I91" s="151"/>
      <c r="J91" s="151"/>
      <c r="K91" s="151"/>
      <c r="L91" s="151"/>
      <c r="M91" s="158"/>
      <c r="N91" s="70"/>
      <c r="O91" s="52"/>
      <c r="P91" s="52"/>
      <c r="Q91" s="52"/>
      <c r="R91" s="52"/>
      <c r="T91" s="22"/>
      <c r="U91" s="22"/>
    </row>
    <row r="92" spans="1:21" s="88" customFormat="1" x14ac:dyDescent="0.2">
      <c r="A92" s="364"/>
      <c r="B92" s="151"/>
      <c r="C92" s="151"/>
      <c r="D92" s="151"/>
      <c r="E92" s="151"/>
      <c r="F92" s="151"/>
      <c r="G92" s="151"/>
      <c r="H92" s="151"/>
      <c r="I92" s="151"/>
      <c r="J92" s="151"/>
      <c r="K92" s="151"/>
      <c r="L92" s="151"/>
      <c r="M92" s="158"/>
      <c r="N92" s="70"/>
      <c r="O92" s="52"/>
      <c r="P92" s="52"/>
      <c r="Q92" s="52"/>
      <c r="R92" s="52"/>
      <c r="T92" s="22"/>
      <c r="U92" s="22"/>
    </row>
    <row r="93" spans="1:21" s="88" customFormat="1" x14ac:dyDescent="0.2">
      <c r="A93" s="364"/>
      <c r="B93" s="151"/>
      <c r="C93" s="151"/>
      <c r="D93" s="151"/>
      <c r="E93" s="151"/>
      <c r="F93" s="151"/>
      <c r="G93" s="151"/>
      <c r="H93" s="151"/>
      <c r="I93" s="151"/>
      <c r="J93" s="151"/>
      <c r="K93" s="151"/>
      <c r="L93" s="151"/>
      <c r="M93" s="158"/>
      <c r="N93" s="70"/>
      <c r="O93" s="52"/>
      <c r="P93" s="52"/>
      <c r="Q93" s="52"/>
      <c r="R93" s="52"/>
      <c r="T93" s="22"/>
      <c r="U93" s="22"/>
    </row>
    <row r="94" spans="1:21" s="88" customFormat="1" x14ac:dyDescent="0.2">
      <c r="A94" s="364"/>
      <c r="B94" s="151"/>
      <c r="C94" s="151"/>
      <c r="D94" s="151"/>
      <c r="E94" s="151"/>
      <c r="F94" s="151"/>
      <c r="G94" s="151"/>
      <c r="H94" s="151"/>
      <c r="I94" s="151"/>
      <c r="J94" s="151"/>
      <c r="K94" s="151"/>
      <c r="L94" s="151"/>
      <c r="M94" s="158"/>
      <c r="N94" s="70"/>
      <c r="O94" s="52"/>
      <c r="P94" s="52"/>
      <c r="Q94" s="52"/>
      <c r="R94" s="52"/>
      <c r="T94" s="22"/>
      <c r="U94" s="22"/>
    </row>
    <row r="95" spans="1:21" s="88" customFormat="1" x14ac:dyDescent="0.2">
      <c r="A95" s="364"/>
      <c r="B95" s="151"/>
      <c r="C95" s="151"/>
      <c r="D95" s="151"/>
      <c r="E95" s="151"/>
      <c r="F95" s="151"/>
      <c r="G95" s="151"/>
      <c r="H95" s="151"/>
      <c r="I95" s="151"/>
      <c r="J95" s="151"/>
      <c r="K95" s="151"/>
      <c r="L95" s="151"/>
      <c r="M95" s="158"/>
      <c r="N95" s="70"/>
      <c r="O95" s="52"/>
      <c r="P95" s="52"/>
      <c r="Q95" s="52"/>
      <c r="R95" s="52"/>
      <c r="T95" s="22"/>
      <c r="U95" s="22"/>
    </row>
    <row r="96" spans="1:21" s="88" customFormat="1" x14ac:dyDescent="0.2">
      <c r="A96" s="364"/>
      <c r="B96" s="151"/>
      <c r="C96" s="151"/>
      <c r="D96" s="151"/>
      <c r="E96" s="151"/>
      <c r="F96" s="151"/>
      <c r="G96" s="151"/>
      <c r="H96" s="151"/>
      <c r="I96" s="151"/>
      <c r="J96" s="151"/>
      <c r="K96" s="151"/>
      <c r="L96" s="151"/>
      <c r="M96" s="158"/>
      <c r="N96" s="70"/>
      <c r="O96" s="52"/>
      <c r="P96" s="52"/>
      <c r="Q96" s="52"/>
      <c r="R96" s="52"/>
      <c r="T96" s="22"/>
      <c r="U96" s="22"/>
    </row>
    <row r="97" spans="1:21" s="88" customFormat="1" x14ac:dyDescent="0.2">
      <c r="A97" s="364"/>
      <c r="B97" s="151"/>
      <c r="C97" s="151"/>
      <c r="D97" s="151"/>
      <c r="E97" s="151"/>
      <c r="F97" s="151"/>
      <c r="G97" s="151"/>
      <c r="H97" s="151"/>
      <c r="I97" s="151"/>
      <c r="J97" s="151"/>
      <c r="K97" s="151"/>
      <c r="L97" s="151"/>
      <c r="M97" s="158"/>
      <c r="N97" s="70"/>
      <c r="O97" s="52"/>
      <c r="P97" s="52"/>
      <c r="Q97" s="52"/>
      <c r="R97" s="52"/>
      <c r="T97" s="22"/>
      <c r="U97" s="22"/>
    </row>
    <row r="98" spans="1:21" s="88" customFormat="1" x14ac:dyDescent="0.2">
      <c r="A98" s="364"/>
      <c r="B98" s="151"/>
      <c r="C98" s="151"/>
      <c r="D98" s="151"/>
      <c r="E98" s="151"/>
      <c r="F98" s="151"/>
      <c r="G98" s="151"/>
      <c r="H98" s="151"/>
      <c r="I98" s="151"/>
      <c r="J98" s="151"/>
      <c r="K98" s="151"/>
      <c r="L98" s="151"/>
      <c r="M98" s="158"/>
      <c r="N98" s="70"/>
      <c r="O98" s="52"/>
      <c r="P98" s="52"/>
      <c r="Q98" s="52"/>
      <c r="R98" s="52"/>
      <c r="T98" s="22"/>
      <c r="U98" s="22"/>
    </row>
    <row r="99" spans="1:21" s="88" customFormat="1" x14ac:dyDescent="0.2">
      <c r="A99" s="364"/>
      <c r="B99" s="151"/>
      <c r="C99" s="151"/>
      <c r="D99" s="151"/>
      <c r="E99" s="151"/>
      <c r="F99" s="151"/>
      <c r="G99" s="151"/>
      <c r="H99" s="151"/>
      <c r="I99" s="151"/>
      <c r="J99" s="151"/>
      <c r="K99" s="151"/>
      <c r="L99" s="151"/>
      <c r="M99" s="158"/>
      <c r="N99" s="70"/>
      <c r="O99" s="52"/>
      <c r="P99" s="52"/>
      <c r="Q99" s="52"/>
      <c r="R99" s="52"/>
      <c r="T99" s="22"/>
      <c r="U99" s="22"/>
    </row>
    <row r="100" spans="1:21" s="88" customFormat="1" x14ac:dyDescent="0.2">
      <c r="A100" s="364"/>
      <c r="B100" s="151"/>
      <c r="C100" s="151"/>
      <c r="D100" s="151"/>
      <c r="E100" s="151"/>
      <c r="F100" s="151"/>
      <c r="G100" s="151"/>
      <c r="H100" s="151"/>
      <c r="I100" s="151"/>
      <c r="J100" s="151"/>
      <c r="K100" s="151"/>
      <c r="L100" s="151"/>
      <c r="M100" s="158"/>
      <c r="N100" s="70"/>
      <c r="O100" s="52"/>
      <c r="P100" s="52"/>
      <c r="Q100" s="52"/>
      <c r="R100" s="52"/>
      <c r="T100" s="22"/>
      <c r="U100" s="22"/>
    </row>
    <row r="101" spans="1:21" s="88" customFormat="1" x14ac:dyDescent="0.2">
      <c r="A101" s="364"/>
      <c r="B101" s="151"/>
      <c r="C101" s="151"/>
      <c r="D101" s="151"/>
      <c r="E101" s="151"/>
      <c r="F101" s="151"/>
      <c r="G101" s="151"/>
      <c r="H101" s="151"/>
      <c r="I101" s="151"/>
      <c r="J101" s="151"/>
      <c r="K101" s="151"/>
      <c r="L101" s="151"/>
      <c r="M101" s="158"/>
      <c r="N101" s="70"/>
      <c r="O101" s="52"/>
      <c r="P101" s="52"/>
      <c r="Q101" s="52"/>
      <c r="R101" s="52"/>
      <c r="T101" s="22"/>
      <c r="U101" s="22"/>
    </row>
    <row r="102" spans="1:21" s="88" customFormat="1" x14ac:dyDescent="0.2">
      <c r="A102" s="364"/>
      <c r="B102" s="151"/>
      <c r="C102" s="151"/>
      <c r="D102" s="151"/>
      <c r="E102" s="151"/>
      <c r="F102" s="151"/>
      <c r="G102" s="151"/>
      <c r="H102" s="151"/>
      <c r="I102" s="151"/>
      <c r="J102" s="151"/>
      <c r="K102" s="151"/>
      <c r="L102" s="151"/>
      <c r="M102" s="132"/>
      <c r="N102" s="70"/>
      <c r="O102" s="52"/>
      <c r="P102" s="52"/>
      <c r="Q102" s="52"/>
      <c r="R102" s="52"/>
      <c r="T102" s="22"/>
      <c r="U102" s="22"/>
    </row>
    <row r="103" spans="1:21" s="88" customFormat="1" x14ac:dyDescent="0.2">
      <c r="A103" s="364"/>
      <c r="B103" s="151"/>
      <c r="C103" s="151"/>
      <c r="D103" s="151"/>
      <c r="E103" s="151"/>
      <c r="F103" s="151"/>
      <c r="G103" s="151"/>
      <c r="H103" s="151"/>
      <c r="I103" s="151"/>
      <c r="J103" s="151"/>
      <c r="K103" s="151"/>
      <c r="L103" s="151"/>
      <c r="M103" s="132"/>
      <c r="N103" s="70"/>
      <c r="O103" s="52"/>
      <c r="P103" s="52"/>
      <c r="Q103" s="52"/>
      <c r="R103" s="52"/>
      <c r="T103" s="22"/>
      <c r="U103" s="22"/>
    </row>
    <row r="104" spans="1:21" s="88" customFormat="1" x14ac:dyDescent="0.2">
      <c r="A104" s="364"/>
      <c r="B104" s="151"/>
      <c r="C104" s="151"/>
      <c r="D104" s="151"/>
      <c r="E104" s="151"/>
      <c r="F104" s="151"/>
      <c r="G104" s="151"/>
      <c r="H104" s="151"/>
      <c r="I104" s="151"/>
      <c r="J104" s="151"/>
      <c r="K104" s="151"/>
      <c r="L104" s="151"/>
      <c r="M104" s="132"/>
      <c r="N104" s="70"/>
      <c r="O104" s="52"/>
      <c r="P104" s="52"/>
      <c r="Q104" s="52"/>
      <c r="R104" s="52"/>
      <c r="T104" s="22"/>
      <c r="U104" s="22"/>
    </row>
    <row r="105" spans="1:21" x14ac:dyDescent="0.2">
      <c r="A105" s="364"/>
      <c r="B105" s="151"/>
      <c r="C105" s="151"/>
      <c r="D105" s="151"/>
      <c r="E105" s="151"/>
      <c r="F105" s="151"/>
      <c r="G105" s="151"/>
      <c r="H105" s="151"/>
      <c r="I105" s="151"/>
      <c r="J105" s="151"/>
      <c r="K105" s="151"/>
      <c r="L105" s="151"/>
      <c r="M105" s="132"/>
      <c r="O105" s="52"/>
      <c r="P105" s="52"/>
      <c r="Q105" s="52"/>
      <c r="R105" s="52"/>
    </row>
    <row r="106" spans="1:21" x14ac:dyDescent="0.2">
      <c r="A106" s="364"/>
      <c r="B106" s="151"/>
      <c r="C106" s="151"/>
      <c r="D106" s="151"/>
      <c r="E106" s="151"/>
      <c r="F106" s="151"/>
      <c r="G106" s="151"/>
      <c r="H106" s="151"/>
      <c r="I106" s="151"/>
      <c r="J106" s="151"/>
      <c r="K106" s="151"/>
      <c r="L106" s="151"/>
      <c r="M106" s="132"/>
      <c r="O106" s="52"/>
      <c r="P106" s="52"/>
      <c r="Q106" s="52"/>
      <c r="R106" s="52"/>
    </row>
    <row r="107" spans="1:21" x14ac:dyDescent="0.2">
      <c r="A107" s="364"/>
      <c r="B107" s="151"/>
      <c r="C107" s="151"/>
      <c r="D107" s="151"/>
      <c r="E107" s="151"/>
      <c r="F107" s="151"/>
      <c r="G107" s="151"/>
      <c r="H107" s="151"/>
      <c r="I107" s="151"/>
      <c r="J107" s="151"/>
      <c r="K107" s="151"/>
      <c r="L107" s="151"/>
      <c r="M107" s="132"/>
      <c r="O107" s="52"/>
      <c r="P107" s="52"/>
      <c r="Q107" s="52"/>
      <c r="R107" s="52"/>
    </row>
    <row r="108" spans="1:21" x14ac:dyDescent="0.2">
      <c r="A108" s="364"/>
      <c r="B108" s="151"/>
      <c r="C108" s="151"/>
      <c r="D108" s="151"/>
      <c r="E108" s="151"/>
      <c r="F108" s="151"/>
      <c r="G108" s="151"/>
      <c r="H108" s="151"/>
      <c r="I108" s="151"/>
      <c r="J108" s="151"/>
      <c r="K108" s="151"/>
      <c r="L108" s="151"/>
      <c r="M108" s="132"/>
      <c r="O108" s="168"/>
      <c r="P108" s="331"/>
      <c r="Q108" s="331"/>
      <c r="R108" s="331"/>
    </row>
    <row r="109" spans="1:21" x14ac:dyDescent="0.2">
      <c r="A109" s="364"/>
      <c r="B109" s="151"/>
      <c r="C109" s="151"/>
      <c r="D109" s="151"/>
      <c r="E109" s="151"/>
      <c r="F109" s="151"/>
      <c r="G109" s="151"/>
      <c r="H109" s="151"/>
      <c r="I109" s="151"/>
      <c r="J109" s="151"/>
      <c r="K109" s="151"/>
      <c r="L109" s="151"/>
      <c r="M109" s="132"/>
      <c r="O109" s="156"/>
      <c r="R109" s="316"/>
    </row>
    <row r="110" spans="1:21" x14ac:dyDescent="0.2">
      <c r="A110" s="364"/>
      <c r="B110" s="151"/>
      <c r="C110" s="151"/>
      <c r="D110" s="151"/>
      <c r="E110" s="151"/>
      <c r="F110" s="151"/>
      <c r="G110" s="151"/>
      <c r="H110" s="151"/>
      <c r="I110" s="151"/>
      <c r="J110" s="151"/>
      <c r="K110" s="151"/>
      <c r="L110" s="151"/>
      <c r="M110" s="132"/>
      <c r="O110" s="156"/>
      <c r="R110" s="316"/>
    </row>
    <row r="111" spans="1:21" x14ac:dyDescent="0.2">
      <c r="A111" s="364"/>
      <c r="B111" s="151"/>
      <c r="C111" s="151"/>
      <c r="D111" s="151"/>
      <c r="E111" s="151"/>
      <c r="F111" s="151"/>
      <c r="G111" s="151"/>
      <c r="H111" s="151"/>
      <c r="I111" s="151"/>
      <c r="J111" s="151"/>
      <c r="K111" s="151"/>
      <c r="L111" s="151"/>
      <c r="M111" s="132"/>
      <c r="O111" s="156"/>
      <c r="R111" s="316"/>
    </row>
    <row r="112" spans="1:21" s="54" customFormat="1" x14ac:dyDescent="0.2">
      <c r="A112" s="364"/>
      <c r="B112" s="151"/>
      <c r="C112" s="151"/>
      <c r="D112" s="151"/>
      <c r="E112" s="151"/>
      <c r="F112" s="151"/>
      <c r="G112" s="151"/>
      <c r="H112" s="151"/>
      <c r="I112" s="151"/>
      <c r="J112" s="151"/>
      <c r="K112" s="151"/>
      <c r="L112" s="151"/>
      <c r="M112" s="132"/>
      <c r="N112" s="70"/>
      <c r="O112" s="156"/>
      <c r="R112" s="316"/>
      <c r="S112" s="88"/>
      <c r="T112" s="22"/>
      <c r="U112" s="22"/>
    </row>
    <row r="113" spans="1:21" s="54" customFormat="1" x14ac:dyDescent="0.2">
      <c r="A113" s="364"/>
      <c r="B113" s="151"/>
      <c r="C113" s="151"/>
      <c r="D113" s="151"/>
      <c r="E113" s="151"/>
      <c r="F113" s="151"/>
      <c r="G113" s="151"/>
      <c r="H113" s="151"/>
      <c r="I113" s="151"/>
      <c r="J113" s="151"/>
      <c r="K113" s="151"/>
      <c r="L113" s="151"/>
      <c r="M113" s="132"/>
      <c r="N113" s="70"/>
      <c r="O113" s="156"/>
      <c r="R113" s="316"/>
      <c r="S113" s="88"/>
      <c r="T113" s="22"/>
      <c r="U113" s="22"/>
    </row>
    <row r="114" spans="1:21" x14ac:dyDescent="0.2">
      <c r="A114" s="364"/>
      <c r="B114" s="151"/>
      <c r="C114" s="151"/>
      <c r="D114" s="151"/>
      <c r="E114" s="151"/>
      <c r="F114" s="151"/>
      <c r="G114" s="151"/>
      <c r="H114" s="151"/>
      <c r="I114" s="151"/>
      <c r="J114" s="151"/>
      <c r="K114" s="151"/>
      <c r="L114" s="151"/>
      <c r="M114" s="132"/>
      <c r="O114" s="156"/>
      <c r="R114" s="316"/>
    </row>
    <row r="115" spans="1:21" x14ac:dyDescent="0.2">
      <c r="A115" s="364"/>
      <c r="B115" s="151"/>
      <c r="C115" s="151"/>
      <c r="D115" s="151"/>
      <c r="E115" s="151"/>
      <c r="F115" s="151"/>
      <c r="G115" s="151"/>
      <c r="H115" s="151"/>
      <c r="I115" s="151"/>
      <c r="J115" s="151"/>
      <c r="K115" s="151"/>
      <c r="L115" s="151"/>
      <c r="M115" s="132"/>
    </row>
    <row r="116" spans="1:21" x14ac:dyDescent="0.2">
      <c r="A116" s="364"/>
      <c r="B116" s="151"/>
      <c r="C116" s="151"/>
      <c r="D116" s="151"/>
      <c r="E116" s="151"/>
      <c r="F116" s="151"/>
      <c r="G116" s="151"/>
      <c r="H116" s="151"/>
      <c r="I116" s="151"/>
      <c r="J116" s="151"/>
      <c r="K116" s="151"/>
      <c r="L116" s="151"/>
      <c r="M116" s="132"/>
    </row>
    <row r="117" spans="1:21" x14ac:dyDescent="0.2">
      <c r="A117" s="364"/>
      <c r="B117" s="151"/>
      <c r="C117" s="151"/>
      <c r="D117" s="151"/>
      <c r="E117" s="151"/>
      <c r="F117" s="151"/>
      <c r="G117" s="151"/>
      <c r="H117" s="151"/>
      <c r="I117" s="151"/>
      <c r="J117" s="151"/>
      <c r="K117" s="151"/>
      <c r="L117" s="151"/>
      <c r="M117" s="132"/>
    </row>
    <row r="118" spans="1:21" x14ac:dyDescent="0.2">
      <c r="A118" s="364"/>
      <c r="B118" s="151"/>
      <c r="C118" s="151"/>
      <c r="D118" s="151"/>
      <c r="E118" s="151"/>
      <c r="F118" s="151"/>
      <c r="G118" s="151"/>
      <c r="H118" s="151"/>
      <c r="I118" s="151"/>
      <c r="J118" s="151"/>
      <c r="K118" s="151"/>
      <c r="L118" s="151"/>
      <c r="M118" s="132"/>
    </row>
    <row r="119" spans="1:21" x14ac:dyDescent="0.2">
      <c r="A119" s="364"/>
      <c r="B119" s="151"/>
      <c r="C119" s="151"/>
      <c r="D119" s="151"/>
      <c r="E119" s="151"/>
      <c r="F119" s="151"/>
      <c r="G119" s="151"/>
      <c r="H119" s="151"/>
      <c r="I119" s="151"/>
      <c r="J119" s="151"/>
      <c r="K119" s="151"/>
      <c r="L119" s="151"/>
      <c r="M119" s="132"/>
    </row>
    <row r="120" spans="1:21" x14ac:dyDescent="0.2">
      <c r="A120" s="364"/>
      <c r="B120" s="151"/>
      <c r="C120" s="151"/>
      <c r="D120" s="151"/>
      <c r="E120" s="151"/>
      <c r="F120" s="151"/>
      <c r="G120" s="151"/>
      <c r="H120" s="151"/>
      <c r="I120" s="151"/>
      <c r="J120" s="151"/>
      <c r="K120" s="151"/>
      <c r="L120" s="151"/>
      <c r="M120" s="132"/>
    </row>
    <row r="121" spans="1:21" s="70" customFormat="1" x14ac:dyDescent="0.2">
      <c r="A121" s="364"/>
      <c r="B121" s="151"/>
      <c r="C121" s="151"/>
      <c r="D121" s="151"/>
      <c r="E121" s="151"/>
      <c r="F121" s="151"/>
      <c r="G121" s="151"/>
      <c r="H121" s="151"/>
      <c r="I121" s="151"/>
      <c r="J121" s="151"/>
      <c r="K121" s="151"/>
      <c r="L121" s="151"/>
      <c r="M121" s="132"/>
      <c r="O121" s="85"/>
      <c r="P121" s="22"/>
      <c r="Q121" s="22"/>
      <c r="R121" s="22"/>
      <c r="S121" s="88"/>
      <c r="T121" s="22"/>
      <c r="U121" s="22"/>
    </row>
    <row r="122" spans="1:21" s="70" customFormat="1" x14ac:dyDescent="0.2">
      <c r="A122" s="364"/>
      <c r="B122" s="151"/>
      <c r="C122" s="151"/>
      <c r="D122" s="151"/>
      <c r="E122" s="151"/>
      <c r="F122" s="151"/>
      <c r="G122" s="151"/>
      <c r="H122" s="151"/>
      <c r="I122" s="151"/>
      <c r="J122" s="151"/>
      <c r="K122" s="151"/>
      <c r="L122" s="151"/>
      <c r="M122" s="132"/>
      <c r="O122" s="85"/>
      <c r="P122" s="22"/>
      <c r="Q122" s="22"/>
      <c r="R122" s="22"/>
      <c r="S122" s="88"/>
      <c r="T122" s="22"/>
      <c r="U122" s="22"/>
    </row>
    <row r="123" spans="1:21" s="70" customFormat="1" x14ac:dyDescent="0.2">
      <c r="A123" s="364"/>
      <c r="B123" s="151"/>
      <c r="C123" s="151"/>
      <c r="D123" s="151"/>
      <c r="E123" s="151"/>
      <c r="F123" s="151"/>
      <c r="G123" s="151"/>
      <c r="H123" s="151"/>
      <c r="I123" s="151"/>
      <c r="J123" s="151"/>
      <c r="K123" s="151"/>
      <c r="L123" s="151"/>
      <c r="M123" s="132"/>
      <c r="O123" s="85"/>
      <c r="P123" s="22"/>
      <c r="Q123" s="22"/>
      <c r="R123" s="22"/>
      <c r="S123" s="88"/>
      <c r="T123" s="22"/>
      <c r="U123" s="22"/>
    </row>
    <row r="124" spans="1:21" s="70" customFormat="1" x14ac:dyDescent="0.2">
      <c r="A124" s="364"/>
      <c r="B124" s="151"/>
      <c r="C124" s="151"/>
      <c r="D124" s="151"/>
      <c r="E124" s="151"/>
      <c r="F124" s="151"/>
      <c r="G124" s="151"/>
      <c r="H124" s="151"/>
      <c r="I124" s="151"/>
      <c r="J124" s="151"/>
      <c r="K124" s="151"/>
      <c r="L124" s="151"/>
      <c r="M124" s="132"/>
      <c r="O124" s="85"/>
      <c r="P124" s="22"/>
      <c r="Q124" s="22"/>
      <c r="R124" s="22"/>
      <c r="S124" s="88"/>
      <c r="T124" s="22"/>
      <c r="U124" s="22"/>
    </row>
    <row r="125" spans="1:21" s="70" customFormat="1" x14ac:dyDescent="0.2">
      <c r="A125" s="364"/>
      <c r="B125" s="151"/>
      <c r="C125" s="151"/>
      <c r="D125" s="151"/>
      <c r="E125" s="151"/>
      <c r="F125" s="151"/>
      <c r="G125" s="151"/>
      <c r="H125" s="151"/>
      <c r="I125" s="151"/>
      <c r="J125" s="151"/>
      <c r="K125" s="151"/>
      <c r="L125" s="151"/>
      <c r="M125" s="132"/>
      <c r="O125" s="85"/>
      <c r="P125" s="22"/>
      <c r="Q125" s="22"/>
      <c r="R125" s="22"/>
      <c r="S125" s="88"/>
      <c r="T125" s="22"/>
      <c r="U125" s="22"/>
    </row>
    <row r="126" spans="1:21" s="70" customFormat="1" x14ac:dyDescent="0.2">
      <c r="A126" s="364"/>
      <c r="B126" s="151"/>
      <c r="C126" s="151"/>
      <c r="D126" s="151"/>
      <c r="E126" s="151"/>
      <c r="F126" s="151"/>
      <c r="G126" s="151"/>
      <c r="H126" s="151"/>
      <c r="I126" s="151"/>
      <c r="J126" s="151"/>
      <c r="K126" s="151"/>
      <c r="L126" s="151"/>
      <c r="M126" s="132"/>
      <c r="O126" s="85"/>
      <c r="P126" s="22"/>
      <c r="Q126" s="22"/>
      <c r="R126" s="22"/>
      <c r="S126" s="88"/>
      <c r="T126" s="22"/>
      <c r="U126" s="22"/>
    </row>
    <row r="127" spans="1:21" s="70" customFormat="1" x14ac:dyDescent="0.2">
      <c r="A127" s="364"/>
      <c r="B127" s="151"/>
      <c r="C127" s="151"/>
      <c r="D127" s="151"/>
      <c r="E127" s="151"/>
      <c r="F127" s="151"/>
      <c r="G127" s="151"/>
      <c r="H127" s="151"/>
      <c r="I127" s="151"/>
      <c r="J127" s="151"/>
      <c r="K127" s="151"/>
      <c r="L127" s="151"/>
      <c r="M127" s="132"/>
      <c r="O127" s="85"/>
      <c r="P127" s="22"/>
      <c r="Q127" s="22"/>
      <c r="R127" s="22"/>
      <c r="S127" s="88"/>
      <c r="T127" s="22"/>
      <c r="U127" s="22"/>
    </row>
    <row r="128" spans="1:21" s="70" customFormat="1" x14ac:dyDescent="0.2">
      <c r="A128" s="364"/>
      <c r="B128" s="151"/>
      <c r="C128" s="151"/>
      <c r="D128" s="151"/>
      <c r="E128" s="151"/>
      <c r="F128" s="151"/>
      <c r="G128" s="151"/>
      <c r="H128" s="151"/>
      <c r="I128" s="151"/>
      <c r="J128" s="151"/>
      <c r="K128" s="151"/>
      <c r="L128" s="151"/>
      <c r="M128" s="132"/>
      <c r="O128" s="85"/>
      <c r="P128" s="22"/>
      <c r="Q128" s="22"/>
      <c r="R128" s="22"/>
      <c r="S128" s="88"/>
      <c r="T128" s="22"/>
      <c r="U128" s="22"/>
    </row>
    <row r="129" spans="1:21" s="70" customFormat="1" x14ac:dyDescent="0.2">
      <c r="A129" s="364"/>
      <c r="B129" s="151"/>
      <c r="C129" s="151"/>
      <c r="D129" s="151"/>
      <c r="E129" s="151"/>
      <c r="F129" s="151"/>
      <c r="G129" s="151"/>
      <c r="H129" s="151"/>
      <c r="I129" s="151"/>
      <c r="J129" s="151"/>
      <c r="K129" s="151"/>
      <c r="L129" s="151"/>
      <c r="M129" s="132"/>
      <c r="O129" s="85"/>
      <c r="P129" s="22"/>
      <c r="Q129" s="22"/>
      <c r="R129" s="22"/>
      <c r="S129" s="88"/>
      <c r="T129" s="22"/>
      <c r="U129" s="22"/>
    </row>
    <row r="130" spans="1:21" s="70" customFormat="1" x14ac:dyDescent="0.2">
      <c r="A130" s="364"/>
      <c r="B130" s="151"/>
      <c r="C130" s="151"/>
      <c r="D130" s="151"/>
      <c r="E130" s="151"/>
      <c r="F130" s="151"/>
      <c r="G130" s="151"/>
      <c r="H130" s="151"/>
      <c r="I130" s="151"/>
      <c r="J130" s="151"/>
      <c r="K130" s="151"/>
      <c r="L130" s="151"/>
      <c r="M130" s="132"/>
      <c r="O130" s="85"/>
      <c r="P130" s="22"/>
      <c r="Q130" s="22"/>
      <c r="R130" s="22"/>
      <c r="S130" s="88"/>
      <c r="T130" s="22"/>
      <c r="U130" s="22"/>
    </row>
    <row r="131" spans="1:21" s="70" customFormat="1" x14ac:dyDescent="0.2">
      <c r="A131" s="364"/>
      <c r="B131" s="151"/>
      <c r="C131" s="151"/>
      <c r="D131" s="151"/>
      <c r="E131" s="151"/>
      <c r="F131" s="151"/>
      <c r="G131" s="151"/>
      <c r="H131" s="151"/>
      <c r="I131" s="151"/>
      <c r="J131" s="151"/>
      <c r="K131" s="151"/>
      <c r="L131" s="151"/>
      <c r="M131" s="132"/>
      <c r="O131" s="85"/>
      <c r="P131" s="22"/>
      <c r="Q131" s="22"/>
      <c r="R131" s="22"/>
      <c r="S131" s="88"/>
      <c r="T131" s="22"/>
      <c r="U131" s="22"/>
    </row>
    <row r="132" spans="1:21" s="70" customFormat="1" x14ac:dyDescent="0.2">
      <c r="A132" s="364"/>
      <c r="B132" s="151"/>
      <c r="C132" s="151"/>
      <c r="D132" s="151"/>
      <c r="E132" s="151"/>
      <c r="F132" s="151"/>
      <c r="G132" s="151"/>
      <c r="H132" s="151"/>
      <c r="I132" s="151"/>
      <c r="J132" s="151"/>
      <c r="K132" s="151"/>
      <c r="L132" s="151"/>
      <c r="M132" s="132"/>
      <c r="O132" s="85"/>
      <c r="P132" s="22"/>
      <c r="Q132" s="22"/>
      <c r="R132" s="22"/>
      <c r="S132" s="88"/>
      <c r="T132" s="22"/>
      <c r="U132" s="22"/>
    </row>
    <row r="133" spans="1:21" s="70" customFormat="1" x14ac:dyDescent="0.2">
      <c r="A133" s="364"/>
      <c r="B133" s="151"/>
      <c r="C133" s="151"/>
      <c r="D133" s="151"/>
      <c r="E133" s="151"/>
      <c r="F133" s="151"/>
      <c r="G133" s="151"/>
      <c r="H133" s="151"/>
      <c r="I133" s="151"/>
      <c r="J133" s="151"/>
      <c r="K133" s="151"/>
      <c r="L133" s="151"/>
      <c r="M133" s="132"/>
      <c r="O133" s="85"/>
      <c r="P133" s="22"/>
      <c r="Q133" s="22"/>
      <c r="R133" s="22"/>
      <c r="S133" s="88"/>
      <c r="T133" s="22"/>
      <c r="U133" s="22"/>
    </row>
    <row r="134" spans="1:21" s="70" customFormat="1" x14ac:dyDescent="0.2">
      <c r="A134" s="364"/>
      <c r="B134" s="151"/>
      <c r="C134" s="151"/>
      <c r="D134" s="151"/>
      <c r="E134" s="151"/>
      <c r="F134" s="151"/>
      <c r="G134" s="151"/>
      <c r="H134" s="151"/>
      <c r="I134" s="151"/>
      <c r="J134" s="151"/>
      <c r="K134" s="151"/>
      <c r="L134" s="151"/>
      <c r="M134" s="132"/>
      <c r="O134" s="85"/>
      <c r="P134" s="22"/>
      <c r="Q134" s="22"/>
      <c r="R134" s="22"/>
      <c r="S134" s="88"/>
      <c r="T134" s="22"/>
      <c r="U134" s="22"/>
    </row>
    <row r="135" spans="1:21" s="70" customFormat="1" x14ac:dyDescent="0.2">
      <c r="A135" s="364"/>
      <c r="B135" s="151"/>
      <c r="C135" s="151"/>
      <c r="D135" s="151"/>
      <c r="E135" s="151"/>
      <c r="F135" s="151"/>
      <c r="G135" s="151"/>
      <c r="H135" s="151"/>
      <c r="I135" s="151"/>
      <c r="J135" s="151"/>
      <c r="K135" s="151"/>
      <c r="L135" s="151"/>
      <c r="M135" s="132"/>
      <c r="O135" s="85"/>
      <c r="P135" s="22"/>
      <c r="Q135" s="22"/>
      <c r="R135" s="22"/>
      <c r="S135" s="88"/>
      <c r="T135" s="22"/>
      <c r="U135" s="22"/>
    </row>
    <row r="136" spans="1:21" s="70" customFormat="1" x14ac:dyDescent="0.2">
      <c r="A136" s="364"/>
      <c r="B136" s="151"/>
      <c r="C136" s="151"/>
      <c r="D136" s="151"/>
      <c r="E136" s="151"/>
      <c r="F136" s="151"/>
      <c r="G136" s="151"/>
      <c r="H136" s="151"/>
      <c r="I136" s="151"/>
      <c r="J136" s="151"/>
      <c r="K136" s="151"/>
      <c r="L136" s="151"/>
      <c r="M136" s="132"/>
      <c r="O136" s="85"/>
      <c r="P136" s="22"/>
      <c r="Q136" s="22"/>
      <c r="R136" s="22"/>
      <c r="S136" s="88"/>
      <c r="T136" s="22"/>
      <c r="U136" s="22"/>
    </row>
    <row r="137" spans="1:21" s="70" customFormat="1" x14ac:dyDescent="0.2">
      <c r="A137" s="364"/>
      <c r="B137" s="151"/>
      <c r="C137" s="151"/>
      <c r="D137" s="151"/>
      <c r="E137" s="151"/>
      <c r="F137" s="151"/>
      <c r="G137" s="151"/>
      <c r="H137" s="151"/>
      <c r="I137" s="151"/>
      <c r="J137" s="151"/>
      <c r="K137" s="151"/>
      <c r="L137" s="151"/>
      <c r="M137" s="132"/>
      <c r="O137" s="85"/>
      <c r="P137" s="22"/>
      <c r="Q137" s="22"/>
      <c r="R137" s="22"/>
      <c r="S137" s="88"/>
      <c r="T137" s="22"/>
      <c r="U137" s="22"/>
    </row>
    <row r="138" spans="1:21" s="70" customFormat="1" x14ac:dyDescent="0.2">
      <c r="A138" s="364"/>
      <c r="B138" s="151"/>
      <c r="C138" s="151"/>
      <c r="D138" s="151"/>
      <c r="E138" s="151"/>
      <c r="F138" s="151"/>
      <c r="G138" s="151"/>
      <c r="H138" s="151"/>
      <c r="I138" s="151"/>
      <c r="J138" s="151"/>
      <c r="K138" s="151"/>
      <c r="L138" s="151"/>
      <c r="M138" s="132"/>
      <c r="O138" s="85"/>
      <c r="P138" s="22"/>
      <c r="Q138" s="22"/>
      <c r="R138" s="22"/>
      <c r="S138" s="88"/>
      <c r="T138" s="22"/>
      <c r="U138" s="22"/>
    </row>
    <row r="139" spans="1:21" s="70" customFormat="1" x14ac:dyDescent="0.2">
      <c r="A139" s="364"/>
      <c r="B139" s="151"/>
      <c r="C139" s="151"/>
      <c r="D139" s="151"/>
      <c r="E139" s="151"/>
      <c r="F139" s="151"/>
      <c r="G139" s="151"/>
      <c r="H139" s="151"/>
      <c r="I139" s="151"/>
      <c r="J139" s="151"/>
      <c r="K139" s="151"/>
      <c r="L139" s="151"/>
      <c r="M139" s="132"/>
      <c r="O139" s="85"/>
      <c r="P139" s="22"/>
      <c r="Q139" s="22"/>
      <c r="R139" s="22"/>
      <c r="S139" s="88"/>
      <c r="T139" s="22"/>
      <c r="U139" s="22"/>
    </row>
    <row r="140" spans="1:21" s="70" customFormat="1" x14ac:dyDescent="0.2">
      <c r="A140" s="364"/>
      <c r="B140" s="151"/>
      <c r="C140" s="151"/>
      <c r="D140" s="151"/>
      <c r="E140" s="151"/>
      <c r="F140" s="151"/>
      <c r="G140" s="151"/>
      <c r="H140" s="151"/>
      <c r="I140" s="151"/>
      <c r="J140" s="151"/>
      <c r="K140" s="151"/>
      <c r="L140" s="151"/>
      <c r="M140" s="132"/>
      <c r="O140" s="85"/>
      <c r="P140" s="22"/>
      <c r="Q140" s="22"/>
      <c r="R140" s="22"/>
      <c r="S140" s="88"/>
      <c r="T140" s="22"/>
      <c r="U140" s="22"/>
    </row>
    <row r="141" spans="1:21" s="70" customFormat="1" x14ac:dyDescent="0.2">
      <c r="A141" s="364"/>
      <c r="B141" s="151"/>
      <c r="C141" s="151"/>
      <c r="D141" s="151"/>
      <c r="E141" s="151"/>
      <c r="F141" s="151"/>
      <c r="G141" s="151"/>
      <c r="H141" s="151"/>
      <c r="I141" s="151"/>
      <c r="J141" s="151"/>
      <c r="K141" s="151"/>
      <c r="L141" s="151"/>
      <c r="M141" s="132"/>
      <c r="O141" s="85"/>
      <c r="P141" s="22"/>
      <c r="Q141" s="22"/>
      <c r="R141" s="22"/>
      <c r="S141" s="88"/>
      <c r="T141" s="22"/>
      <c r="U141" s="22"/>
    </row>
    <row r="142" spans="1:21" s="70" customFormat="1" x14ac:dyDescent="0.2">
      <c r="A142" s="364"/>
      <c r="B142" s="151"/>
      <c r="C142" s="151"/>
      <c r="D142" s="151"/>
      <c r="E142" s="151"/>
      <c r="F142" s="151"/>
      <c r="G142" s="151"/>
      <c r="H142" s="151"/>
      <c r="I142" s="151"/>
      <c r="J142" s="151"/>
      <c r="K142" s="151"/>
      <c r="L142" s="151"/>
      <c r="M142" s="132"/>
      <c r="O142" s="85"/>
      <c r="P142" s="22"/>
      <c r="Q142" s="22"/>
      <c r="R142" s="22"/>
      <c r="S142" s="88"/>
      <c r="T142" s="22"/>
      <c r="U142" s="22"/>
    </row>
    <row r="143" spans="1:21" s="70" customFormat="1" x14ac:dyDescent="0.2">
      <c r="A143" s="364"/>
      <c r="B143" s="151"/>
      <c r="C143" s="151"/>
      <c r="D143" s="151"/>
      <c r="E143" s="151"/>
      <c r="F143" s="151"/>
      <c r="G143" s="151"/>
      <c r="H143" s="151"/>
      <c r="I143" s="151"/>
      <c r="J143" s="151"/>
      <c r="K143" s="151"/>
      <c r="L143" s="151"/>
      <c r="M143" s="132"/>
      <c r="O143" s="85"/>
      <c r="P143" s="22"/>
      <c r="Q143" s="22"/>
      <c r="R143" s="22"/>
      <c r="S143" s="88"/>
      <c r="T143" s="22"/>
      <c r="U143" s="22"/>
    </row>
    <row r="144" spans="1:21" s="70" customFormat="1" x14ac:dyDescent="0.2">
      <c r="A144" s="364"/>
      <c r="B144" s="151"/>
      <c r="C144" s="151"/>
      <c r="D144" s="151"/>
      <c r="E144" s="151"/>
      <c r="F144" s="151"/>
      <c r="G144" s="151"/>
      <c r="H144" s="151"/>
      <c r="I144" s="151"/>
      <c r="J144" s="151"/>
      <c r="K144" s="151"/>
      <c r="L144" s="151"/>
      <c r="M144" s="132"/>
      <c r="O144" s="85"/>
      <c r="P144" s="22"/>
      <c r="Q144" s="22"/>
      <c r="R144" s="22"/>
      <c r="S144" s="88"/>
      <c r="T144" s="22"/>
      <c r="U144" s="22"/>
    </row>
    <row r="145" spans="1:21" s="70" customFormat="1" x14ac:dyDescent="0.2">
      <c r="A145" s="364"/>
      <c r="B145" s="151"/>
      <c r="C145" s="151"/>
      <c r="D145" s="151"/>
      <c r="E145" s="151"/>
      <c r="F145" s="151"/>
      <c r="G145" s="151"/>
      <c r="H145" s="151"/>
      <c r="I145" s="151"/>
      <c r="J145" s="151"/>
      <c r="K145" s="151"/>
      <c r="L145" s="151"/>
      <c r="M145" s="132"/>
      <c r="O145" s="85"/>
      <c r="P145" s="22"/>
      <c r="Q145" s="22"/>
      <c r="R145" s="22"/>
      <c r="S145" s="88"/>
      <c r="T145" s="22"/>
      <c r="U145" s="22"/>
    </row>
    <row r="146" spans="1:21" s="70" customFormat="1" x14ac:dyDescent="0.2">
      <c r="A146" s="364"/>
      <c r="B146" s="151"/>
      <c r="C146" s="151"/>
      <c r="D146" s="151"/>
      <c r="E146" s="151"/>
      <c r="F146" s="151"/>
      <c r="G146" s="151"/>
      <c r="H146" s="151"/>
      <c r="I146" s="151"/>
      <c r="J146" s="151"/>
      <c r="K146" s="151"/>
      <c r="L146" s="151"/>
      <c r="M146" s="132"/>
      <c r="O146" s="85"/>
      <c r="P146" s="22"/>
      <c r="Q146" s="22"/>
      <c r="R146" s="22"/>
      <c r="S146" s="88"/>
      <c r="T146" s="22"/>
      <c r="U146" s="22"/>
    </row>
    <row r="147" spans="1:21" s="70" customFormat="1" x14ac:dyDescent="0.2">
      <c r="A147" s="364"/>
      <c r="B147" s="151"/>
      <c r="C147" s="151"/>
      <c r="D147" s="151"/>
      <c r="E147" s="151"/>
      <c r="F147" s="151"/>
      <c r="G147" s="151"/>
      <c r="H147" s="151"/>
      <c r="I147" s="151"/>
      <c r="J147" s="151"/>
      <c r="K147" s="151"/>
      <c r="L147" s="151"/>
      <c r="M147" s="132"/>
      <c r="O147" s="85"/>
      <c r="P147" s="22"/>
      <c r="Q147" s="22"/>
      <c r="R147" s="22"/>
      <c r="S147" s="88"/>
      <c r="T147" s="22"/>
      <c r="U147" s="22"/>
    </row>
    <row r="148" spans="1:21" s="70" customFormat="1" x14ac:dyDescent="0.2">
      <c r="A148" s="364"/>
      <c r="B148" s="151"/>
      <c r="C148" s="151"/>
      <c r="D148" s="151"/>
      <c r="E148" s="151"/>
      <c r="F148" s="151"/>
      <c r="G148" s="151"/>
      <c r="H148" s="151"/>
      <c r="I148" s="151"/>
      <c r="J148" s="151"/>
      <c r="K148" s="151"/>
      <c r="L148" s="151"/>
      <c r="M148" s="132"/>
      <c r="O148" s="85"/>
      <c r="P148" s="22"/>
      <c r="Q148" s="22"/>
      <c r="R148" s="22"/>
      <c r="S148" s="88"/>
      <c r="T148" s="22"/>
      <c r="U148" s="22"/>
    </row>
    <row r="149" spans="1:21" s="70" customFormat="1" x14ac:dyDescent="0.2">
      <c r="A149" s="364"/>
      <c r="B149" s="151"/>
      <c r="C149" s="151"/>
      <c r="D149" s="151"/>
      <c r="E149" s="151"/>
      <c r="F149" s="151"/>
      <c r="G149" s="151"/>
      <c r="H149" s="151"/>
      <c r="I149" s="151"/>
      <c r="J149" s="151"/>
      <c r="K149" s="151"/>
      <c r="L149" s="151"/>
      <c r="M149" s="132"/>
      <c r="O149" s="85"/>
      <c r="P149" s="22"/>
      <c r="Q149" s="22"/>
      <c r="R149" s="22"/>
      <c r="S149" s="88"/>
      <c r="T149" s="22"/>
      <c r="U149" s="22"/>
    </row>
    <row r="150" spans="1:21" s="70" customFormat="1" x14ac:dyDescent="0.2">
      <c r="A150" s="364"/>
      <c r="B150" s="151"/>
      <c r="C150" s="151"/>
      <c r="D150" s="151"/>
      <c r="E150" s="151"/>
      <c r="F150" s="151"/>
      <c r="G150" s="151"/>
      <c r="H150" s="151"/>
      <c r="I150" s="151"/>
      <c r="J150" s="151"/>
      <c r="K150" s="151"/>
      <c r="L150" s="151"/>
      <c r="M150" s="132"/>
      <c r="O150" s="85"/>
      <c r="P150" s="22"/>
      <c r="Q150" s="22"/>
      <c r="R150" s="22"/>
      <c r="S150" s="88"/>
      <c r="T150" s="22"/>
      <c r="U150" s="22"/>
    </row>
    <row r="151" spans="1:21" s="70" customFormat="1" x14ac:dyDescent="0.2">
      <c r="A151" s="364"/>
      <c r="B151" s="151"/>
      <c r="C151" s="151"/>
      <c r="D151" s="151"/>
      <c r="E151" s="151"/>
      <c r="F151" s="151"/>
      <c r="G151" s="151"/>
      <c r="H151" s="151"/>
      <c r="I151" s="151"/>
      <c r="J151" s="151"/>
      <c r="K151" s="151"/>
      <c r="L151" s="151"/>
      <c r="M151" s="132"/>
      <c r="O151" s="85"/>
      <c r="P151" s="22"/>
      <c r="Q151" s="22"/>
      <c r="R151" s="22"/>
      <c r="S151" s="88"/>
      <c r="T151" s="22"/>
      <c r="U151" s="22"/>
    </row>
    <row r="152" spans="1:21" s="70" customFormat="1" x14ac:dyDescent="0.2">
      <c r="A152" s="364"/>
      <c r="B152" s="151"/>
      <c r="C152" s="151"/>
      <c r="D152" s="151"/>
      <c r="E152" s="151"/>
      <c r="F152" s="151"/>
      <c r="G152" s="151"/>
      <c r="H152" s="151"/>
      <c r="I152" s="151"/>
      <c r="J152" s="151"/>
      <c r="K152" s="151"/>
      <c r="L152" s="151"/>
      <c r="M152" s="132"/>
      <c r="O152" s="85"/>
      <c r="P152" s="22"/>
      <c r="Q152" s="22"/>
      <c r="R152" s="22"/>
      <c r="S152" s="88"/>
      <c r="T152" s="22"/>
      <c r="U152" s="22"/>
    </row>
    <row r="153" spans="1:21" s="70" customFormat="1" x14ac:dyDescent="0.2">
      <c r="A153" s="364"/>
      <c r="B153" s="151"/>
      <c r="C153" s="151"/>
      <c r="D153" s="151"/>
      <c r="E153" s="151"/>
      <c r="F153" s="151"/>
      <c r="G153" s="151"/>
      <c r="H153" s="151"/>
      <c r="I153" s="151"/>
      <c r="J153" s="151"/>
      <c r="K153" s="151"/>
      <c r="L153" s="151"/>
      <c r="M153" s="132"/>
      <c r="O153" s="85"/>
      <c r="P153" s="22"/>
      <c r="Q153" s="22"/>
      <c r="R153" s="22"/>
      <c r="S153" s="88"/>
      <c r="T153" s="22"/>
      <c r="U153" s="22"/>
    </row>
    <row r="154" spans="1:21" s="70" customFormat="1" x14ac:dyDescent="0.2">
      <c r="A154" s="364"/>
      <c r="B154" s="151"/>
      <c r="C154" s="151"/>
      <c r="D154" s="151"/>
      <c r="E154" s="151"/>
      <c r="F154" s="151"/>
      <c r="G154" s="151"/>
      <c r="H154" s="151"/>
      <c r="I154" s="151"/>
      <c r="J154" s="151"/>
      <c r="K154" s="151"/>
      <c r="L154" s="151"/>
      <c r="M154" s="132"/>
      <c r="O154" s="85"/>
      <c r="P154" s="22"/>
      <c r="Q154" s="22"/>
      <c r="R154" s="22"/>
      <c r="S154" s="88"/>
      <c r="T154" s="22"/>
      <c r="U154" s="22"/>
    </row>
    <row r="155" spans="1:21" s="70" customFormat="1" x14ac:dyDescent="0.2">
      <c r="A155" s="364"/>
      <c r="B155" s="151"/>
      <c r="C155" s="151"/>
      <c r="D155" s="151"/>
      <c r="E155" s="151"/>
      <c r="F155" s="151"/>
      <c r="G155" s="151"/>
      <c r="H155" s="151"/>
      <c r="I155" s="151"/>
      <c r="J155" s="151"/>
      <c r="K155" s="151"/>
      <c r="L155" s="151"/>
      <c r="M155" s="132"/>
      <c r="O155" s="85"/>
      <c r="P155" s="22"/>
      <c r="Q155" s="22"/>
      <c r="R155" s="22"/>
      <c r="S155" s="88"/>
      <c r="T155" s="22"/>
      <c r="U155" s="22"/>
    </row>
    <row r="156" spans="1:21" s="70" customFormat="1" x14ac:dyDescent="0.2">
      <c r="A156" s="364"/>
      <c r="B156" s="151"/>
      <c r="C156" s="151"/>
      <c r="D156" s="151"/>
      <c r="E156" s="151"/>
      <c r="F156" s="151"/>
      <c r="G156" s="151"/>
      <c r="H156" s="151"/>
      <c r="I156" s="151"/>
      <c r="J156" s="151"/>
      <c r="K156" s="151"/>
      <c r="L156" s="151"/>
      <c r="M156" s="132"/>
      <c r="O156" s="85"/>
      <c r="P156" s="22"/>
      <c r="Q156" s="22"/>
      <c r="R156" s="22"/>
      <c r="S156" s="88"/>
      <c r="T156" s="22"/>
      <c r="U156" s="22"/>
    </row>
    <row r="157" spans="1:21" s="70" customFormat="1" x14ac:dyDescent="0.2">
      <c r="A157" s="364"/>
      <c r="B157" s="151"/>
      <c r="C157" s="151"/>
      <c r="D157" s="151"/>
      <c r="E157" s="151"/>
      <c r="F157" s="151"/>
      <c r="G157" s="151"/>
      <c r="H157" s="151"/>
      <c r="I157" s="151"/>
      <c r="J157" s="151"/>
      <c r="K157" s="151"/>
      <c r="L157" s="151"/>
      <c r="M157" s="132"/>
      <c r="O157" s="85"/>
      <c r="P157" s="22"/>
      <c r="Q157" s="22"/>
      <c r="R157" s="22"/>
      <c r="S157" s="88"/>
      <c r="T157" s="22"/>
      <c r="U157" s="22"/>
    </row>
    <row r="158" spans="1:21" s="70" customFormat="1" x14ac:dyDescent="0.2">
      <c r="A158" s="364"/>
      <c r="B158" s="151"/>
      <c r="C158" s="151"/>
      <c r="D158" s="151"/>
      <c r="E158" s="151"/>
      <c r="F158" s="151"/>
      <c r="G158" s="151"/>
      <c r="H158" s="151"/>
      <c r="I158" s="151"/>
      <c r="J158" s="151"/>
      <c r="K158" s="151"/>
      <c r="L158" s="151"/>
      <c r="M158" s="132"/>
      <c r="O158" s="85"/>
      <c r="P158" s="22"/>
      <c r="Q158" s="22"/>
      <c r="R158" s="22"/>
      <c r="S158" s="88"/>
      <c r="T158" s="22"/>
      <c r="U158" s="22"/>
    </row>
    <row r="159" spans="1:21" s="70" customFormat="1" x14ac:dyDescent="0.2">
      <c r="A159" s="364"/>
      <c r="B159" s="151"/>
      <c r="C159" s="151"/>
      <c r="D159" s="151"/>
      <c r="E159" s="151"/>
      <c r="F159" s="151"/>
      <c r="G159" s="151"/>
      <c r="H159" s="151"/>
      <c r="I159" s="151"/>
      <c r="J159" s="151"/>
      <c r="K159" s="151"/>
      <c r="L159" s="151"/>
      <c r="M159" s="132"/>
      <c r="O159" s="85"/>
      <c r="P159" s="22"/>
      <c r="Q159" s="22"/>
      <c r="R159" s="22"/>
      <c r="S159" s="88"/>
      <c r="T159" s="22"/>
      <c r="U159" s="22"/>
    </row>
    <row r="160" spans="1:21" s="70" customFormat="1" x14ac:dyDescent="0.2">
      <c r="A160" s="364"/>
      <c r="B160" s="151"/>
      <c r="C160" s="151"/>
      <c r="D160" s="151"/>
      <c r="E160" s="151"/>
      <c r="F160" s="151"/>
      <c r="G160" s="151"/>
      <c r="H160" s="151"/>
      <c r="I160" s="151"/>
      <c r="J160" s="151"/>
      <c r="K160" s="151"/>
      <c r="L160" s="151"/>
      <c r="M160" s="132"/>
      <c r="O160" s="85"/>
      <c r="P160" s="22"/>
      <c r="Q160" s="22"/>
      <c r="R160" s="22"/>
      <c r="S160" s="88"/>
      <c r="T160" s="22"/>
      <c r="U160" s="22"/>
    </row>
    <row r="161" spans="1:21" s="70" customFormat="1" x14ac:dyDescent="0.2">
      <c r="A161" s="364"/>
      <c r="B161" s="151"/>
      <c r="C161" s="151"/>
      <c r="D161" s="151"/>
      <c r="E161" s="151"/>
      <c r="F161" s="151"/>
      <c r="G161" s="151"/>
      <c r="H161" s="151"/>
      <c r="I161" s="151"/>
      <c r="J161" s="151"/>
      <c r="K161" s="151"/>
      <c r="L161" s="151"/>
      <c r="M161" s="132"/>
      <c r="O161" s="85"/>
      <c r="P161" s="22"/>
      <c r="Q161" s="22"/>
      <c r="R161" s="22"/>
      <c r="S161" s="88"/>
      <c r="T161" s="22"/>
      <c r="U161" s="22"/>
    </row>
    <row r="162" spans="1:21" s="70" customFormat="1" x14ac:dyDescent="0.2">
      <c r="A162" s="364"/>
      <c r="B162" s="151"/>
      <c r="C162" s="151"/>
      <c r="D162" s="151"/>
      <c r="E162" s="151"/>
      <c r="F162" s="151"/>
      <c r="G162" s="151"/>
      <c r="H162" s="151"/>
      <c r="I162" s="151"/>
      <c r="J162" s="151"/>
      <c r="K162" s="151"/>
      <c r="L162" s="151"/>
      <c r="M162" s="132"/>
      <c r="O162" s="85"/>
      <c r="P162" s="22"/>
      <c r="Q162" s="22"/>
      <c r="R162" s="22"/>
      <c r="S162" s="88"/>
      <c r="T162" s="22"/>
      <c r="U162" s="22"/>
    </row>
    <row r="163" spans="1:21" s="70" customFormat="1" x14ac:dyDescent="0.2">
      <c r="A163" s="364"/>
      <c r="B163" s="151"/>
      <c r="C163" s="151"/>
      <c r="D163" s="151"/>
      <c r="E163" s="151"/>
      <c r="F163" s="151"/>
      <c r="G163" s="151"/>
      <c r="H163" s="151"/>
      <c r="I163" s="151"/>
      <c r="J163" s="151"/>
      <c r="K163" s="151"/>
      <c r="L163" s="151"/>
      <c r="M163" s="132"/>
      <c r="O163" s="85"/>
      <c r="P163" s="22"/>
      <c r="Q163" s="22"/>
      <c r="R163" s="22"/>
      <c r="S163" s="88"/>
      <c r="T163" s="22"/>
      <c r="U163" s="22"/>
    </row>
    <row r="164" spans="1:21" s="70" customFormat="1" x14ac:dyDescent="0.2">
      <c r="A164" s="364"/>
      <c r="B164" s="151"/>
      <c r="C164" s="151"/>
      <c r="D164" s="151"/>
      <c r="E164" s="151"/>
      <c r="F164" s="151"/>
      <c r="G164" s="151"/>
      <c r="H164" s="151"/>
      <c r="I164" s="151"/>
      <c r="J164" s="151"/>
      <c r="K164" s="151"/>
      <c r="L164" s="151"/>
      <c r="M164" s="132"/>
      <c r="O164" s="85"/>
      <c r="P164" s="22"/>
      <c r="Q164" s="22"/>
      <c r="R164" s="22"/>
      <c r="S164" s="88"/>
      <c r="T164" s="22"/>
      <c r="U164" s="22"/>
    </row>
    <row r="165" spans="1:21" s="70" customFormat="1" x14ac:dyDescent="0.2">
      <c r="A165" s="364"/>
      <c r="B165" s="151"/>
      <c r="C165" s="151"/>
      <c r="D165" s="151"/>
      <c r="E165" s="151"/>
      <c r="F165" s="151"/>
      <c r="G165" s="151"/>
      <c r="H165" s="151"/>
      <c r="I165" s="151"/>
      <c r="J165" s="151"/>
      <c r="K165" s="151"/>
      <c r="L165" s="151"/>
      <c r="M165" s="132"/>
      <c r="O165" s="85"/>
      <c r="P165" s="22"/>
      <c r="Q165" s="22"/>
      <c r="R165" s="22"/>
      <c r="S165" s="88"/>
      <c r="T165" s="22"/>
      <c r="U165" s="22"/>
    </row>
    <row r="166" spans="1:21" s="70" customFormat="1" x14ac:dyDescent="0.2">
      <c r="A166" s="364"/>
      <c r="B166" s="151"/>
      <c r="C166" s="151"/>
      <c r="D166" s="151"/>
      <c r="E166" s="151"/>
      <c r="F166" s="151"/>
      <c r="G166" s="151"/>
      <c r="H166" s="151"/>
      <c r="I166" s="151"/>
      <c r="J166" s="151"/>
      <c r="K166" s="151"/>
      <c r="L166" s="151"/>
      <c r="M166" s="132"/>
      <c r="O166" s="85"/>
      <c r="P166" s="22"/>
      <c r="Q166" s="22"/>
      <c r="R166" s="22"/>
      <c r="S166" s="88"/>
      <c r="T166" s="22"/>
      <c r="U166" s="22"/>
    </row>
    <row r="167" spans="1:21" s="70" customFormat="1" x14ac:dyDescent="0.2">
      <c r="A167" s="364"/>
      <c r="B167" s="151"/>
      <c r="C167" s="151"/>
      <c r="D167" s="151"/>
      <c r="E167" s="151"/>
      <c r="F167" s="151"/>
      <c r="G167" s="151"/>
      <c r="H167" s="151"/>
      <c r="I167" s="151"/>
      <c r="J167" s="151"/>
      <c r="K167" s="151"/>
      <c r="L167" s="151"/>
      <c r="M167" s="132"/>
      <c r="O167" s="85"/>
      <c r="P167" s="22"/>
      <c r="Q167" s="22"/>
      <c r="R167" s="22"/>
      <c r="S167" s="88"/>
      <c r="T167" s="22"/>
      <c r="U167" s="22"/>
    </row>
    <row r="168" spans="1:21" s="70" customFormat="1" x14ac:dyDescent="0.2">
      <c r="A168" s="364"/>
      <c r="B168" s="151"/>
      <c r="C168" s="151"/>
      <c r="D168" s="151"/>
      <c r="E168" s="151"/>
      <c r="F168" s="151"/>
      <c r="G168" s="151"/>
      <c r="H168" s="151"/>
      <c r="I168" s="151"/>
      <c r="J168" s="151"/>
      <c r="K168" s="151"/>
      <c r="L168" s="151"/>
      <c r="M168" s="132"/>
      <c r="O168" s="85"/>
      <c r="P168" s="22"/>
      <c r="Q168" s="22"/>
      <c r="R168" s="22"/>
      <c r="S168" s="88"/>
      <c r="T168" s="22"/>
      <c r="U168" s="22"/>
    </row>
    <row r="169" spans="1:21" s="70" customFormat="1" x14ac:dyDescent="0.2">
      <c r="A169" s="364"/>
      <c r="B169" s="151"/>
      <c r="C169" s="151"/>
      <c r="D169" s="151"/>
      <c r="E169" s="151"/>
      <c r="F169" s="151"/>
      <c r="G169" s="151"/>
      <c r="H169" s="151"/>
      <c r="I169" s="151"/>
      <c r="J169" s="151"/>
      <c r="K169" s="151"/>
      <c r="L169" s="151"/>
      <c r="M169" s="132"/>
      <c r="O169" s="85"/>
      <c r="P169" s="22"/>
      <c r="Q169" s="22"/>
      <c r="R169" s="22"/>
      <c r="S169" s="88"/>
      <c r="T169" s="22"/>
      <c r="U169" s="22"/>
    </row>
    <row r="170" spans="1:21" s="70" customFormat="1" x14ac:dyDescent="0.2">
      <c r="A170" s="364"/>
      <c r="B170" s="151"/>
      <c r="C170" s="151"/>
      <c r="D170" s="151"/>
      <c r="E170" s="151"/>
      <c r="F170" s="151"/>
      <c r="G170" s="151"/>
      <c r="H170" s="151"/>
      <c r="I170" s="151"/>
      <c r="J170" s="151"/>
      <c r="K170" s="151"/>
      <c r="L170" s="151"/>
      <c r="M170" s="132"/>
      <c r="O170" s="85"/>
      <c r="P170" s="22"/>
      <c r="Q170" s="22"/>
      <c r="R170" s="22"/>
      <c r="S170" s="88"/>
      <c r="T170" s="22"/>
      <c r="U170" s="22"/>
    </row>
    <row r="171" spans="1:21" s="70" customFormat="1" x14ac:dyDescent="0.2">
      <c r="A171" s="364"/>
      <c r="B171" s="151"/>
      <c r="C171" s="151"/>
      <c r="D171" s="151"/>
      <c r="E171" s="151"/>
      <c r="F171" s="151"/>
      <c r="G171" s="151"/>
      <c r="H171" s="151"/>
      <c r="I171" s="151"/>
      <c r="J171" s="151"/>
      <c r="K171" s="151"/>
      <c r="L171" s="151"/>
      <c r="M171" s="132"/>
      <c r="O171" s="85"/>
      <c r="P171" s="22"/>
      <c r="Q171" s="22"/>
      <c r="R171" s="22"/>
      <c r="S171" s="88"/>
      <c r="T171" s="22"/>
      <c r="U171" s="22"/>
    </row>
    <row r="172" spans="1:21" s="70" customFormat="1" x14ac:dyDescent="0.2">
      <c r="A172" s="364"/>
      <c r="B172" s="151"/>
      <c r="C172" s="151"/>
      <c r="D172" s="151"/>
      <c r="E172" s="151"/>
      <c r="F172" s="151"/>
      <c r="G172" s="151"/>
      <c r="H172" s="151"/>
      <c r="I172" s="151"/>
      <c r="J172" s="151"/>
      <c r="K172" s="151"/>
      <c r="L172" s="151"/>
      <c r="M172" s="132"/>
      <c r="O172" s="85"/>
      <c r="P172" s="22"/>
      <c r="Q172" s="22"/>
      <c r="R172" s="22"/>
      <c r="S172" s="88"/>
      <c r="T172" s="22"/>
      <c r="U172" s="22"/>
    </row>
    <row r="173" spans="1:21" s="70" customFormat="1" x14ac:dyDescent="0.2">
      <c r="A173" s="364"/>
      <c r="B173" s="151"/>
      <c r="C173" s="151"/>
      <c r="D173" s="151"/>
      <c r="E173" s="151"/>
      <c r="F173" s="151"/>
      <c r="G173" s="151"/>
      <c r="H173" s="151"/>
      <c r="I173" s="151"/>
      <c r="J173" s="151"/>
      <c r="K173" s="151"/>
      <c r="L173" s="151"/>
      <c r="M173" s="132"/>
      <c r="O173" s="85"/>
      <c r="P173" s="22"/>
      <c r="Q173" s="22"/>
      <c r="R173" s="22"/>
      <c r="S173" s="88"/>
      <c r="T173" s="22"/>
      <c r="U173" s="22"/>
    </row>
    <row r="174" spans="1:21" s="70" customFormat="1" x14ac:dyDescent="0.2">
      <c r="A174" s="364"/>
      <c r="B174" s="151"/>
      <c r="C174" s="151"/>
      <c r="D174" s="151"/>
      <c r="E174" s="151"/>
      <c r="F174" s="151"/>
      <c r="G174" s="151"/>
      <c r="H174" s="151"/>
      <c r="I174" s="151"/>
      <c r="J174" s="151"/>
      <c r="K174" s="151"/>
      <c r="L174" s="151"/>
      <c r="M174" s="132"/>
      <c r="O174" s="85"/>
      <c r="P174" s="22"/>
      <c r="Q174" s="22"/>
      <c r="R174" s="22"/>
      <c r="S174" s="88"/>
      <c r="T174" s="22"/>
      <c r="U174" s="22"/>
    </row>
    <row r="175" spans="1:21" s="70" customFormat="1" x14ac:dyDescent="0.2">
      <c r="A175" s="364"/>
      <c r="B175" s="151"/>
      <c r="C175" s="151"/>
      <c r="D175" s="151"/>
      <c r="E175" s="151"/>
      <c r="F175" s="151"/>
      <c r="G175" s="151"/>
      <c r="H175" s="151"/>
      <c r="I175" s="151"/>
      <c r="J175" s="151"/>
      <c r="K175" s="151"/>
      <c r="L175" s="151"/>
      <c r="M175" s="132"/>
      <c r="O175" s="85"/>
      <c r="P175" s="22"/>
      <c r="Q175" s="22"/>
      <c r="R175" s="22"/>
      <c r="S175" s="88"/>
      <c r="T175" s="22"/>
      <c r="U175" s="22"/>
    </row>
    <row r="176" spans="1:21" s="70" customFormat="1" x14ac:dyDescent="0.2">
      <c r="A176" s="364"/>
      <c r="B176" s="151"/>
      <c r="C176" s="151"/>
      <c r="D176" s="151"/>
      <c r="E176" s="151"/>
      <c r="F176" s="151"/>
      <c r="G176" s="151"/>
      <c r="H176" s="151"/>
      <c r="I176" s="151"/>
      <c r="J176" s="151"/>
      <c r="K176" s="151"/>
      <c r="L176" s="151"/>
      <c r="M176" s="132"/>
      <c r="O176" s="85"/>
      <c r="P176" s="22"/>
      <c r="Q176" s="22"/>
      <c r="R176" s="22"/>
      <c r="S176" s="88"/>
      <c r="T176" s="22"/>
      <c r="U176" s="22"/>
    </row>
    <row r="177" spans="1:21" s="70" customFormat="1" x14ac:dyDescent="0.2">
      <c r="A177" s="364"/>
      <c r="B177" s="151"/>
      <c r="C177" s="151"/>
      <c r="D177" s="151"/>
      <c r="E177" s="151"/>
      <c r="F177" s="151"/>
      <c r="G177" s="151"/>
      <c r="H177" s="151"/>
      <c r="I177" s="151"/>
      <c r="J177" s="151"/>
      <c r="K177" s="151"/>
      <c r="L177" s="151"/>
      <c r="M177" s="132"/>
      <c r="O177" s="85"/>
      <c r="P177" s="22"/>
      <c r="Q177" s="22"/>
      <c r="R177" s="22"/>
      <c r="S177" s="88"/>
      <c r="T177" s="22"/>
      <c r="U177" s="22"/>
    </row>
    <row r="178" spans="1:21" s="70" customFormat="1" x14ac:dyDescent="0.2">
      <c r="A178" s="364"/>
      <c r="B178" s="151"/>
      <c r="C178" s="151"/>
      <c r="D178" s="151"/>
      <c r="E178" s="151"/>
      <c r="F178" s="151"/>
      <c r="G178" s="151"/>
      <c r="H178" s="151"/>
      <c r="I178" s="151"/>
      <c r="J178" s="151"/>
      <c r="K178" s="151"/>
      <c r="L178" s="151"/>
      <c r="M178" s="132"/>
      <c r="O178" s="85"/>
      <c r="P178" s="22"/>
      <c r="Q178" s="22"/>
      <c r="R178" s="22"/>
      <c r="S178" s="88"/>
      <c r="T178" s="22"/>
      <c r="U178" s="22"/>
    </row>
    <row r="179" spans="1:21" s="70" customFormat="1" x14ac:dyDescent="0.2">
      <c r="A179" s="364"/>
      <c r="B179" s="151"/>
      <c r="C179" s="151"/>
      <c r="D179" s="151"/>
      <c r="E179" s="151"/>
      <c r="F179" s="151"/>
      <c r="G179" s="151"/>
      <c r="H179" s="151"/>
      <c r="I179" s="151"/>
      <c r="J179" s="151"/>
      <c r="K179" s="151"/>
      <c r="L179" s="151"/>
      <c r="M179" s="132"/>
      <c r="O179" s="85"/>
      <c r="P179" s="22"/>
      <c r="Q179" s="22"/>
      <c r="R179" s="22"/>
      <c r="S179" s="88"/>
      <c r="T179" s="22"/>
      <c r="U179" s="22"/>
    </row>
    <row r="180" spans="1:21" s="70" customFormat="1" x14ac:dyDescent="0.2">
      <c r="A180" s="364"/>
      <c r="B180" s="151"/>
      <c r="C180" s="151"/>
      <c r="D180" s="151"/>
      <c r="E180" s="151"/>
      <c r="F180" s="151"/>
      <c r="G180" s="151"/>
      <c r="H180" s="151"/>
      <c r="I180" s="151"/>
      <c r="J180" s="151"/>
      <c r="K180" s="151"/>
      <c r="L180" s="151"/>
      <c r="M180" s="132"/>
      <c r="O180" s="85"/>
      <c r="P180" s="22"/>
      <c r="Q180" s="22"/>
      <c r="R180" s="22"/>
      <c r="S180" s="88"/>
      <c r="T180" s="22"/>
      <c r="U180" s="22"/>
    </row>
    <row r="181" spans="1:21" s="70" customFormat="1" x14ac:dyDescent="0.2">
      <c r="A181" s="364"/>
      <c r="B181" s="151"/>
      <c r="C181" s="151"/>
      <c r="D181" s="151"/>
      <c r="E181" s="151"/>
      <c r="F181" s="151"/>
      <c r="G181" s="151"/>
      <c r="H181" s="151"/>
      <c r="I181" s="151"/>
      <c r="J181" s="151"/>
      <c r="K181" s="151"/>
      <c r="L181" s="151"/>
      <c r="M181" s="132"/>
      <c r="O181" s="85"/>
      <c r="P181" s="22"/>
      <c r="Q181" s="22"/>
      <c r="R181" s="22"/>
      <c r="S181" s="88"/>
      <c r="T181" s="22"/>
      <c r="U181" s="22"/>
    </row>
    <row r="182" spans="1:21" s="70" customFormat="1" x14ac:dyDescent="0.2">
      <c r="A182" s="364"/>
      <c r="B182" s="151"/>
      <c r="C182" s="151"/>
      <c r="D182" s="151"/>
      <c r="E182" s="151"/>
      <c r="F182" s="151"/>
      <c r="G182" s="151"/>
      <c r="H182" s="151"/>
      <c r="I182" s="151"/>
      <c r="J182" s="151"/>
      <c r="K182" s="151"/>
      <c r="L182" s="151"/>
      <c r="M182" s="132"/>
      <c r="O182" s="85"/>
      <c r="P182" s="22"/>
      <c r="Q182" s="22"/>
      <c r="R182" s="22"/>
      <c r="S182" s="88"/>
      <c r="T182" s="22"/>
      <c r="U182" s="22"/>
    </row>
    <row r="183" spans="1:21" s="70" customFormat="1" x14ac:dyDescent="0.2">
      <c r="A183" s="364"/>
      <c r="B183" s="151"/>
      <c r="C183" s="151"/>
      <c r="D183" s="151"/>
      <c r="E183" s="151"/>
      <c r="F183" s="151"/>
      <c r="G183" s="151"/>
      <c r="H183" s="151"/>
      <c r="I183" s="151"/>
      <c r="J183" s="151"/>
      <c r="K183" s="151"/>
      <c r="L183" s="151"/>
      <c r="M183" s="132"/>
      <c r="O183" s="85"/>
      <c r="P183" s="22"/>
      <c r="Q183" s="22"/>
      <c r="R183" s="22"/>
      <c r="S183" s="88"/>
      <c r="T183" s="22"/>
      <c r="U183" s="22"/>
    </row>
    <row r="184" spans="1:21" s="70" customFormat="1" x14ac:dyDescent="0.2">
      <c r="A184" s="364"/>
      <c r="B184" s="151"/>
      <c r="C184" s="151"/>
      <c r="D184" s="151"/>
      <c r="E184" s="151"/>
      <c r="F184" s="151"/>
      <c r="G184" s="151"/>
      <c r="H184" s="151"/>
      <c r="I184" s="151"/>
      <c r="J184" s="151"/>
      <c r="K184" s="151"/>
      <c r="L184" s="151"/>
      <c r="M184" s="132"/>
      <c r="O184" s="85"/>
      <c r="P184" s="22"/>
      <c r="Q184" s="22"/>
      <c r="R184" s="22"/>
      <c r="S184" s="88"/>
      <c r="T184" s="22"/>
      <c r="U184" s="22"/>
    </row>
    <row r="185" spans="1:21" s="70" customFormat="1" x14ac:dyDescent="0.2">
      <c r="A185" s="364"/>
      <c r="B185" s="151"/>
      <c r="C185" s="151"/>
      <c r="D185" s="151"/>
      <c r="E185" s="151"/>
      <c r="F185" s="151"/>
      <c r="G185" s="151"/>
      <c r="H185" s="151"/>
      <c r="I185" s="151"/>
      <c r="J185" s="151"/>
      <c r="K185" s="151"/>
      <c r="L185" s="151"/>
      <c r="M185" s="132"/>
      <c r="O185" s="85"/>
      <c r="P185" s="22"/>
      <c r="Q185" s="22"/>
      <c r="R185" s="22"/>
      <c r="S185" s="88"/>
      <c r="T185" s="22"/>
      <c r="U185" s="22"/>
    </row>
    <row r="186" spans="1:21" s="70" customFormat="1" x14ac:dyDescent="0.2">
      <c r="A186" s="364"/>
      <c r="B186" s="151"/>
      <c r="C186" s="151"/>
      <c r="D186" s="151"/>
      <c r="E186" s="151"/>
      <c r="F186" s="151"/>
      <c r="G186" s="151"/>
      <c r="H186" s="151"/>
      <c r="I186" s="151"/>
      <c r="J186" s="151"/>
      <c r="K186" s="151"/>
      <c r="L186" s="151"/>
      <c r="M186" s="132"/>
      <c r="O186" s="85"/>
      <c r="P186" s="22"/>
      <c r="Q186" s="22"/>
      <c r="R186" s="22"/>
      <c r="S186" s="88"/>
      <c r="T186" s="22"/>
      <c r="U186" s="22"/>
    </row>
    <row r="187" spans="1:21" s="70" customFormat="1" x14ac:dyDescent="0.2">
      <c r="A187" s="364"/>
      <c r="B187" s="151"/>
      <c r="C187" s="151"/>
      <c r="D187" s="151"/>
      <c r="E187" s="151"/>
      <c r="F187" s="151"/>
      <c r="G187" s="151"/>
      <c r="H187" s="151"/>
      <c r="I187" s="151"/>
      <c r="J187" s="151"/>
      <c r="K187" s="151"/>
      <c r="L187" s="151"/>
      <c r="M187" s="132"/>
      <c r="O187" s="85"/>
      <c r="P187" s="22"/>
      <c r="Q187" s="22"/>
      <c r="R187" s="22"/>
      <c r="S187" s="88"/>
      <c r="T187" s="22"/>
      <c r="U187" s="22"/>
    </row>
    <row r="188" spans="1:21" s="70" customFormat="1" x14ac:dyDescent="0.2">
      <c r="A188" s="364"/>
      <c r="B188" s="151"/>
      <c r="C188" s="151"/>
      <c r="D188" s="151"/>
      <c r="E188" s="151"/>
      <c r="F188" s="151"/>
      <c r="G188" s="151"/>
      <c r="H188" s="151"/>
      <c r="I188" s="151"/>
      <c r="J188" s="151"/>
      <c r="K188" s="151"/>
      <c r="L188" s="151"/>
      <c r="M188" s="132"/>
      <c r="O188" s="85"/>
      <c r="P188" s="22"/>
      <c r="Q188" s="22"/>
      <c r="R188" s="22"/>
      <c r="S188" s="88"/>
      <c r="T188" s="22"/>
      <c r="U188" s="22"/>
    </row>
    <row r="189" spans="1:21" s="70" customFormat="1" x14ac:dyDescent="0.2">
      <c r="A189" s="364"/>
      <c r="B189" s="151"/>
      <c r="C189" s="151"/>
      <c r="D189" s="151"/>
      <c r="E189" s="151"/>
      <c r="F189" s="151"/>
      <c r="G189" s="151"/>
      <c r="H189" s="151"/>
      <c r="I189" s="151"/>
      <c r="J189" s="151"/>
      <c r="K189" s="151"/>
      <c r="L189" s="151"/>
      <c r="M189" s="132"/>
      <c r="O189" s="85"/>
      <c r="P189" s="22"/>
      <c r="Q189" s="22"/>
      <c r="R189" s="22"/>
      <c r="S189" s="88"/>
      <c r="T189" s="22"/>
      <c r="U189" s="22"/>
    </row>
    <row r="190" spans="1:21" s="70" customFormat="1" x14ac:dyDescent="0.2">
      <c r="A190" s="364"/>
      <c r="B190" s="151"/>
      <c r="C190" s="151"/>
      <c r="D190" s="151"/>
      <c r="E190" s="151"/>
      <c r="F190" s="151"/>
      <c r="G190" s="151"/>
      <c r="H190" s="151"/>
      <c r="I190" s="151"/>
      <c r="J190" s="151"/>
      <c r="K190" s="151"/>
      <c r="L190" s="151"/>
      <c r="M190" s="132"/>
      <c r="O190" s="85"/>
      <c r="P190" s="22"/>
      <c r="Q190" s="22"/>
      <c r="R190" s="22"/>
      <c r="S190" s="88"/>
      <c r="T190" s="22"/>
      <c r="U190" s="22"/>
    </row>
    <row r="191" spans="1:21" s="70" customFormat="1" x14ac:dyDescent="0.2">
      <c r="A191" s="364"/>
      <c r="B191" s="151"/>
      <c r="C191" s="151"/>
      <c r="D191" s="151"/>
      <c r="E191" s="151"/>
      <c r="F191" s="151"/>
      <c r="G191" s="151"/>
      <c r="H191" s="151"/>
      <c r="I191" s="151"/>
      <c r="J191" s="151"/>
      <c r="K191" s="151"/>
      <c r="L191" s="151"/>
      <c r="M191" s="132"/>
      <c r="O191" s="85"/>
      <c r="P191" s="22"/>
      <c r="Q191" s="22"/>
      <c r="R191" s="22"/>
      <c r="S191" s="88"/>
      <c r="T191" s="22"/>
      <c r="U191" s="22"/>
    </row>
    <row r="192" spans="1:21" s="70" customFormat="1" x14ac:dyDescent="0.2">
      <c r="A192" s="364"/>
      <c r="B192" s="151"/>
      <c r="C192" s="151"/>
      <c r="D192" s="151"/>
      <c r="E192" s="151"/>
      <c r="F192" s="151"/>
      <c r="G192" s="151"/>
      <c r="H192" s="151"/>
      <c r="I192" s="151"/>
      <c r="J192" s="151"/>
      <c r="K192" s="151"/>
      <c r="L192" s="151"/>
      <c r="M192" s="132"/>
      <c r="O192" s="85"/>
      <c r="P192" s="22"/>
      <c r="Q192" s="22"/>
      <c r="R192" s="22"/>
      <c r="S192" s="88"/>
      <c r="T192" s="22"/>
      <c r="U192" s="22"/>
    </row>
    <row r="193" spans="1:21" s="70" customFormat="1" x14ac:dyDescent="0.2">
      <c r="A193" s="364"/>
      <c r="B193" s="151"/>
      <c r="C193" s="151"/>
      <c r="D193" s="151"/>
      <c r="E193" s="151"/>
      <c r="F193" s="151"/>
      <c r="G193" s="151"/>
      <c r="H193" s="151"/>
      <c r="I193" s="151"/>
      <c r="J193" s="151"/>
      <c r="K193" s="151"/>
      <c r="L193" s="151"/>
      <c r="M193" s="132"/>
      <c r="O193" s="85"/>
      <c r="P193" s="22"/>
      <c r="Q193" s="22"/>
      <c r="R193" s="22"/>
      <c r="S193" s="88"/>
      <c r="T193" s="22"/>
      <c r="U193" s="22"/>
    </row>
    <row r="194" spans="1:21" s="70" customFormat="1" x14ac:dyDescent="0.2">
      <c r="A194" s="364"/>
      <c r="B194" s="151"/>
      <c r="C194" s="151"/>
      <c r="D194" s="151"/>
      <c r="E194" s="151"/>
      <c r="F194" s="151"/>
      <c r="G194" s="151"/>
      <c r="H194" s="151"/>
      <c r="I194" s="151"/>
      <c r="J194" s="151"/>
      <c r="K194" s="151"/>
      <c r="L194" s="151"/>
      <c r="M194" s="132"/>
      <c r="O194" s="85"/>
      <c r="P194" s="22"/>
      <c r="Q194" s="22"/>
      <c r="R194" s="22"/>
      <c r="S194" s="88"/>
      <c r="T194" s="22"/>
      <c r="U194" s="22"/>
    </row>
    <row r="195" spans="1:21" s="70" customFormat="1" x14ac:dyDescent="0.2">
      <c r="A195" s="364"/>
      <c r="B195" s="151"/>
      <c r="C195" s="151"/>
      <c r="D195" s="151"/>
      <c r="E195" s="151"/>
      <c r="F195" s="151"/>
      <c r="G195" s="151"/>
      <c r="H195" s="151"/>
      <c r="I195" s="151"/>
      <c r="J195" s="151"/>
      <c r="K195" s="151"/>
      <c r="L195" s="151"/>
      <c r="M195" s="132"/>
      <c r="O195" s="85"/>
      <c r="P195" s="22"/>
      <c r="Q195" s="22"/>
      <c r="R195" s="22"/>
      <c r="S195" s="88"/>
      <c r="T195" s="22"/>
      <c r="U195" s="22"/>
    </row>
    <row r="196" spans="1:21" s="70" customFormat="1" x14ac:dyDescent="0.2">
      <c r="A196" s="364"/>
      <c r="B196" s="151"/>
      <c r="C196" s="151"/>
      <c r="D196" s="151"/>
      <c r="E196" s="151"/>
      <c r="F196" s="151"/>
      <c r="G196" s="151"/>
      <c r="H196" s="151"/>
      <c r="I196" s="151"/>
      <c r="J196" s="151"/>
      <c r="K196" s="151"/>
      <c r="L196" s="151"/>
      <c r="M196" s="132"/>
      <c r="O196" s="85"/>
      <c r="P196" s="22"/>
      <c r="Q196" s="22"/>
      <c r="R196" s="22"/>
      <c r="S196" s="88"/>
      <c r="T196" s="22"/>
      <c r="U196" s="22"/>
    </row>
    <row r="197" spans="1:21" s="70" customFormat="1" x14ac:dyDescent="0.2">
      <c r="A197" s="364"/>
      <c r="B197" s="151"/>
      <c r="C197" s="151"/>
      <c r="D197" s="151"/>
      <c r="E197" s="151"/>
      <c r="F197" s="151"/>
      <c r="G197" s="151"/>
      <c r="H197" s="151"/>
      <c r="I197" s="151"/>
      <c r="J197" s="151"/>
      <c r="K197" s="151"/>
      <c r="L197" s="151"/>
      <c r="M197" s="132"/>
      <c r="O197" s="85"/>
      <c r="P197" s="22"/>
      <c r="Q197" s="22"/>
      <c r="R197" s="22"/>
      <c r="S197" s="88"/>
      <c r="T197" s="22"/>
      <c r="U197" s="22"/>
    </row>
    <row r="198" spans="1:21" s="70" customFormat="1" x14ac:dyDescent="0.2">
      <c r="A198" s="364"/>
      <c r="B198" s="151"/>
      <c r="C198" s="151"/>
      <c r="D198" s="151"/>
      <c r="E198" s="151"/>
      <c r="F198" s="151"/>
      <c r="G198" s="151"/>
      <c r="H198" s="151"/>
      <c r="I198" s="151"/>
      <c r="J198" s="151"/>
      <c r="K198" s="151"/>
      <c r="L198" s="151"/>
      <c r="M198" s="132"/>
      <c r="O198" s="85"/>
      <c r="P198" s="22"/>
      <c r="Q198" s="22"/>
      <c r="R198" s="22"/>
      <c r="S198" s="88"/>
      <c r="T198" s="22"/>
      <c r="U198" s="22"/>
    </row>
    <row r="199" spans="1:21" s="70" customFormat="1" x14ac:dyDescent="0.2">
      <c r="A199" s="364"/>
      <c r="B199" s="151"/>
      <c r="C199" s="151"/>
      <c r="D199" s="151"/>
      <c r="E199" s="151"/>
      <c r="F199" s="151"/>
      <c r="G199" s="151"/>
      <c r="H199" s="151"/>
      <c r="I199" s="151"/>
      <c r="J199" s="151"/>
      <c r="K199" s="151"/>
      <c r="L199" s="151"/>
      <c r="M199" s="132"/>
      <c r="O199" s="85"/>
      <c r="P199" s="22"/>
      <c r="Q199" s="22"/>
      <c r="R199" s="22"/>
      <c r="S199" s="88"/>
      <c r="T199" s="22"/>
      <c r="U199" s="22"/>
    </row>
    <row r="200" spans="1:21" s="70" customFormat="1" x14ac:dyDescent="0.2">
      <c r="A200" s="364"/>
      <c r="B200" s="151"/>
      <c r="C200" s="151"/>
      <c r="D200" s="151"/>
      <c r="E200" s="151"/>
      <c r="F200" s="151"/>
      <c r="G200" s="151"/>
      <c r="H200" s="151"/>
      <c r="I200" s="151"/>
      <c r="J200" s="151"/>
      <c r="K200" s="151"/>
      <c r="L200" s="151"/>
      <c r="M200" s="132"/>
      <c r="O200" s="85"/>
      <c r="P200" s="22"/>
      <c r="Q200" s="22"/>
      <c r="R200" s="22"/>
      <c r="S200" s="88"/>
      <c r="T200" s="22"/>
      <c r="U200" s="22"/>
    </row>
    <row r="201" spans="1:21" s="70" customFormat="1" x14ac:dyDescent="0.2">
      <c r="A201" s="364"/>
      <c r="B201" s="151"/>
      <c r="C201" s="151"/>
      <c r="D201" s="151"/>
      <c r="E201" s="151"/>
      <c r="F201" s="151"/>
      <c r="G201" s="151"/>
      <c r="H201" s="151"/>
      <c r="I201" s="151"/>
      <c r="J201" s="151"/>
      <c r="K201" s="151"/>
      <c r="L201" s="151"/>
      <c r="M201" s="132"/>
      <c r="O201" s="85"/>
      <c r="P201" s="22"/>
      <c r="Q201" s="22"/>
      <c r="R201" s="22"/>
      <c r="S201" s="88"/>
      <c r="T201" s="22"/>
      <c r="U201" s="22"/>
    </row>
    <row r="202" spans="1:21" s="70" customFormat="1" x14ac:dyDescent="0.2">
      <c r="A202" s="364"/>
      <c r="B202" s="151"/>
      <c r="C202" s="151"/>
      <c r="D202" s="151"/>
      <c r="E202" s="151"/>
      <c r="F202" s="151"/>
      <c r="G202" s="151"/>
      <c r="H202" s="151"/>
      <c r="I202" s="151"/>
      <c r="J202" s="151"/>
      <c r="K202" s="151"/>
      <c r="L202" s="151"/>
      <c r="M202" s="132"/>
      <c r="O202" s="85"/>
      <c r="P202" s="22"/>
      <c r="Q202" s="22"/>
      <c r="R202" s="22"/>
      <c r="S202" s="88"/>
      <c r="T202" s="22"/>
      <c r="U202" s="22"/>
    </row>
    <row r="203" spans="1:21" s="70" customFormat="1" x14ac:dyDescent="0.2">
      <c r="A203" s="364"/>
      <c r="B203" s="151"/>
      <c r="C203" s="151"/>
      <c r="D203" s="151"/>
      <c r="E203" s="151"/>
      <c r="F203" s="151"/>
      <c r="G203" s="151"/>
      <c r="H203" s="151"/>
      <c r="I203" s="151"/>
      <c r="J203" s="151"/>
      <c r="K203" s="151"/>
      <c r="L203" s="151"/>
      <c r="M203" s="132"/>
      <c r="O203" s="85"/>
      <c r="P203" s="22"/>
      <c r="Q203" s="22"/>
      <c r="R203" s="22"/>
      <c r="S203" s="88"/>
      <c r="T203" s="22"/>
      <c r="U203" s="22"/>
    </row>
    <row r="204" spans="1:21" s="70" customFormat="1" x14ac:dyDescent="0.2">
      <c r="A204" s="364"/>
      <c r="B204" s="151"/>
      <c r="C204" s="151"/>
      <c r="D204" s="151"/>
      <c r="E204" s="151"/>
      <c r="F204" s="151"/>
      <c r="G204" s="151"/>
      <c r="H204" s="151"/>
      <c r="I204" s="151"/>
      <c r="J204" s="151"/>
      <c r="K204" s="151"/>
      <c r="L204" s="151"/>
      <c r="M204" s="132"/>
      <c r="O204" s="85"/>
      <c r="P204" s="22"/>
      <c r="Q204" s="22"/>
      <c r="R204" s="22"/>
      <c r="S204" s="88"/>
      <c r="T204" s="22"/>
      <c r="U204" s="22"/>
    </row>
    <row r="205" spans="1:21" s="70" customFormat="1" x14ac:dyDescent="0.2">
      <c r="A205" s="364"/>
      <c r="B205" s="151"/>
      <c r="C205" s="151"/>
      <c r="D205" s="151"/>
      <c r="E205" s="151"/>
      <c r="F205" s="151"/>
      <c r="G205" s="151"/>
      <c r="H205" s="151"/>
      <c r="I205" s="151"/>
      <c r="J205" s="151"/>
      <c r="K205" s="151"/>
      <c r="L205" s="151"/>
      <c r="M205" s="132"/>
      <c r="O205" s="85"/>
      <c r="P205" s="22"/>
      <c r="Q205" s="22"/>
      <c r="R205" s="22"/>
      <c r="S205" s="88"/>
      <c r="T205" s="22"/>
      <c r="U205" s="22"/>
    </row>
    <row r="206" spans="1:21" s="70" customFormat="1" x14ac:dyDescent="0.2">
      <c r="A206" s="364"/>
      <c r="B206" s="151"/>
      <c r="C206" s="151"/>
      <c r="D206" s="151"/>
      <c r="E206" s="151"/>
      <c r="F206" s="151"/>
      <c r="G206" s="151"/>
      <c r="H206" s="151"/>
      <c r="I206" s="151"/>
      <c r="J206" s="151"/>
      <c r="K206" s="151"/>
      <c r="L206" s="151"/>
      <c r="M206" s="132"/>
      <c r="O206" s="85"/>
      <c r="P206" s="22"/>
      <c r="Q206" s="22"/>
      <c r="R206" s="22"/>
      <c r="S206" s="88"/>
      <c r="T206" s="22"/>
      <c r="U206" s="22"/>
    </row>
    <row r="207" spans="1:21" s="70" customFormat="1" x14ac:dyDescent="0.2">
      <c r="A207" s="364"/>
      <c r="B207" s="151"/>
      <c r="C207" s="151"/>
      <c r="D207" s="151"/>
      <c r="E207" s="151"/>
      <c r="F207" s="151"/>
      <c r="G207" s="151"/>
      <c r="H207" s="151"/>
      <c r="I207" s="151"/>
      <c r="J207" s="151"/>
      <c r="K207" s="151"/>
      <c r="L207" s="151"/>
      <c r="M207" s="132"/>
      <c r="O207" s="85"/>
      <c r="P207" s="22"/>
      <c r="Q207" s="22"/>
      <c r="R207" s="22"/>
      <c r="S207" s="88"/>
      <c r="T207" s="22"/>
      <c r="U207" s="22"/>
    </row>
    <row r="208" spans="1:21" s="70" customFormat="1" x14ac:dyDescent="0.2">
      <c r="A208" s="364"/>
      <c r="B208" s="151"/>
      <c r="C208" s="151"/>
      <c r="D208" s="151"/>
      <c r="E208" s="151"/>
      <c r="F208" s="151"/>
      <c r="G208" s="151"/>
      <c r="H208" s="151"/>
      <c r="I208" s="151"/>
      <c r="J208" s="151"/>
      <c r="K208" s="151"/>
      <c r="L208" s="151"/>
      <c r="M208" s="132"/>
      <c r="O208" s="85"/>
      <c r="P208" s="22"/>
      <c r="Q208" s="22"/>
      <c r="R208" s="22"/>
      <c r="S208" s="88"/>
      <c r="T208" s="22"/>
      <c r="U208" s="22"/>
    </row>
    <row r="209" spans="1:21" s="70" customFormat="1" x14ac:dyDescent="0.2">
      <c r="A209" s="364"/>
      <c r="B209" s="151"/>
      <c r="C209" s="151"/>
      <c r="D209" s="151"/>
      <c r="E209" s="151"/>
      <c r="F209" s="151"/>
      <c r="G209" s="151"/>
      <c r="H209" s="151"/>
      <c r="I209" s="151"/>
      <c r="J209" s="151"/>
      <c r="K209" s="151"/>
      <c r="L209" s="151"/>
      <c r="M209" s="132"/>
      <c r="O209" s="85"/>
      <c r="P209" s="22"/>
      <c r="Q209" s="22"/>
      <c r="R209" s="22"/>
      <c r="S209" s="88"/>
      <c r="T209" s="22"/>
      <c r="U209" s="22"/>
    </row>
    <row r="210" spans="1:21" s="70" customFormat="1" x14ac:dyDescent="0.2">
      <c r="A210" s="364"/>
      <c r="B210" s="151"/>
      <c r="C210" s="151"/>
      <c r="D210" s="151"/>
      <c r="E210" s="151"/>
      <c r="F210" s="151"/>
      <c r="G210" s="151"/>
      <c r="H210" s="151"/>
      <c r="I210" s="151"/>
      <c r="J210" s="151"/>
      <c r="K210" s="151"/>
      <c r="L210" s="151"/>
      <c r="M210" s="132"/>
      <c r="O210" s="85"/>
      <c r="P210" s="22"/>
      <c r="Q210" s="22"/>
      <c r="R210" s="22"/>
      <c r="S210" s="88"/>
      <c r="T210" s="22"/>
      <c r="U210" s="22"/>
    </row>
    <row r="211" spans="1:21" s="70" customFormat="1" x14ac:dyDescent="0.2">
      <c r="A211" s="364"/>
      <c r="B211" s="151"/>
      <c r="C211" s="151"/>
      <c r="D211" s="151"/>
      <c r="E211" s="151"/>
      <c r="F211" s="151"/>
      <c r="G211" s="151"/>
      <c r="H211" s="151"/>
      <c r="I211" s="151"/>
      <c r="J211" s="151"/>
      <c r="K211" s="151"/>
      <c r="L211" s="151"/>
      <c r="M211" s="132"/>
      <c r="O211" s="85"/>
      <c r="P211" s="22"/>
      <c r="Q211" s="22"/>
      <c r="R211" s="22"/>
      <c r="S211" s="88"/>
      <c r="T211" s="22"/>
      <c r="U211" s="22"/>
    </row>
    <row r="212" spans="1:21" s="70" customFormat="1" x14ac:dyDescent="0.2">
      <c r="A212" s="364"/>
      <c r="B212" s="151"/>
      <c r="C212" s="151"/>
      <c r="D212" s="151"/>
      <c r="E212" s="151"/>
      <c r="F212" s="151"/>
      <c r="G212" s="151"/>
      <c r="H212" s="151"/>
      <c r="I212" s="151"/>
      <c r="J212" s="151"/>
      <c r="K212" s="151"/>
      <c r="L212" s="151"/>
      <c r="M212" s="132"/>
      <c r="O212" s="85"/>
      <c r="P212" s="22"/>
      <c r="Q212" s="22"/>
      <c r="R212" s="22"/>
      <c r="S212" s="88"/>
      <c r="T212" s="22"/>
      <c r="U212" s="22"/>
    </row>
    <row r="213" spans="1:21" s="70" customFormat="1" x14ac:dyDescent="0.2">
      <c r="A213" s="364"/>
      <c r="B213" s="151"/>
      <c r="C213" s="151"/>
      <c r="D213" s="151"/>
      <c r="E213" s="151"/>
      <c r="F213" s="151"/>
      <c r="G213" s="151"/>
      <c r="H213" s="151"/>
      <c r="I213" s="151"/>
      <c r="J213" s="151"/>
      <c r="K213" s="151"/>
      <c r="L213" s="151"/>
      <c r="M213" s="132"/>
      <c r="O213" s="85"/>
      <c r="P213" s="22"/>
      <c r="Q213" s="22"/>
      <c r="R213" s="22"/>
      <c r="S213" s="88"/>
      <c r="T213" s="22"/>
      <c r="U213" s="22"/>
    </row>
    <row r="214" spans="1:21" s="70" customFormat="1" x14ac:dyDescent="0.2">
      <c r="A214" s="364"/>
      <c r="B214" s="151"/>
      <c r="C214" s="151"/>
      <c r="D214" s="151"/>
      <c r="E214" s="151"/>
      <c r="F214" s="151"/>
      <c r="G214" s="151"/>
      <c r="H214" s="151"/>
      <c r="I214" s="151"/>
      <c r="J214" s="151"/>
      <c r="K214" s="151"/>
      <c r="L214" s="151"/>
      <c r="M214" s="132"/>
      <c r="O214" s="85"/>
      <c r="P214" s="22"/>
      <c r="Q214" s="22"/>
      <c r="R214" s="22"/>
      <c r="S214" s="88"/>
      <c r="T214" s="22"/>
      <c r="U214" s="22"/>
    </row>
    <row r="215" spans="1:21" s="70" customFormat="1" x14ac:dyDescent="0.2">
      <c r="A215" s="364"/>
      <c r="B215" s="151"/>
      <c r="C215" s="151"/>
      <c r="D215" s="151"/>
      <c r="E215" s="151"/>
      <c r="F215" s="151"/>
      <c r="G215" s="151"/>
      <c r="H215" s="151"/>
      <c r="I215" s="151"/>
      <c r="J215" s="151"/>
      <c r="K215" s="151"/>
      <c r="L215" s="151"/>
      <c r="M215" s="132"/>
      <c r="O215" s="85"/>
      <c r="P215" s="22"/>
      <c r="Q215" s="22"/>
      <c r="R215" s="22"/>
      <c r="S215" s="88"/>
      <c r="T215" s="22"/>
      <c r="U215" s="22"/>
    </row>
    <row r="216" spans="1:21" s="70" customFormat="1" x14ac:dyDescent="0.2">
      <c r="A216" s="364"/>
      <c r="B216" s="151"/>
      <c r="C216" s="151"/>
      <c r="D216" s="151"/>
      <c r="E216" s="151"/>
      <c r="F216" s="151"/>
      <c r="G216" s="151"/>
      <c r="H216" s="151"/>
      <c r="I216" s="151"/>
      <c r="J216" s="151"/>
      <c r="K216" s="151"/>
      <c r="L216" s="151"/>
      <c r="M216" s="132"/>
      <c r="O216" s="85"/>
      <c r="P216" s="22"/>
      <c r="Q216" s="22"/>
      <c r="R216" s="22"/>
      <c r="S216" s="88"/>
      <c r="T216" s="22"/>
      <c r="U216" s="22"/>
    </row>
    <row r="217" spans="1:21" s="70" customFormat="1" x14ac:dyDescent="0.2">
      <c r="A217" s="364"/>
      <c r="B217" s="151"/>
      <c r="C217" s="151"/>
      <c r="D217" s="151"/>
      <c r="E217" s="151"/>
      <c r="F217" s="151"/>
      <c r="G217" s="151"/>
      <c r="H217" s="151"/>
      <c r="I217" s="151"/>
      <c r="J217" s="151"/>
      <c r="K217" s="151"/>
      <c r="L217" s="151"/>
      <c r="M217" s="132"/>
      <c r="O217" s="85"/>
      <c r="P217" s="22"/>
      <c r="Q217" s="22"/>
      <c r="R217" s="22"/>
      <c r="S217" s="88"/>
      <c r="T217" s="22"/>
      <c r="U217" s="22"/>
    </row>
    <row r="218" spans="1:21" s="70" customFormat="1" x14ac:dyDescent="0.2">
      <c r="A218" s="364"/>
      <c r="B218" s="151"/>
      <c r="C218" s="151"/>
      <c r="D218" s="151"/>
      <c r="E218" s="151"/>
      <c r="F218" s="151"/>
      <c r="G218" s="151"/>
      <c r="H218" s="151"/>
      <c r="I218" s="151"/>
      <c r="J218" s="151"/>
      <c r="K218" s="151"/>
      <c r="L218" s="151"/>
      <c r="M218" s="132"/>
      <c r="O218" s="85"/>
      <c r="P218" s="22"/>
      <c r="Q218" s="22"/>
      <c r="R218" s="22"/>
      <c r="S218" s="88"/>
      <c r="T218" s="22"/>
      <c r="U218" s="22"/>
    </row>
    <row r="219" spans="1:21" s="70" customFormat="1" x14ac:dyDescent="0.2">
      <c r="A219" s="364"/>
      <c r="B219" s="151"/>
      <c r="C219" s="151"/>
      <c r="D219" s="151"/>
      <c r="E219" s="151"/>
      <c r="F219" s="151"/>
      <c r="G219" s="151"/>
      <c r="H219" s="151"/>
      <c r="I219" s="151"/>
      <c r="J219" s="151"/>
      <c r="K219" s="151"/>
      <c r="L219" s="151"/>
      <c r="M219" s="132"/>
      <c r="O219" s="85"/>
      <c r="P219" s="22"/>
      <c r="Q219" s="22"/>
      <c r="R219" s="22"/>
      <c r="S219" s="88"/>
      <c r="T219" s="22"/>
      <c r="U219" s="22"/>
    </row>
    <row r="220" spans="1:21" s="70" customFormat="1" x14ac:dyDescent="0.2">
      <c r="A220" s="364"/>
      <c r="B220" s="151"/>
      <c r="C220" s="151"/>
      <c r="D220" s="151"/>
      <c r="E220" s="151"/>
      <c r="F220" s="151"/>
      <c r="G220" s="151"/>
      <c r="H220" s="151"/>
      <c r="I220" s="151"/>
      <c r="J220" s="151"/>
      <c r="K220" s="151"/>
      <c r="L220" s="151"/>
      <c r="M220" s="132"/>
      <c r="O220" s="85"/>
      <c r="P220" s="22"/>
      <c r="Q220" s="22"/>
      <c r="R220" s="22"/>
      <c r="S220" s="88"/>
      <c r="T220" s="22"/>
      <c r="U220" s="22"/>
    </row>
    <row r="221" spans="1:21" s="70" customFormat="1" x14ac:dyDescent="0.2">
      <c r="A221" s="364"/>
      <c r="B221" s="151"/>
      <c r="C221" s="151"/>
      <c r="D221" s="151"/>
      <c r="E221" s="151"/>
      <c r="F221" s="151"/>
      <c r="G221" s="151"/>
      <c r="H221" s="151"/>
      <c r="I221" s="151"/>
      <c r="J221" s="151"/>
      <c r="K221" s="151"/>
      <c r="L221" s="151"/>
      <c r="M221" s="132"/>
      <c r="O221" s="85"/>
      <c r="P221" s="22"/>
      <c r="Q221" s="22"/>
      <c r="R221" s="22"/>
      <c r="S221" s="88"/>
      <c r="T221" s="22"/>
      <c r="U221" s="22"/>
    </row>
    <row r="222" spans="1:21" s="70" customFormat="1" x14ac:dyDescent="0.2">
      <c r="A222" s="364"/>
      <c r="B222" s="151"/>
      <c r="C222" s="151"/>
      <c r="D222" s="151"/>
      <c r="E222" s="151"/>
      <c r="F222" s="151"/>
      <c r="G222" s="151"/>
      <c r="H222" s="151"/>
      <c r="I222" s="151"/>
      <c r="J222" s="151"/>
      <c r="K222" s="151"/>
      <c r="L222" s="151"/>
      <c r="M222" s="132"/>
      <c r="O222" s="85"/>
      <c r="P222" s="22"/>
      <c r="Q222" s="22"/>
      <c r="R222" s="22"/>
      <c r="S222" s="88"/>
      <c r="T222" s="22"/>
      <c r="U222" s="22"/>
    </row>
    <row r="223" spans="1:21" s="70" customFormat="1" x14ac:dyDescent="0.2">
      <c r="A223" s="364"/>
      <c r="B223" s="151"/>
      <c r="C223" s="151"/>
      <c r="D223" s="151"/>
      <c r="E223" s="151"/>
      <c r="F223" s="151"/>
      <c r="G223" s="151"/>
      <c r="H223" s="151"/>
      <c r="I223" s="151"/>
      <c r="J223" s="151"/>
      <c r="K223" s="151"/>
      <c r="L223" s="151"/>
      <c r="M223" s="132"/>
      <c r="O223" s="85"/>
      <c r="P223" s="22"/>
      <c r="Q223" s="22"/>
      <c r="R223" s="22"/>
      <c r="S223" s="88"/>
      <c r="T223" s="22"/>
      <c r="U223" s="22"/>
    </row>
    <row r="224" spans="1:21" s="70" customFormat="1" x14ac:dyDescent="0.2">
      <c r="A224" s="364"/>
      <c r="B224" s="151"/>
      <c r="C224" s="151"/>
      <c r="D224" s="151"/>
      <c r="E224" s="151"/>
      <c r="F224" s="151"/>
      <c r="G224" s="151"/>
      <c r="H224" s="151"/>
      <c r="I224" s="151"/>
      <c r="J224" s="151"/>
      <c r="K224" s="151"/>
      <c r="L224" s="151"/>
      <c r="M224" s="132"/>
      <c r="O224" s="85"/>
      <c r="P224" s="22"/>
      <c r="Q224" s="22"/>
      <c r="R224" s="22"/>
      <c r="S224" s="88"/>
      <c r="T224" s="22"/>
      <c r="U224" s="22"/>
    </row>
    <row r="225" spans="1:21" s="70" customFormat="1" x14ac:dyDescent="0.2">
      <c r="A225" s="364"/>
      <c r="B225" s="151"/>
      <c r="C225" s="151"/>
      <c r="D225" s="151"/>
      <c r="E225" s="151"/>
      <c r="F225" s="151"/>
      <c r="G225" s="151"/>
      <c r="H225" s="151"/>
      <c r="I225" s="151"/>
      <c r="J225" s="151"/>
      <c r="K225" s="151"/>
      <c r="L225" s="151"/>
      <c r="M225" s="132"/>
      <c r="O225" s="85"/>
      <c r="P225" s="22"/>
      <c r="Q225" s="22"/>
      <c r="R225" s="22"/>
      <c r="S225" s="88"/>
      <c r="T225" s="22"/>
      <c r="U225" s="22"/>
    </row>
    <row r="226" spans="1:21" s="70" customFormat="1" x14ac:dyDescent="0.2">
      <c r="A226" s="364"/>
      <c r="B226" s="151"/>
      <c r="C226" s="151"/>
      <c r="D226" s="151"/>
      <c r="E226" s="151"/>
      <c r="F226" s="151"/>
      <c r="G226" s="151"/>
      <c r="H226" s="151"/>
      <c r="I226" s="151"/>
      <c r="J226" s="151"/>
      <c r="K226" s="151"/>
      <c r="L226" s="151"/>
      <c r="M226" s="132"/>
      <c r="O226" s="85"/>
      <c r="P226" s="22"/>
      <c r="Q226" s="22"/>
      <c r="R226" s="22"/>
      <c r="S226" s="88"/>
      <c r="T226" s="22"/>
      <c r="U226" s="22"/>
    </row>
    <row r="227" spans="1:21" s="70" customFormat="1" x14ac:dyDescent="0.2">
      <c r="A227" s="364"/>
      <c r="B227" s="151"/>
      <c r="C227" s="151"/>
      <c r="D227" s="151"/>
      <c r="E227" s="151"/>
      <c r="F227" s="151"/>
      <c r="G227" s="151"/>
      <c r="H227" s="151"/>
      <c r="I227" s="151"/>
      <c r="J227" s="151"/>
      <c r="K227" s="151"/>
      <c r="L227" s="151"/>
      <c r="M227" s="132"/>
      <c r="O227" s="85"/>
      <c r="P227" s="22"/>
      <c r="Q227" s="22"/>
      <c r="R227" s="22"/>
      <c r="S227" s="88"/>
      <c r="T227" s="22"/>
      <c r="U227" s="22"/>
    </row>
    <row r="228" spans="1:21" s="70" customFormat="1" x14ac:dyDescent="0.2">
      <c r="A228" s="364"/>
      <c r="B228" s="151"/>
      <c r="C228" s="151"/>
      <c r="D228" s="151"/>
      <c r="E228" s="151"/>
      <c r="F228" s="151"/>
      <c r="G228" s="151"/>
      <c r="H228" s="151"/>
      <c r="I228" s="151"/>
      <c r="J228" s="151"/>
      <c r="K228" s="151"/>
      <c r="L228" s="151"/>
      <c r="M228" s="132"/>
      <c r="O228" s="85"/>
      <c r="P228" s="22"/>
      <c r="Q228" s="22"/>
      <c r="R228" s="22"/>
      <c r="S228" s="88"/>
      <c r="T228" s="22"/>
      <c r="U228" s="22"/>
    </row>
    <row r="229" spans="1:21" s="70" customFormat="1" x14ac:dyDescent="0.2">
      <c r="A229" s="364"/>
      <c r="B229" s="151"/>
      <c r="C229" s="151"/>
      <c r="D229" s="151"/>
      <c r="E229" s="151"/>
      <c r="F229" s="151"/>
      <c r="G229" s="151"/>
      <c r="H229" s="151"/>
      <c r="I229" s="151"/>
      <c r="J229" s="151"/>
      <c r="K229" s="151"/>
      <c r="L229" s="151"/>
      <c r="M229" s="132"/>
      <c r="O229" s="85"/>
      <c r="P229" s="22"/>
      <c r="Q229" s="22"/>
      <c r="R229" s="22"/>
      <c r="S229" s="88"/>
      <c r="T229" s="22"/>
      <c r="U229" s="22"/>
    </row>
    <row r="230" spans="1:21" s="70" customFormat="1" x14ac:dyDescent="0.2">
      <c r="A230" s="364"/>
      <c r="B230" s="151"/>
      <c r="C230" s="151"/>
      <c r="D230" s="151"/>
      <c r="E230" s="151"/>
      <c r="F230" s="151"/>
      <c r="G230" s="151"/>
      <c r="H230" s="151"/>
      <c r="I230" s="151"/>
      <c r="J230" s="151"/>
      <c r="K230" s="151"/>
      <c r="L230" s="151"/>
      <c r="M230" s="132"/>
      <c r="O230" s="85"/>
      <c r="P230" s="22"/>
      <c r="Q230" s="22"/>
      <c r="R230" s="22"/>
      <c r="S230" s="88"/>
      <c r="T230" s="22"/>
      <c r="U230" s="22"/>
    </row>
    <row r="231" spans="1:21" s="70" customFormat="1" x14ac:dyDescent="0.2">
      <c r="A231" s="364"/>
      <c r="B231" s="151"/>
      <c r="C231" s="151"/>
      <c r="D231" s="151"/>
      <c r="E231" s="151"/>
      <c r="F231" s="151"/>
      <c r="G231" s="151"/>
      <c r="H231" s="151"/>
      <c r="I231" s="151"/>
      <c r="J231" s="151"/>
      <c r="K231" s="151"/>
      <c r="L231" s="151"/>
      <c r="M231" s="132"/>
      <c r="O231" s="85"/>
      <c r="P231" s="22"/>
      <c r="Q231" s="22"/>
      <c r="R231" s="22"/>
      <c r="S231" s="88"/>
      <c r="T231" s="22"/>
      <c r="U231" s="22"/>
    </row>
    <row r="232" spans="1:21" s="70" customFormat="1" x14ac:dyDescent="0.2">
      <c r="A232" s="364"/>
      <c r="B232" s="151"/>
      <c r="C232" s="151"/>
      <c r="D232" s="151"/>
      <c r="E232" s="151"/>
      <c r="F232" s="151"/>
      <c r="G232" s="151"/>
      <c r="H232" s="151"/>
      <c r="I232" s="151"/>
      <c r="J232" s="151"/>
      <c r="K232" s="151"/>
      <c r="L232" s="151"/>
      <c r="M232" s="132"/>
      <c r="O232" s="85"/>
      <c r="P232" s="22"/>
      <c r="Q232" s="22"/>
      <c r="R232" s="22"/>
      <c r="S232" s="88"/>
      <c r="T232" s="22"/>
      <c r="U232" s="22"/>
    </row>
    <row r="233" spans="1:21" s="70" customFormat="1" x14ac:dyDescent="0.2">
      <c r="A233" s="364"/>
      <c r="B233" s="151"/>
      <c r="C233" s="151"/>
      <c r="D233" s="151"/>
      <c r="E233" s="151"/>
      <c r="F233" s="151"/>
      <c r="G233" s="151"/>
      <c r="H233" s="151"/>
      <c r="I233" s="151"/>
      <c r="J233" s="151"/>
      <c r="K233" s="151"/>
      <c r="L233" s="151"/>
      <c r="M233" s="132"/>
      <c r="O233" s="85"/>
      <c r="P233" s="22"/>
      <c r="Q233" s="22"/>
      <c r="R233" s="22"/>
      <c r="S233" s="88"/>
      <c r="T233" s="22"/>
      <c r="U233" s="22"/>
    </row>
    <row r="234" spans="1:21" s="70" customFormat="1" x14ac:dyDescent="0.2">
      <c r="A234" s="364"/>
      <c r="B234" s="151"/>
      <c r="C234" s="151"/>
      <c r="D234" s="151"/>
      <c r="E234" s="151"/>
      <c r="F234" s="151"/>
      <c r="G234" s="151"/>
      <c r="H234" s="151"/>
      <c r="I234" s="151"/>
      <c r="J234" s="151"/>
      <c r="K234" s="151"/>
      <c r="L234" s="151"/>
      <c r="M234" s="132"/>
      <c r="O234" s="85"/>
      <c r="P234" s="22"/>
      <c r="Q234" s="22"/>
      <c r="R234" s="22"/>
      <c r="S234" s="88"/>
      <c r="T234" s="22"/>
      <c r="U234" s="22"/>
    </row>
    <row r="235" spans="1:21" s="70" customFormat="1" x14ac:dyDescent="0.2">
      <c r="A235" s="364"/>
      <c r="B235" s="151"/>
      <c r="C235" s="151"/>
      <c r="D235" s="151"/>
      <c r="E235" s="151"/>
      <c r="F235" s="151"/>
      <c r="G235" s="151"/>
      <c r="H235" s="151"/>
      <c r="I235" s="151"/>
      <c r="J235" s="151"/>
      <c r="K235" s="151"/>
      <c r="L235" s="151"/>
      <c r="M235" s="132"/>
      <c r="O235" s="85"/>
      <c r="P235" s="22"/>
      <c r="Q235" s="22"/>
      <c r="R235" s="22"/>
      <c r="S235" s="88"/>
      <c r="T235" s="22"/>
      <c r="U235" s="22"/>
    </row>
    <row r="236" spans="1:21" s="70" customFormat="1" x14ac:dyDescent="0.2">
      <c r="A236" s="364"/>
      <c r="B236" s="151"/>
      <c r="C236" s="151"/>
      <c r="D236" s="151"/>
      <c r="E236" s="151"/>
      <c r="F236" s="151"/>
      <c r="G236" s="151"/>
      <c r="H236" s="151"/>
      <c r="I236" s="151"/>
      <c r="J236" s="151"/>
      <c r="K236" s="151"/>
      <c r="L236" s="151"/>
      <c r="M236" s="132"/>
      <c r="O236" s="85"/>
      <c r="P236" s="22"/>
      <c r="Q236" s="22"/>
      <c r="R236" s="22"/>
      <c r="S236" s="88"/>
      <c r="T236" s="22"/>
      <c r="U236" s="22"/>
    </row>
    <row r="237" spans="1:21" s="70" customFormat="1" x14ac:dyDescent="0.2">
      <c r="A237" s="364"/>
      <c r="B237" s="151"/>
      <c r="C237" s="151"/>
      <c r="D237" s="151"/>
      <c r="E237" s="151"/>
      <c r="F237" s="151"/>
      <c r="G237" s="151"/>
      <c r="H237" s="151"/>
      <c r="I237" s="151"/>
      <c r="J237" s="151"/>
      <c r="K237" s="151"/>
      <c r="L237" s="151"/>
      <c r="M237" s="132"/>
      <c r="O237" s="85"/>
      <c r="P237" s="22"/>
      <c r="Q237" s="22"/>
      <c r="R237" s="22"/>
      <c r="S237" s="88"/>
      <c r="T237" s="22"/>
      <c r="U237" s="22"/>
    </row>
    <row r="238" spans="1:21" s="70" customFormat="1" x14ac:dyDescent="0.2">
      <c r="A238" s="364"/>
      <c r="B238" s="151"/>
      <c r="C238" s="151"/>
      <c r="D238" s="151"/>
      <c r="E238" s="151"/>
      <c r="F238" s="151"/>
      <c r="G238" s="151"/>
      <c r="H238" s="151"/>
      <c r="I238" s="151"/>
      <c r="J238" s="151"/>
      <c r="K238" s="151"/>
      <c r="L238" s="151"/>
      <c r="M238" s="132"/>
      <c r="O238" s="85"/>
      <c r="P238" s="22"/>
      <c r="Q238" s="22"/>
      <c r="R238" s="22"/>
      <c r="S238" s="88"/>
      <c r="T238" s="22"/>
      <c r="U238" s="22"/>
    </row>
    <row r="239" spans="1:21" s="70" customFormat="1" x14ac:dyDescent="0.2">
      <c r="A239" s="364"/>
      <c r="B239" s="151"/>
      <c r="C239" s="151"/>
      <c r="D239" s="151"/>
      <c r="E239" s="151"/>
      <c r="F239" s="151"/>
      <c r="G239" s="151"/>
      <c r="H239" s="151"/>
      <c r="I239" s="151"/>
      <c r="J239" s="151"/>
      <c r="K239" s="151"/>
      <c r="L239" s="151"/>
      <c r="M239" s="132"/>
      <c r="O239" s="85"/>
      <c r="P239" s="22"/>
      <c r="Q239" s="22"/>
      <c r="R239" s="22"/>
      <c r="S239" s="88"/>
      <c r="T239" s="22"/>
      <c r="U239" s="22"/>
    </row>
    <row r="240" spans="1:21" s="70" customFormat="1" x14ac:dyDescent="0.2">
      <c r="A240" s="364"/>
      <c r="B240" s="151"/>
      <c r="C240" s="151"/>
      <c r="D240" s="151"/>
      <c r="E240" s="151"/>
      <c r="F240" s="151"/>
      <c r="G240" s="151"/>
      <c r="H240" s="151"/>
      <c r="I240" s="151"/>
      <c r="J240" s="151"/>
      <c r="K240" s="151"/>
      <c r="L240" s="151"/>
      <c r="M240" s="132"/>
      <c r="O240" s="85"/>
      <c r="P240" s="22"/>
      <c r="Q240" s="22"/>
      <c r="R240" s="22"/>
      <c r="S240" s="88"/>
      <c r="T240" s="22"/>
      <c r="U240" s="22"/>
    </row>
    <row r="241" spans="1:21" s="70" customFormat="1" x14ac:dyDescent="0.2">
      <c r="A241" s="364"/>
      <c r="B241" s="151"/>
      <c r="C241" s="151"/>
      <c r="D241" s="151"/>
      <c r="E241" s="151"/>
      <c r="F241" s="151"/>
      <c r="G241" s="151"/>
      <c r="H241" s="151"/>
      <c r="I241" s="151"/>
      <c r="J241" s="151"/>
      <c r="K241" s="151"/>
      <c r="L241" s="151"/>
      <c r="M241" s="132"/>
      <c r="O241" s="85"/>
      <c r="P241" s="22"/>
      <c r="Q241" s="22"/>
      <c r="R241" s="22"/>
      <c r="S241" s="88"/>
      <c r="T241" s="22"/>
      <c r="U241" s="22"/>
    </row>
    <row r="242" spans="1:21" s="70" customFormat="1" x14ac:dyDescent="0.2">
      <c r="A242" s="364"/>
      <c r="B242" s="151"/>
      <c r="C242" s="151"/>
      <c r="D242" s="151"/>
      <c r="E242" s="151"/>
      <c r="F242" s="151"/>
      <c r="G242" s="151"/>
      <c r="H242" s="151"/>
      <c r="I242" s="151"/>
      <c r="J242" s="151"/>
      <c r="K242" s="151"/>
      <c r="L242" s="151"/>
      <c r="M242" s="132"/>
      <c r="O242" s="85"/>
      <c r="P242" s="22"/>
      <c r="Q242" s="22"/>
      <c r="R242" s="22"/>
      <c r="S242" s="88"/>
      <c r="T242" s="22"/>
      <c r="U242" s="22"/>
    </row>
    <row r="243" spans="1:21" s="70" customFormat="1" x14ac:dyDescent="0.2">
      <c r="A243" s="364"/>
      <c r="B243" s="151"/>
      <c r="C243" s="151"/>
      <c r="D243" s="151"/>
      <c r="E243" s="151"/>
      <c r="F243" s="151"/>
      <c r="G243" s="151"/>
      <c r="H243" s="151"/>
      <c r="I243" s="151"/>
      <c r="J243" s="151"/>
      <c r="K243" s="151"/>
      <c r="L243" s="151"/>
      <c r="M243" s="132"/>
      <c r="O243" s="85"/>
      <c r="P243" s="22"/>
      <c r="Q243" s="22"/>
      <c r="R243" s="22"/>
      <c r="S243" s="88"/>
      <c r="T243" s="22"/>
      <c r="U243" s="22"/>
    </row>
    <row r="244" spans="1:21" s="70" customFormat="1" x14ac:dyDescent="0.2">
      <c r="A244" s="364"/>
      <c r="B244" s="151"/>
      <c r="C244" s="151"/>
      <c r="D244" s="151"/>
      <c r="E244" s="151"/>
      <c r="F244" s="151"/>
      <c r="G244" s="151"/>
      <c r="H244" s="151"/>
      <c r="I244" s="151"/>
      <c r="J244" s="151"/>
      <c r="K244" s="151"/>
      <c r="L244" s="151"/>
      <c r="M244" s="132"/>
      <c r="O244" s="85"/>
      <c r="P244" s="22"/>
      <c r="Q244" s="22"/>
      <c r="R244" s="22"/>
      <c r="S244" s="88"/>
      <c r="T244" s="22"/>
      <c r="U244" s="22"/>
    </row>
    <row r="245" spans="1:21" s="70" customFormat="1" x14ac:dyDescent="0.2">
      <c r="A245" s="364"/>
      <c r="B245" s="151"/>
      <c r="C245" s="151"/>
      <c r="D245" s="151"/>
      <c r="E245" s="151"/>
      <c r="F245" s="151"/>
      <c r="G245" s="151"/>
      <c r="H245" s="151"/>
      <c r="I245" s="151"/>
      <c r="J245" s="151"/>
      <c r="K245" s="151"/>
      <c r="L245" s="151"/>
      <c r="M245" s="132"/>
      <c r="O245" s="85"/>
      <c r="P245" s="22"/>
      <c r="Q245" s="22"/>
      <c r="R245" s="22"/>
      <c r="S245" s="88"/>
      <c r="T245" s="22"/>
      <c r="U245" s="22"/>
    </row>
    <row r="246" spans="1:21" s="70" customFormat="1" x14ac:dyDescent="0.2">
      <c r="A246" s="364"/>
      <c r="B246" s="151"/>
      <c r="C246" s="151"/>
      <c r="D246" s="151"/>
      <c r="E246" s="151"/>
      <c r="F246" s="151"/>
      <c r="G246" s="151"/>
      <c r="H246" s="151"/>
      <c r="I246" s="151"/>
      <c r="J246" s="151"/>
      <c r="K246" s="151"/>
      <c r="L246" s="151"/>
      <c r="M246" s="132"/>
      <c r="O246" s="85"/>
      <c r="P246" s="22"/>
      <c r="Q246" s="22"/>
      <c r="R246" s="22"/>
      <c r="S246" s="88"/>
      <c r="T246" s="22"/>
      <c r="U246" s="22"/>
    </row>
    <row r="247" spans="1:21" s="70" customFormat="1" x14ac:dyDescent="0.2">
      <c r="A247" s="364"/>
      <c r="B247" s="151"/>
      <c r="C247" s="151"/>
      <c r="D247" s="151"/>
      <c r="E247" s="151"/>
      <c r="F247" s="151"/>
      <c r="G247" s="151"/>
      <c r="H247" s="151"/>
      <c r="I247" s="151"/>
      <c r="J247" s="151"/>
      <c r="K247" s="151"/>
      <c r="L247" s="151"/>
      <c r="M247" s="132"/>
      <c r="O247" s="85"/>
      <c r="P247" s="22"/>
      <c r="Q247" s="22"/>
      <c r="R247" s="22"/>
      <c r="S247" s="88"/>
      <c r="T247" s="22"/>
      <c r="U247" s="22"/>
    </row>
    <row r="248" spans="1:21" s="70" customFormat="1" x14ac:dyDescent="0.2">
      <c r="A248" s="364"/>
      <c r="B248" s="151"/>
      <c r="C248" s="151"/>
      <c r="D248" s="151"/>
      <c r="E248" s="151"/>
      <c r="F248" s="151"/>
      <c r="G248" s="151"/>
      <c r="H248" s="151"/>
      <c r="I248" s="151"/>
      <c r="J248" s="151"/>
      <c r="K248" s="151"/>
      <c r="L248" s="151"/>
      <c r="M248" s="132"/>
      <c r="O248" s="85"/>
      <c r="P248" s="22"/>
      <c r="Q248" s="22"/>
      <c r="R248" s="22"/>
      <c r="S248" s="88"/>
      <c r="T248" s="22"/>
      <c r="U248" s="22"/>
    </row>
    <row r="249" spans="1:21" s="70" customFormat="1" x14ac:dyDescent="0.2">
      <c r="A249" s="364"/>
      <c r="B249" s="151"/>
      <c r="C249" s="151"/>
      <c r="D249" s="151"/>
      <c r="E249" s="151"/>
      <c r="F249" s="151"/>
      <c r="G249" s="151"/>
      <c r="H249" s="151"/>
      <c r="I249" s="151"/>
      <c r="J249" s="151"/>
      <c r="K249" s="151"/>
      <c r="L249" s="151"/>
      <c r="M249" s="132"/>
      <c r="O249" s="85"/>
      <c r="P249" s="22"/>
      <c r="Q249" s="22"/>
      <c r="R249" s="22"/>
      <c r="S249" s="88"/>
      <c r="T249" s="22"/>
      <c r="U249" s="22"/>
    </row>
    <row r="250" spans="1:21" s="70" customFormat="1" x14ac:dyDescent="0.2">
      <c r="A250" s="364"/>
      <c r="B250" s="151"/>
      <c r="C250" s="151"/>
      <c r="D250" s="151"/>
      <c r="E250" s="151"/>
      <c r="F250" s="151"/>
      <c r="G250" s="151"/>
      <c r="H250" s="151"/>
      <c r="I250" s="151"/>
      <c r="J250" s="151"/>
      <c r="K250" s="151"/>
      <c r="L250" s="151"/>
      <c r="M250" s="132"/>
      <c r="O250" s="85"/>
      <c r="P250" s="22"/>
      <c r="Q250" s="22"/>
      <c r="R250" s="22"/>
      <c r="S250" s="88"/>
      <c r="T250" s="22"/>
      <c r="U250" s="22"/>
    </row>
    <row r="251" spans="1:21" s="70" customFormat="1" x14ac:dyDescent="0.2">
      <c r="A251" s="364"/>
      <c r="B251" s="151"/>
      <c r="C251" s="151"/>
      <c r="D251" s="151"/>
      <c r="E251" s="151"/>
      <c r="F251" s="151"/>
      <c r="G251" s="151"/>
      <c r="H251" s="151"/>
      <c r="I251" s="151"/>
      <c r="J251" s="151"/>
      <c r="K251" s="151"/>
      <c r="L251" s="151"/>
      <c r="M251" s="132"/>
      <c r="O251" s="85"/>
      <c r="P251" s="22"/>
      <c r="Q251" s="22"/>
      <c r="R251" s="22"/>
      <c r="S251" s="88"/>
      <c r="T251" s="22"/>
      <c r="U251" s="22"/>
    </row>
    <row r="252" spans="1:21" s="70" customFormat="1" x14ac:dyDescent="0.2">
      <c r="A252" s="364"/>
      <c r="B252" s="151"/>
      <c r="C252" s="151"/>
      <c r="D252" s="151"/>
      <c r="E252" s="151"/>
      <c r="F252" s="151"/>
      <c r="G252" s="151"/>
      <c r="H252" s="151"/>
      <c r="I252" s="151"/>
      <c r="J252" s="151"/>
      <c r="K252" s="151"/>
      <c r="L252" s="151"/>
      <c r="M252" s="132"/>
      <c r="O252" s="85"/>
      <c r="P252" s="22"/>
      <c r="Q252" s="22"/>
      <c r="R252" s="22"/>
      <c r="S252" s="88"/>
      <c r="T252" s="22"/>
      <c r="U252" s="22"/>
    </row>
    <row r="253" spans="1:21" s="70" customFormat="1" x14ac:dyDescent="0.2">
      <c r="A253" s="364"/>
      <c r="B253" s="151"/>
      <c r="C253" s="151"/>
      <c r="D253" s="151"/>
      <c r="E253" s="151"/>
      <c r="F253" s="151"/>
      <c r="G253" s="151"/>
      <c r="H253" s="151"/>
      <c r="I253" s="151"/>
      <c r="J253" s="151"/>
      <c r="K253" s="151"/>
      <c r="L253" s="151"/>
      <c r="M253" s="132"/>
      <c r="O253" s="85"/>
      <c r="P253" s="22"/>
      <c r="Q253" s="22"/>
      <c r="R253" s="22"/>
      <c r="S253" s="88"/>
      <c r="T253" s="22"/>
      <c r="U253" s="22"/>
    </row>
    <row r="254" spans="1:21" s="70" customFormat="1" x14ac:dyDescent="0.2">
      <c r="A254" s="364"/>
      <c r="B254" s="151"/>
      <c r="C254" s="151"/>
      <c r="D254" s="151"/>
      <c r="E254" s="151"/>
      <c r="F254" s="151"/>
      <c r="G254" s="151"/>
      <c r="H254" s="151"/>
      <c r="I254" s="151"/>
      <c r="J254" s="151"/>
      <c r="K254" s="151"/>
      <c r="L254" s="151"/>
      <c r="M254" s="132"/>
      <c r="O254" s="85"/>
      <c r="P254" s="22"/>
      <c r="Q254" s="22"/>
      <c r="R254" s="22"/>
      <c r="S254" s="88"/>
      <c r="T254" s="22"/>
      <c r="U254" s="22"/>
    </row>
    <row r="255" spans="1:21" s="70" customFormat="1" x14ac:dyDescent="0.2">
      <c r="A255" s="364"/>
      <c r="B255" s="151"/>
      <c r="C255" s="151"/>
      <c r="D255" s="151"/>
      <c r="E255" s="151"/>
      <c r="F255" s="151"/>
      <c r="G255" s="151"/>
      <c r="H255" s="151"/>
      <c r="I255" s="151"/>
      <c r="J255" s="151"/>
      <c r="K255" s="151"/>
      <c r="L255" s="151"/>
      <c r="M255" s="132"/>
      <c r="O255" s="85"/>
      <c r="P255" s="22"/>
      <c r="Q255" s="22"/>
      <c r="R255" s="22"/>
      <c r="S255" s="88"/>
      <c r="T255" s="22"/>
      <c r="U255" s="22"/>
    </row>
    <row r="256" spans="1:21" s="70" customFormat="1" x14ac:dyDescent="0.2">
      <c r="A256" s="364"/>
      <c r="B256" s="151"/>
      <c r="C256" s="151"/>
      <c r="D256" s="151"/>
      <c r="E256" s="151"/>
      <c r="F256" s="151"/>
      <c r="G256" s="151"/>
      <c r="H256" s="151"/>
      <c r="I256" s="151"/>
      <c r="J256" s="151"/>
      <c r="K256" s="151"/>
      <c r="L256" s="151"/>
      <c r="M256" s="132"/>
      <c r="O256" s="85"/>
      <c r="P256" s="22"/>
      <c r="Q256" s="22"/>
      <c r="R256" s="22"/>
      <c r="S256" s="88"/>
      <c r="T256" s="22"/>
      <c r="U256" s="22"/>
    </row>
    <row r="257" spans="1:21" s="70" customFormat="1" x14ac:dyDescent="0.2">
      <c r="A257" s="364"/>
      <c r="B257" s="151"/>
      <c r="C257" s="151"/>
      <c r="D257" s="151"/>
      <c r="E257" s="151"/>
      <c r="F257" s="151"/>
      <c r="G257" s="151"/>
      <c r="H257" s="151"/>
      <c r="I257" s="151"/>
      <c r="J257" s="151"/>
      <c r="K257" s="151"/>
      <c r="L257" s="151"/>
      <c r="M257" s="132"/>
      <c r="O257" s="85"/>
      <c r="P257" s="22"/>
      <c r="Q257" s="22"/>
      <c r="R257" s="22"/>
      <c r="S257" s="88"/>
      <c r="T257" s="22"/>
      <c r="U257" s="22"/>
    </row>
    <row r="258" spans="1:21" s="70" customFormat="1" x14ac:dyDescent="0.2">
      <c r="A258" s="364"/>
      <c r="B258" s="151"/>
      <c r="C258" s="151"/>
      <c r="D258" s="151"/>
      <c r="E258" s="151"/>
      <c r="F258" s="151"/>
      <c r="G258" s="151"/>
      <c r="H258" s="151"/>
      <c r="I258" s="151"/>
      <c r="J258" s="151"/>
      <c r="K258" s="151"/>
      <c r="L258" s="151"/>
      <c r="M258" s="132"/>
      <c r="O258" s="85"/>
      <c r="P258" s="22"/>
      <c r="Q258" s="22"/>
      <c r="R258" s="22"/>
      <c r="S258" s="88"/>
      <c r="T258" s="22"/>
      <c r="U258" s="22"/>
    </row>
    <row r="259" spans="1:21" s="70" customFormat="1" x14ac:dyDescent="0.2">
      <c r="A259" s="365"/>
      <c r="B259" s="142"/>
      <c r="C259" s="142"/>
      <c r="D259" s="142"/>
      <c r="E259" s="142"/>
      <c r="F259" s="142"/>
      <c r="G259" s="142"/>
      <c r="H259" s="142"/>
      <c r="I259" s="142"/>
      <c r="J259" s="142"/>
      <c r="K259" s="142"/>
      <c r="L259" s="142"/>
      <c r="M259" s="132"/>
      <c r="O259" s="85"/>
      <c r="P259" s="22"/>
      <c r="Q259" s="22"/>
      <c r="R259" s="22"/>
      <c r="S259" s="88"/>
      <c r="T259" s="22"/>
      <c r="U259" s="22"/>
    </row>
    <row r="260" spans="1:21" s="70" customFormat="1" x14ac:dyDescent="0.2">
      <c r="A260" s="365"/>
      <c r="B260" s="142"/>
      <c r="C260" s="142"/>
      <c r="D260" s="142"/>
      <c r="E260" s="142"/>
      <c r="F260" s="142"/>
      <c r="G260" s="142"/>
      <c r="H260" s="142"/>
      <c r="I260" s="142"/>
      <c r="J260" s="142"/>
      <c r="K260" s="142"/>
      <c r="L260" s="142"/>
      <c r="M260" s="132"/>
      <c r="O260" s="85"/>
      <c r="P260" s="22"/>
      <c r="Q260" s="22"/>
      <c r="R260" s="22"/>
      <c r="S260" s="88"/>
      <c r="T260" s="22"/>
      <c r="U260" s="22"/>
    </row>
    <row r="261" spans="1:21" s="70" customFormat="1" x14ac:dyDescent="0.2">
      <c r="A261" s="365"/>
      <c r="B261" s="142"/>
      <c r="C261" s="142"/>
      <c r="D261" s="142"/>
      <c r="E261" s="142"/>
      <c r="F261" s="142"/>
      <c r="G261" s="142"/>
      <c r="H261" s="142"/>
      <c r="I261" s="142"/>
      <c r="J261" s="142"/>
      <c r="K261" s="142"/>
      <c r="L261" s="142"/>
      <c r="M261" s="132"/>
      <c r="O261" s="85"/>
      <c r="P261" s="22"/>
      <c r="Q261" s="22"/>
      <c r="R261" s="22"/>
      <c r="S261" s="88"/>
      <c r="T261" s="22"/>
      <c r="U261" s="22"/>
    </row>
    <row r="262" spans="1:21" s="70" customFormat="1" x14ac:dyDescent="0.2">
      <c r="A262" s="365"/>
      <c r="B262" s="142"/>
      <c r="C262" s="142"/>
      <c r="D262" s="142"/>
      <c r="E262" s="142"/>
      <c r="F262" s="142"/>
      <c r="G262" s="142"/>
      <c r="H262" s="142"/>
      <c r="I262" s="142"/>
      <c r="J262" s="142"/>
      <c r="K262" s="142"/>
      <c r="L262" s="142"/>
      <c r="M262" s="132"/>
      <c r="O262" s="85"/>
      <c r="P262" s="22"/>
      <c r="Q262" s="22"/>
      <c r="R262" s="22"/>
      <c r="S262" s="88"/>
      <c r="T262" s="22"/>
      <c r="U262" s="22"/>
    </row>
    <row r="263" spans="1:21" s="70" customFormat="1" x14ac:dyDescent="0.2">
      <c r="A263" s="365"/>
      <c r="B263" s="142"/>
      <c r="C263" s="142"/>
      <c r="D263" s="142"/>
      <c r="E263" s="142"/>
      <c r="F263" s="142"/>
      <c r="G263" s="142"/>
      <c r="H263" s="142"/>
      <c r="I263" s="142"/>
      <c r="J263" s="142"/>
      <c r="K263" s="142"/>
      <c r="L263" s="142"/>
      <c r="M263" s="132"/>
      <c r="O263" s="85"/>
      <c r="P263" s="22"/>
      <c r="Q263" s="22"/>
      <c r="R263" s="22"/>
      <c r="S263" s="88"/>
      <c r="T263" s="22"/>
      <c r="U263" s="22"/>
    </row>
    <row r="264" spans="1:21" s="70" customFormat="1" x14ac:dyDescent="0.2">
      <c r="A264" s="365"/>
      <c r="B264" s="142"/>
      <c r="C264" s="142"/>
      <c r="D264" s="142"/>
      <c r="E264" s="142"/>
      <c r="F264" s="142"/>
      <c r="G264" s="142"/>
      <c r="H264" s="142"/>
      <c r="I264" s="142"/>
      <c r="J264" s="142"/>
      <c r="K264" s="142"/>
      <c r="L264" s="142"/>
      <c r="M264" s="132"/>
      <c r="O264" s="85"/>
      <c r="P264" s="22"/>
      <c r="Q264" s="22"/>
      <c r="R264" s="22"/>
      <c r="S264" s="88"/>
      <c r="T264" s="22"/>
      <c r="U264" s="22"/>
    </row>
    <row r="265" spans="1:21" s="70" customFormat="1" x14ac:dyDescent="0.2">
      <c r="A265" s="365"/>
      <c r="B265" s="142"/>
      <c r="C265" s="142"/>
      <c r="D265" s="142"/>
      <c r="E265" s="142"/>
      <c r="F265" s="142"/>
      <c r="G265" s="142"/>
      <c r="H265" s="142"/>
      <c r="I265" s="142"/>
      <c r="J265" s="142"/>
      <c r="K265" s="142"/>
      <c r="L265" s="142"/>
      <c r="M265" s="132"/>
      <c r="O265" s="85"/>
      <c r="P265" s="22"/>
      <c r="Q265" s="22"/>
      <c r="R265" s="22"/>
      <c r="S265" s="88"/>
      <c r="T265" s="22"/>
      <c r="U265" s="22"/>
    </row>
    <row r="266" spans="1:21" s="70" customFormat="1" x14ac:dyDescent="0.2">
      <c r="A266" s="365"/>
      <c r="B266" s="142"/>
      <c r="C266" s="142"/>
      <c r="D266" s="142"/>
      <c r="E266" s="142"/>
      <c r="F266" s="142"/>
      <c r="G266" s="142"/>
      <c r="H266" s="142"/>
      <c r="I266" s="142"/>
      <c r="J266" s="142"/>
      <c r="K266" s="142"/>
      <c r="L266" s="142"/>
      <c r="M266" s="132"/>
      <c r="O266" s="85"/>
      <c r="P266" s="22"/>
      <c r="Q266" s="22"/>
      <c r="R266" s="22"/>
      <c r="S266" s="88"/>
      <c r="T266" s="22"/>
      <c r="U266" s="22"/>
    </row>
    <row r="267" spans="1:21" s="70" customFormat="1" x14ac:dyDescent="0.2">
      <c r="A267" s="365"/>
      <c r="B267" s="142"/>
      <c r="C267" s="142"/>
      <c r="D267" s="142"/>
      <c r="E267" s="142"/>
      <c r="F267" s="142"/>
      <c r="G267" s="142"/>
      <c r="H267" s="142"/>
      <c r="I267" s="142"/>
      <c r="J267" s="142"/>
      <c r="K267" s="142"/>
      <c r="L267" s="142"/>
      <c r="M267" s="132"/>
      <c r="O267" s="85"/>
      <c r="P267" s="22"/>
      <c r="Q267" s="22"/>
      <c r="R267" s="22"/>
      <c r="S267" s="88"/>
      <c r="T267" s="22"/>
      <c r="U267" s="22"/>
    </row>
    <row r="268" spans="1:21" s="70" customFormat="1" x14ac:dyDescent="0.2">
      <c r="A268" s="365"/>
      <c r="B268" s="142"/>
      <c r="C268" s="142"/>
      <c r="D268" s="142"/>
      <c r="E268" s="142"/>
      <c r="F268" s="142"/>
      <c r="G268" s="142"/>
      <c r="H268" s="142"/>
      <c r="I268" s="142"/>
      <c r="J268" s="142"/>
      <c r="K268" s="142"/>
      <c r="L268" s="142"/>
      <c r="M268" s="132"/>
      <c r="O268" s="85"/>
      <c r="P268" s="22"/>
      <c r="Q268" s="22"/>
      <c r="R268" s="22"/>
      <c r="S268" s="88"/>
      <c r="T268" s="22"/>
      <c r="U268" s="22"/>
    </row>
    <row r="269" spans="1:21" s="70" customFormat="1" x14ac:dyDescent="0.2">
      <c r="A269" s="365"/>
      <c r="B269" s="142"/>
      <c r="C269" s="142"/>
      <c r="D269" s="142"/>
      <c r="E269" s="142"/>
      <c r="F269" s="142"/>
      <c r="G269" s="142"/>
      <c r="H269" s="142"/>
      <c r="I269" s="142"/>
      <c r="J269" s="142"/>
      <c r="K269" s="142"/>
      <c r="L269" s="142"/>
      <c r="M269" s="132"/>
      <c r="O269" s="85"/>
      <c r="P269" s="22"/>
      <c r="Q269" s="22"/>
      <c r="R269" s="22"/>
      <c r="S269" s="88"/>
      <c r="T269" s="22"/>
      <c r="U269" s="22"/>
    </row>
    <row r="270" spans="1:21" s="70" customFormat="1" x14ac:dyDescent="0.2">
      <c r="A270" s="365"/>
      <c r="B270" s="142"/>
      <c r="C270" s="142"/>
      <c r="D270" s="142"/>
      <c r="E270" s="142"/>
      <c r="F270" s="142"/>
      <c r="G270" s="142"/>
      <c r="H270" s="142"/>
      <c r="I270" s="142"/>
      <c r="J270" s="142"/>
      <c r="K270" s="142"/>
      <c r="L270" s="142"/>
      <c r="M270" s="132"/>
      <c r="O270" s="85"/>
      <c r="P270" s="22"/>
      <c r="Q270" s="22"/>
      <c r="R270" s="22"/>
      <c r="S270" s="88"/>
      <c r="T270" s="22"/>
      <c r="U270" s="22"/>
    </row>
    <row r="271" spans="1:21" s="70" customFormat="1" x14ac:dyDescent="0.2">
      <c r="A271" s="365"/>
      <c r="B271" s="142"/>
      <c r="C271" s="142"/>
      <c r="D271" s="142"/>
      <c r="E271" s="142"/>
      <c r="F271" s="142"/>
      <c r="G271" s="142"/>
      <c r="H271" s="142"/>
      <c r="I271" s="142"/>
      <c r="J271" s="142"/>
      <c r="K271" s="142"/>
      <c r="L271" s="142"/>
      <c r="M271" s="132"/>
      <c r="O271" s="85"/>
      <c r="P271" s="22"/>
      <c r="Q271" s="22"/>
      <c r="R271" s="22"/>
      <c r="S271" s="88"/>
      <c r="T271" s="22"/>
      <c r="U271" s="22"/>
    </row>
    <row r="272" spans="1:21" s="70" customFormat="1" x14ac:dyDescent="0.2">
      <c r="A272" s="365"/>
      <c r="B272" s="142"/>
      <c r="C272" s="142"/>
      <c r="D272" s="142"/>
      <c r="E272" s="142"/>
      <c r="F272" s="142"/>
      <c r="G272" s="142"/>
      <c r="H272" s="142"/>
      <c r="I272" s="142"/>
      <c r="J272" s="142"/>
      <c r="K272" s="142"/>
      <c r="L272" s="142"/>
      <c r="M272" s="132"/>
      <c r="O272" s="85"/>
      <c r="P272" s="22"/>
      <c r="Q272" s="22"/>
      <c r="R272" s="22"/>
      <c r="S272" s="88"/>
      <c r="T272" s="22"/>
      <c r="U272" s="22"/>
    </row>
  </sheetData>
  <sheetProtection sheet="1" objects="1" scenarios="1"/>
  <protectedRanges>
    <protectedRange password="DD40" sqref="B27:G28 M36 H11:H13 J4:J5 B29:B31 D3:D5 K1 B12:D12 B13:B14 B94:L65440 L70:L73 F12:G14 J28:J30 L2:L3 D10 B9:B10 B7:D8 D14 B15:L15 E19:G26 C29:G30 D1:E2 J33:J39 B1:C5 G1:H2 E12:E13 F7:H10 E7:E9 I19:L19 B32:G39 H19:H20 K32:K39 B20:D26 K21:K30 J21:J26 D19 L7:L13 B6:L6 H14:L14 I10:K13 C16:L18 L68 L76:L93" name="Range1"/>
    <protectedRange password="DD40" sqref="I27 I32" name="Range1_6"/>
    <protectedRange password="DD40" sqref="H21:H30 H32:H39 I21:I26 I28:I30 I33:I39" name="Range1_2"/>
    <protectedRange password="DD40" sqref="M35" name="Range1_4_1"/>
    <protectedRange password="DD40" sqref="B87:B93 E75:E77 C73:D77 F73:F79 G80 G73:G77 J80:J86 C80:E86 J73:J78 H73:H79 K79:K93" name="Range1_7_1"/>
    <protectedRange password="DD40" sqref="G85:G86 I78:I79" name="Range1_1_1"/>
    <protectedRange password="DD40" sqref="A7" name="Range1_1"/>
    <protectedRange password="DD40" sqref="L69" name="Range1_4"/>
    <protectedRange password="DD40" sqref="L59:L67 L41:L46 L51:L56" name="Range1_3"/>
    <protectedRange password="DD40" sqref="J52 K53:K56 J42" name="Range1_4_1_1"/>
    <protectedRange password="DD40" sqref="J53:J56" name="Range1_6_2"/>
    <protectedRange password="DD40" sqref="I53:I56" name="Range1_2_1"/>
    <protectedRange password="DD40" sqref="C51:G51 B42:B46 B59:B61 C58:G58 B52:B56 H52 C52:E52 G59:G61 G42 C42:E42" name="Range1_5_1_1"/>
    <protectedRange password="DD40" sqref="K43:K46" name="Range1_4_1_2"/>
    <protectedRange password="DD40" sqref="J43:J46" name="Range1_6_2_2"/>
    <protectedRange password="DD40" sqref="I43:I46" name="Range1_2_1_2"/>
  </protectedRanges>
  <mergeCells count="62">
    <mergeCell ref="G69:L69"/>
    <mergeCell ref="B69:F69"/>
    <mergeCell ref="C46:F46"/>
    <mergeCell ref="C45:F45"/>
    <mergeCell ref="C44:F44"/>
    <mergeCell ref="B59:C59"/>
    <mergeCell ref="B60:C60"/>
    <mergeCell ref="B61:C61"/>
    <mergeCell ref="B64:L64"/>
    <mergeCell ref="B67:L67"/>
    <mergeCell ref="C54:F54"/>
    <mergeCell ref="G54:L54"/>
    <mergeCell ref="C55:F55"/>
    <mergeCell ref="G55:L55"/>
    <mergeCell ref="C56:F56"/>
    <mergeCell ref="G56:L56"/>
    <mergeCell ref="O1:O2"/>
    <mergeCell ref="P1:P2"/>
    <mergeCell ref="B6:L6"/>
    <mergeCell ref="C24:G24"/>
    <mergeCell ref="C25:G25"/>
    <mergeCell ref="D10:L10"/>
    <mergeCell ref="B10:C10"/>
    <mergeCell ref="B9:C9"/>
    <mergeCell ref="E9:L9"/>
    <mergeCell ref="E4:G4"/>
    <mergeCell ref="E3:I3"/>
    <mergeCell ref="B13:C13"/>
    <mergeCell ref="E13:L13"/>
    <mergeCell ref="B18:B19"/>
    <mergeCell ref="C23:G23"/>
    <mergeCell ref="C21:G21"/>
    <mergeCell ref="C22:G22"/>
    <mergeCell ref="B14:C14"/>
    <mergeCell ref="H18:I18"/>
    <mergeCell ref="J18:K18"/>
    <mergeCell ref="L18:L19"/>
    <mergeCell ref="C18:G19"/>
    <mergeCell ref="D14:L14"/>
    <mergeCell ref="C31:G31"/>
    <mergeCell ref="C33:G33"/>
    <mergeCell ref="C34:G34"/>
    <mergeCell ref="C35:G35"/>
    <mergeCell ref="C26:G26"/>
    <mergeCell ref="C28:G28"/>
    <mergeCell ref="C29:G29"/>
    <mergeCell ref="C30:G30"/>
    <mergeCell ref="C53:F53"/>
    <mergeCell ref="G53:L53"/>
    <mergeCell ref="C36:G36"/>
    <mergeCell ref="H42:L42"/>
    <mergeCell ref="H43:L43"/>
    <mergeCell ref="C43:F43"/>
    <mergeCell ref="C42:F42"/>
    <mergeCell ref="H46:L46"/>
    <mergeCell ref="C52:F52"/>
    <mergeCell ref="G52:L52"/>
    <mergeCell ref="H44:L44"/>
    <mergeCell ref="H45:L45"/>
    <mergeCell ref="C38:G38"/>
    <mergeCell ref="C39:G39"/>
    <mergeCell ref="C37:G37"/>
  </mergeCells>
  <conditionalFormatting sqref="H21:I26 H28:I31 H33:I39">
    <cfRule type="cellIs" dxfId="1" priority="2" operator="lessThan">
      <formula>70</formula>
    </cfRule>
  </conditionalFormatting>
  <conditionalFormatting sqref="J21:K26 J28:K31 J33:K39">
    <cfRule type="cellIs" dxfId="0" priority="1" operator="lessThan">
      <formula>70</formula>
    </cfRule>
  </conditionalFormatting>
  <printOptions horizontalCentered="1"/>
  <pageMargins left="0.43307086614173229" right="0.15748031496062992" top="0.47244094488188981" bottom="0.27559055118110237" header="0.23622047244094491" footer="0.23622047244094491"/>
  <pageSetup paperSize="9" orientation="portrait" horizontalDpi="4294967293" verticalDpi="360" r:id="rId1"/>
  <headerFooter>
    <oddHeader>&amp;L&amp;G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87041" r:id="rId5" name="Scroll Bar 1">
              <controlPr defaultSize="0" print="0" autoPict="0">
                <anchor moveWithCells="1" sizeWithCells="1">
                  <from>
                    <xdr:col>13</xdr:col>
                    <xdr:colOff>123825</xdr:colOff>
                    <xdr:row>0</xdr:row>
                    <xdr:rowOff>161925</xdr:rowOff>
                  </from>
                  <to>
                    <xdr:col>14</xdr:col>
                    <xdr:colOff>47625</xdr:colOff>
                    <xdr:row>20</xdr:row>
                    <xdr:rowOff>57150</xdr:rowOff>
                  </to>
                </anchor>
              </controlPr>
            </control>
          </mc:Choice>
        </mc:AlternateContent>
        <mc:AlternateContent xmlns:mc="http://schemas.openxmlformats.org/markup-compatibility/2006">
          <mc:Choice Requires="x14">
            <control shapeId="87042" r:id="rId6" name="Drop Down 2">
              <controlPr defaultSize="0" print="0" autoLine="0" autoPict="0">
                <anchor moveWithCells="1">
                  <from>
                    <xdr:col>14</xdr:col>
                    <xdr:colOff>161925</xdr:colOff>
                    <xdr:row>0</xdr:row>
                    <xdr:rowOff>142875</xdr:rowOff>
                  </from>
                  <to>
                    <xdr:col>17</xdr:col>
                    <xdr:colOff>0</xdr:colOff>
                    <xdr:row>3</xdr:row>
                    <xdr:rowOff>28575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2:P103"/>
  <sheetViews>
    <sheetView topLeftCell="A7" workbookViewId="0">
      <selection activeCell="L15" sqref="L15:P15"/>
    </sheetView>
  </sheetViews>
  <sheetFormatPr defaultRowHeight="15" customHeight="1" x14ac:dyDescent="0.2"/>
  <cols>
    <col min="1" max="1" width="2.85546875" style="3" customWidth="1"/>
    <col min="2" max="2" width="11.7109375" style="3" hidden="1" customWidth="1"/>
    <col min="3" max="3" width="7.7109375" style="3" hidden="1" customWidth="1"/>
    <col min="4" max="5" width="12.7109375" style="3" hidden="1" customWidth="1"/>
    <col min="6" max="6" width="9.140625" style="3" hidden="1" customWidth="1"/>
    <col min="7" max="7" width="9.140625" style="1" hidden="1" customWidth="1"/>
    <col min="8" max="16384" width="9.140625" style="1"/>
  </cols>
  <sheetData>
    <row r="2" spans="2:16" ht="15" customHeight="1" x14ac:dyDescent="0.2">
      <c r="B2" s="702" t="s">
        <v>22</v>
      </c>
      <c r="C2" s="702" t="s">
        <v>23</v>
      </c>
      <c r="D2" s="702" t="s">
        <v>24</v>
      </c>
      <c r="E2" s="702"/>
    </row>
    <row r="3" spans="2:16" ht="15" customHeight="1" x14ac:dyDescent="0.2">
      <c r="B3" s="702"/>
      <c r="C3" s="702"/>
      <c r="D3" s="4" t="s">
        <v>8</v>
      </c>
      <c r="E3" s="4" t="s">
        <v>25</v>
      </c>
    </row>
    <row r="4" spans="2:16" ht="15" customHeight="1" x14ac:dyDescent="0.2">
      <c r="B4" s="4">
        <v>1</v>
      </c>
      <c r="C4" s="4" t="s">
        <v>19</v>
      </c>
      <c r="D4" s="4">
        <v>0.33</v>
      </c>
      <c r="E4" s="4">
        <v>0.33</v>
      </c>
    </row>
    <row r="5" spans="2:16" ht="15" customHeight="1" x14ac:dyDescent="0.2">
      <c r="B5" s="4">
        <v>2</v>
      </c>
      <c r="C5" s="4" t="s">
        <v>19</v>
      </c>
      <c r="D5" s="4">
        <v>0.33</v>
      </c>
      <c r="E5" s="4">
        <v>0.33</v>
      </c>
    </row>
    <row r="6" spans="2:16" ht="15" customHeight="1" x14ac:dyDescent="0.2">
      <c r="B6" s="4">
        <v>3</v>
      </c>
      <c r="C6" s="4" t="s">
        <v>19</v>
      </c>
      <c r="D6" s="4">
        <v>0.33</v>
      </c>
      <c r="E6" s="4">
        <v>0.33</v>
      </c>
    </row>
    <row r="7" spans="2:16" ht="15" customHeight="1" x14ac:dyDescent="0.2">
      <c r="B7" s="4">
        <v>4</v>
      </c>
      <c r="C7" s="4" t="s">
        <v>19</v>
      </c>
      <c r="D7" s="4">
        <v>0.33</v>
      </c>
      <c r="E7" s="4">
        <v>0.33</v>
      </c>
    </row>
    <row r="8" spans="2:16" ht="15" customHeight="1" x14ac:dyDescent="0.2">
      <c r="B8" s="4">
        <v>5</v>
      </c>
      <c r="C8" s="4" t="s">
        <v>19</v>
      </c>
      <c r="D8" s="4">
        <v>0.33</v>
      </c>
      <c r="E8" s="4">
        <v>0.33</v>
      </c>
    </row>
    <row r="9" spans="2:16" ht="15" customHeight="1" x14ac:dyDescent="0.2">
      <c r="B9" s="4">
        <v>6</v>
      </c>
      <c r="C9" s="4" t="s">
        <v>19</v>
      </c>
      <c r="D9" s="4">
        <v>0.33</v>
      </c>
      <c r="E9" s="4">
        <v>0.33</v>
      </c>
    </row>
    <row r="10" spans="2:16" ht="15" customHeight="1" x14ac:dyDescent="0.2">
      <c r="B10" s="4">
        <v>7</v>
      </c>
      <c r="C10" s="4" t="s">
        <v>19</v>
      </c>
      <c r="D10" s="4">
        <v>0.33</v>
      </c>
      <c r="E10" s="4">
        <v>0.33</v>
      </c>
    </row>
    <row r="11" spans="2:16" ht="15" customHeight="1" x14ac:dyDescent="0.2">
      <c r="B11" s="4">
        <v>8</v>
      </c>
      <c r="C11" s="4" t="s">
        <v>19</v>
      </c>
      <c r="D11" s="4">
        <v>0.33</v>
      </c>
      <c r="E11" s="4">
        <v>0.33</v>
      </c>
    </row>
    <row r="12" spans="2:16" ht="40.5" customHeight="1" x14ac:dyDescent="0.2">
      <c r="B12" s="4">
        <v>9</v>
      </c>
      <c r="C12" s="4" t="s">
        <v>19</v>
      </c>
      <c r="D12" s="4">
        <v>0.33</v>
      </c>
      <c r="E12" s="4">
        <v>0.33</v>
      </c>
      <c r="K12" s="2" t="s">
        <v>32</v>
      </c>
    </row>
    <row r="13" spans="2:16" ht="15" customHeight="1" x14ac:dyDescent="0.2">
      <c r="B13" s="4">
        <v>10</v>
      </c>
      <c r="C13" s="4" t="s">
        <v>19</v>
      </c>
      <c r="D13" s="4">
        <v>0.33</v>
      </c>
      <c r="E13" s="4">
        <v>0.33</v>
      </c>
    </row>
    <row r="14" spans="2:16" ht="21" customHeight="1" x14ac:dyDescent="0.2">
      <c r="B14" s="4">
        <v>11</v>
      </c>
      <c r="C14" s="4" t="s">
        <v>19</v>
      </c>
      <c r="D14" s="4">
        <v>0.33</v>
      </c>
      <c r="E14" s="4">
        <v>0.33</v>
      </c>
      <c r="N14" s="5" t="s">
        <v>33</v>
      </c>
    </row>
    <row r="15" spans="2:16" ht="21.75" customHeight="1" x14ac:dyDescent="0.35">
      <c r="B15" s="4">
        <v>12</v>
      </c>
      <c r="C15" s="4" t="s">
        <v>19</v>
      </c>
      <c r="D15" s="4">
        <v>0.33</v>
      </c>
      <c r="E15" s="4">
        <v>0.33</v>
      </c>
      <c r="L15" s="703" t="s">
        <v>34</v>
      </c>
      <c r="M15" s="703"/>
      <c r="N15" s="703"/>
      <c r="O15" s="703"/>
      <c r="P15" s="703"/>
    </row>
    <row r="16" spans="2:16" ht="15" customHeight="1" x14ac:dyDescent="0.2">
      <c r="B16" s="4">
        <v>13</v>
      </c>
      <c r="C16" s="4" t="s">
        <v>19</v>
      </c>
      <c r="D16" s="4">
        <v>0.33</v>
      </c>
      <c r="E16" s="4">
        <v>0.33</v>
      </c>
    </row>
    <row r="17" spans="2:5" ht="15" customHeight="1" x14ac:dyDescent="0.2">
      <c r="B17" s="4">
        <v>14</v>
      </c>
      <c r="C17" s="4" t="s">
        <v>19</v>
      </c>
      <c r="D17" s="4">
        <v>0.33</v>
      </c>
      <c r="E17" s="4">
        <v>0.33</v>
      </c>
    </row>
    <row r="18" spans="2:5" ht="15" customHeight="1" x14ac:dyDescent="0.2">
      <c r="B18" s="4">
        <v>15</v>
      </c>
      <c r="C18" s="4" t="s">
        <v>19</v>
      </c>
      <c r="D18" s="4">
        <v>0.33</v>
      </c>
      <c r="E18" s="4">
        <v>0.33</v>
      </c>
    </row>
    <row r="19" spans="2:5" ht="15" customHeight="1" x14ac:dyDescent="0.2">
      <c r="B19" s="4">
        <v>16</v>
      </c>
      <c r="C19" s="4" t="s">
        <v>19</v>
      </c>
      <c r="D19" s="4">
        <v>0.33</v>
      </c>
      <c r="E19" s="4">
        <v>0.33</v>
      </c>
    </row>
    <row r="20" spans="2:5" ht="15" customHeight="1" x14ac:dyDescent="0.2">
      <c r="B20" s="4">
        <v>17</v>
      </c>
      <c r="C20" s="4" t="s">
        <v>19</v>
      </c>
      <c r="D20" s="4">
        <v>0.33</v>
      </c>
      <c r="E20" s="4">
        <v>0.33</v>
      </c>
    </row>
    <row r="21" spans="2:5" ht="15" customHeight="1" x14ac:dyDescent="0.2">
      <c r="B21" s="4">
        <v>18</v>
      </c>
      <c r="C21" s="4" t="s">
        <v>19</v>
      </c>
      <c r="D21" s="4">
        <v>0.33</v>
      </c>
      <c r="E21" s="4">
        <v>0.33</v>
      </c>
    </row>
    <row r="22" spans="2:5" ht="15" customHeight="1" x14ac:dyDescent="0.2">
      <c r="B22" s="4">
        <v>19</v>
      </c>
      <c r="C22" s="4" t="s">
        <v>19</v>
      </c>
      <c r="D22" s="4">
        <v>0.33</v>
      </c>
      <c r="E22" s="4">
        <v>0.33</v>
      </c>
    </row>
    <row r="23" spans="2:5" ht="15" customHeight="1" x14ac:dyDescent="0.2">
      <c r="B23" s="4">
        <v>20</v>
      </c>
      <c r="C23" s="4" t="s">
        <v>19</v>
      </c>
      <c r="D23" s="4">
        <v>0.33</v>
      </c>
      <c r="E23" s="4">
        <v>0.33</v>
      </c>
    </row>
    <row r="24" spans="2:5" ht="15" customHeight="1" x14ac:dyDescent="0.2">
      <c r="B24" s="4">
        <v>21</v>
      </c>
      <c r="C24" s="4" t="s">
        <v>19</v>
      </c>
      <c r="D24" s="4">
        <v>0.33</v>
      </c>
      <c r="E24" s="4">
        <v>0.33</v>
      </c>
    </row>
    <row r="25" spans="2:5" ht="15" customHeight="1" x14ac:dyDescent="0.2">
      <c r="B25" s="4">
        <v>22</v>
      </c>
      <c r="C25" s="4" t="s">
        <v>19</v>
      </c>
      <c r="D25" s="4">
        <v>0.33</v>
      </c>
      <c r="E25" s="4">
        <v>0.33</v>
      </c>
    </row>
    <row r="26" spans="2:5" ht="15" customHeight="1" x14ac:dyDescent="0.2">
      <c r="B26" s="4">
        <v>23</v>
      </c>
      <c r="C26" s="4" t="s">
        <v>19</v>
      </c>
      <c r="D26" s="4">
        <v>0.33</v>
      </c>
      <c r="E26" s="4">
        <v>0.33</v>
      </c>
    </row>
    <row r="27" spans="2:5" ht="15" customHeight="1" x14ac:dyDescent="0.2">
      <c r="B27" s="4">
        <v>24</v>
      </c>
      <c r="C27" s="4" t="s">
        <v>19</v>
      </c>
      <c r="D27" s="4">
        <v>0.33</v>
      </c>
      <c r="E27" s="4">
        <v>0.33</v>
      </c>
    </row>
    <row r="28" spans="2:5" ht="15" customHeight="1" x14ac:dyDescent="0.2">
      <c r="B28" s="4">
        <v>25</v>
      </c>
      <c r="C28" s="4" t="s">
        <v>19</v>
      </c>
      <c r="D28" s="4">
        <v>0.33</v>
      </c>
      <c r="E28" s="4">
        <v>0.33</v>
      </c>
    </row>
    <row r="29" spans="2:5" ht="15" customHeight="1" x14ac:dyDescent="0.2">
      <c r="B29" s="4">
        <v>26</v>
      </c>
      <c r="C29" s="4" t="s">
        <v>19</v>
      </c>
      <c r="D29" s="4">
        <v>0.33</v>
      </c>
      <c r="E29" s="4">
        <v>0.33</v>
      </c>
    </row>
    <row r="30" spans="2:5" ht="15" customHeight="1" x14ac:dyDescent="0.2">
      <c r="B30" s="4">
        <v>27</v>
      </c>
      <c r="C30" s="4" t="s">
        <v>19</v>
      </c>
      <c r="D30" s="4">
        <v>0.33</v>
      </c>
      <c r="E30" s="4">
        <v>0.33</v>
      </c>
    </row>
    <row r="31" spans="2:5" ht="15" customHeight="1" x14ac:dyDescent="0.2">
      <c r="B31" s="4">
        <v>28</v>
      </c>
      <c r="C31" s="4" t="s">
        <v>19</v>
      </c>
      <c r="D31" s="4">
        <v>0.33</v>
      </c>
      <c r="E31" s="4">
        <v>0.33</v>
      </c>
    </row>
    <row r="32" spans="2:5" ht="15" customHeight="1" x14ac:dyDescent="0.2">
      <c r="B32" s="4">
        <v>29</v>
      </c>
      <c r="C32" s="4" t="s">
        <v>19</v>
      </c>
      <c r="D32" s="4">
        <v>0.33</v>
      </c>
      <c r="E32" s="4">
        <v>0.33</v>
      </c>
    </row>
    <row r="33" spans="2:5" ht="15" customHeight="1" x14ac:dyDescent="0.2">
      <c r="B33" s="4">
        <v>30</v>
      </c>
      <c r="C33" s="4" t="s">
        <v>19</v>
      </c>
      <c r="D33" s="4">
        <v>0.33</v>
      </c>
      <c r="E33" s="4">
        <v>0.33</v>
      </c>
    </row>
    <row r="34" spans="2:5" ht="15" customHeight="1" x14ac:dyDescent="0.2">
      <c r="B34" s="4">
        <v>31</v>
      </c>
      <c r="C34" s="4" t="s">
        <v>19</v>
      </c>
      <c r="D34" s="4">
        <v>0.33</v>
      </c>
      <c r="E34" s="4">
        <v>0.33</v>
      </c>
    </row>
    <row r="35" spans="2:5" ht="15" customHeight="1" x14ac:dyDescent="0.2">
      <c r="B35" s="4">
        <v>32</v>
      </c>
      <c r="C35" s="4" t="s">
        <v>19</v>
      </c>
      <c r="D35" s="4">
        <v>0.33</v>
      </c>
      <c r="E35" s="4">
        <v>0.33</v>
      </c>
    </row>
    <row r="36" spans="2:5" ht="15" customHeight="1" x14ac:dyDescent="0.2">
      <c r="B36" s="4">
        <v>33</v>
      </c>
      <c r="C36" s="4" t="s">
        <v>19</v>
      </c>
      <c r="D36" s="4">
        <v>0.33</v>
      </c>
      <c r="E36" s="4">
        <v>0.33</v>
      </c>
    </row>
    <row r="37" spans="2:5" ht="15" customHeight="1" x14ac:dyDescent="0.2">
      <c r="B37" s="4">
        <v>34</v>
      </c>
      <c r="C37" s="4" t="s">
        <v>19</v>
      </c>
      <c r="D37" s="4">
        <v>0.33</v>
      </c>
      <c r="E37" s="4">
        <v>0.33</v>
      </c>
    </row>
    <row r="38" spans="2:5" ht="15" customHeight="1" x14ac:dyDescent="0.2">
      <c r="B38" s="4">
        <v>35</v>
      </c>
      <c r="C38" s="4" t="s">
        <v>19</v>
      </c>
      <c r="D38" s="4">
        <v>0.33</v>
      </c>
      <c r="E38" s="4">
        <v>0.33</v>
      </c>
    </row>
    <row r="39" spans="2:5" ht="15" customHeight="1" x14ac:dyDescent="0.2">
      <c r="B39" s="4">
        <v>36</v>
      </c>
      <c r="C39" s="4" t="s">
        <v>19</v>
      </c>
      <c r="D39" s="4">
        <v>0.33</v>
      </c>
      <c r="E39" s="4">
        <v>0.33</v>
      </c>
    </row>
    <row r="40" spans="2:5" ht="15" customHeight="1" x14ac:dyDescent="0.2">
      <c r="B40" s="4">
        <v>37</v>
      </c>
      <c r="C40" s="4" t="s">
        <v>19</v>
      </c>
      <c r="D40" s="4">
        <v>0.33</v>
      </c>
      <c r="E40" s="4">
        <v>0.33</v>
      </c>
    </row>
    <row r="41" spans="2:5" ht="15" customHeight="1" x14ac:dyDescent="0.2">
      <c r="B41" s="4">
        <v>38</v>
      </c>
      <c r="C41" s="4" t="s">
        <v>19</v>
      </c>
      <c r="D41" s="4">
        <v>0.33</v>
      </c>
      <c r="E41" s="4">
        <v>0.33</v>
      </c>
    </row>
    <row r="42" spans="2:5" ht="15" customHeight="1" x14ac:dyDescent="0.2">
      <c r="B42" s="4">
        <v>39</v>
      </c>
      <c r="C42" s="4" t="s">
        <v>19</v>
      </c>
      <c r="D42" s="4">
        <v>0.33</v>
      </c>
      <c r="E42" s="4">
        <v>0.33</v>
      </c>
    </row>
    <row r="43" spans="2:5" ht="15" customHeight="1" x14ac:dyDescent="0.2">
      <c r="B43" s="4">
        <v>40</v>
      </c>
      <c r="C43" s="4" t="s">
        <v>19</v>
      </c>
      <c r="D43" s="4">
        <v>0.33</v>
      </c>
      <c r="E43" s="4">
        <v>0.33</v>
      </c>
    </row>
    <row r="44" spans="2:5" ht="15" customHeight="1" x14ac:dyDescent="0.2">
      <c r="B44" s="4">
        <v>41</v>
      </c>
      <c r="C44" s="4" t="s">
        <v>19</v>
      </c>
      <c r="D44" s="4">
        <v>0.67</v>
      </c>
      <c r="E44" s="4">
        <v>0.67</v>
      </c>
    </row>
    <row r="45" spans="2:5" ht="15" customHeight="1" x14ac:dyDescent="0.2">
      <c r="B45" s="4">
        <v>42</v>
      </c>
      <c r="C45" s="4" t="s">
        <v>19</v>
      </c>
      <c r="D45" s="4">
        <v>0.67</v>
      </c>
      <c r="E45" s="4">
        <v>0.67</v>
      </c>
    </row>
    <row r="46" spans="2:5" ht="15" customHeight="1" x14ac:dyDescent="0.2">
      <c r="B46" s="4">
        <v>43</v>
      </c>
      <c r="C46" s="4" t="s">
        <v>19</v>
      </c>
      <c r="D46" s="4">
        <v>0.67</v>
      </c>
      <c r="E46" s="4">
        <v>0.67</v>
      </c>
    </row>
    <row r="47" spans="2:5" ht="15" customHeight="1" x14ac:dyDescent="0.2">
      <c r="B47" s="4">
        <v>44</v>
      </c>
      <c r="C47" s="4" t="s">
        <v>19</v>
      </c>
      <c r="D47" s="4">
        <v>0.67</v>
      </c>
      <c r="E47" s="4">
        <v>0.67</v>
      </c>
    </row>
    <row r="48" spans="2:5" ht="15" customHeight="1" x14ac:dyDescent="0.2">
      <c r="B48" s="4">
        <v>45</v>
      </c>
      <c r="C48" s="4" t="s">
        <v>19</v>
      </c>
      <c r="D48" s="4">
        <v>0.67</v>
      </c>
      <c r="E48" s="4">
        <v>0.67</v>
      </c>
    </row>
    <row r="49" spans="2:5" ht="15" customHeight="1" x14ac:dyDescent="0.2">
      <c r="B49" s="4">
        <v>46</v>
      </c>
      <c r="C49" s="4" t="s">
        <v>19</v>
      </c>
      <c r="D49" s="4">
        <v>0.67</v>
      </c>
      <c r="E49" s="4">
        <v>0.67</v>
      </c>
    </row>
    <row r="50" spans="2:5" ht="15" customHeight="1" x14ac:dyDescent="0.2">
      <c r="B50" s="4">
        <v>47</v>
      </c>
      <c r="C50" s="4" t="s">
        <v>19</v>
      </c>
      <c r="D50" s="4">
        <v>0.67</v>
      </c>
      <c r="E50" s="4">
        <v>0.67</v>
      </c>
    </row>
    <row r="51" spans="2:5" ht="15" customHeight="1" x14ac:dyDescent="0.2">
      <c r="B51" s="4">
        <v>48</v>
      </c>
      <c r="C51" s="4" t="s">
        <v>19</v>
      </c>
      <c r="D51" s="4">
        <v>0.67</v>
      </c>
      <c r="E51" s="4">
        <v>0.67</v>
      </c>
    </row>
    <row r="52" spans="2:5" ht="15" customHeight="1" x14ac:dyDescent="0.2">
      <c r="B52" s="4">
        <v>49</v>
      </c>
      <c r="C52" s="4" t="s">
        <v>19</v>
      </c>
      <c r="D52" s="4">
        <v>0.67</v>
      </c>
      <c r="E52" s="4">
        <v>0.67</v>
      </c>
    </row>
    <row r="53" spans="2:5" ht="15" customHeight="1" x14ac:dyDescent="0.2">
      <c r="B53" s="4">
        <v>50</v>
      </c>
      <c r="C53" s="4" t="s">
        <v>19</v>
      </c>
      <c r="D53" s="4">
        <v>0.67</v>
      </c>
      <c r="E53" s="4">
        <v>0.67</v>
      </c>
    </row>
    <row r="54" spans="2:5" ht="15" customHeight="1" x14ac:dyDescent="0.2">
      <c r="B54" s="4">
        <v>51</v>
      </c>
      <c r="C54" s="4" t="s">
        <v>19</v>
      </c>
      <c r="D54" s="4">
        <v>1</v>
      </c>
      <c r="E54" s="4">
        <v>1</v>
      </c>
    </row>
    <row r="55" spans="2:5" ht="15" customHeight="1" x14ac:dyDescent="0.2">
      <c r="B55" s="4">
        <v>52</v>
      </c>
      <c r="C55" s="4" t="s">
        <v>19</v>
      </c>
      <c r="D55" s="4">
        <v>1</v>
      </c>
      <c r="E55" s="4">
        <v>1</v>
      </c>
    </row>
    <row r="56" spans="2:5" ht="15" customHeight="1" x14ac:dyDescent="0.2">
      <c r="B56" s="4">
        <v>53</v>
      </c>
      <c r="C56" s="4" t="s">
        <v>19</v>
      </c>
      <c r="D56" s="4">
        <v>1</v>
      </c>
      <c r="E56" s="4">
        <v>1</v>
      </c>
    </row>
    <row r="57" spans="2:5" ht="15" customHeight="1" x14ac:dyDescent="0.2">
      <c r="B57" s="4">
        <v>54</v>
      </c>
      <c r="C57" s="4" t="s">
        <v>19</v>
      </c>
      <c r="D57" s="4">
        <v>1</v>
      </c>
      <c r="E57" s="4">
        <v>1</v>
      </c>
    </row>
    <row r="58" spans="2:5" ht="15" customHeight="1" x14ac:dyDescent="0.2">
      <c r="B58" s="4">
        <v>55</v>
      </c>
      <c r="C58" s="4" t="s">
        <v>19</v>
      </c>
      <c r="D58" s="4">
        <v>1</v>
      </c>
      <c r="E58" s="4">
        <v>1</v>
      </c>
    </row>
    <row r="59" spans="2:5" ht="15" customHeight="1" x14ac:dyDescent="0.2">
      <c r="B59" s="4">
        <v>56</v>
      </c>
      <c r="C59" s="4" t="s">
        <v>26</v>
      </c>
      <c r="D59" s="4">
        <v>1.33</v>
      </c>
      <c r="E59" s="4">
        <v>1.33</v>
      </c>
    </row>
    <row r="60" spans="2:5" ht="15" customHeight="1" x14ac:dyDescent="0.2">
      <c r="B60" s="4">
        <v>57</v>
      </c>
      <c r="C60" s="4" t="s">
        <v>26</v>
      </c>
      <c r="D60" s="4">
        <v>1.33</v>
      </c>
      <c r="E60" s="4">
        <v>1.33</v>
      </c>
    </row>
    <row r="61" spans="2:5" ht="15" customHeight="1" x14ac:dyDescent="0.2">
      <c r="B61" s="4">
        <v>58</v>
      </c>
      <c r="C61" s="4" t="s">
        <v>26</v>
      </c>
      <c r="D61" s="4">
        <v>1.33</v>
      </c>
      <c r="E61" s="4">
        <v>1.33</v>
      </c>
    </row>
    <row r="62" spans="2:5" ht="15" customHeight="1" x14ac:dyDescent="0.2">
      <c r="B62" s="4">
        <v>59</v>
      </c>
      <c r="C62" s="4" t="s">
        <v>26</v>
      </c>
      <c r="D62" s="4">
        <v>1.33</v>
      </c>
      <c r="E62" s="4">
        <v>1.33</v>
      </c>
    </row>
    <row r="63" spans="2:5" ht="15" customHeight="1" x14ac:dyDescent="0.2">
      <c r="B63" s="4">
        <v>60</v>
      </c>
      <c r="C63" s="4" t="s">
        <v>26</v>
      </c>
      <c r="D63" s="4">
        <v>1.33</v>
      </c>
      <c r="E63" s="4">
        <v>1.33</v>
      </c>
    </row>
    <row r="64" spans="2:5" ht="15" customHeight="1" x14ac:dyDescent="0.2">
      <c r="B64" s="4">
        <v>61</v>
      </c>
      <c r="C64" s="4" t="s">
        <v>27</v>
      </c>
      <c r="D64" s="4">
        <v>1.67</v>
      </c>
      <c r="E64" s="4">
        <v>1.67</v>
      </c>
    </row>
    <row r="65" spans="2:5" ht="15" customHeight="1" x14ac:dyDescent="0.2">
      <c r="B65" s="4">
        <v>62</v>
      </c>
      <c r="C65" s="4" t="s">
        <v>27</v>
      </c>
      <c r="D65" s="4">
        <v>1.67</v>
      </c>
      <c r="E65" s="4">
        <v>1.67</v>
      </c>
    </row>
    <row r="66" spans="2:5" ht="15" customHeight="1" x14ac:dyDescent="0.2">
      <c r="B66" s="4">
        <v>63</v>
      </c>
      <c r="C66" s="4" t="s">
        <v>27</v>
      </c>
      <c r="D66" s="4">
        <v>1.67</v>
      </c>
      <c r="E66" s="4">
        <v>1.67</v>
      </c>
    </row>
    <row r="67" spans="2:5" ht="15" customHeight="1" x14ac:dyDescent="0.2">
      <c r="B67" s="4">
        <v>64</v>
      </c>
      <c r="C67" s="4" t="s">
        <v>27</v>
      </c>
      <c r="D67" s="4">
        <v>1.67</v>
      </c>
      <c r="E67" s="4">
        <v>1.67</v>
      </c>
    </row>
    <row r="68" spans="2:5" ht="15" customHeight="1" x14ac:dyDescent="0.2">
      <c r="B68" s="4">
        <v>65</v>
      </c>
      <c r="C68" s="4" t="s">
        <v>27</v>
      </c>
      <c r="D68" s="4">
        <v>1.67</v>
      </c>
      <c r="E68" s="4">
        <v>1.67</v>
      </c>
    </row>
    <row r="69" spans="2:5" ht="15" customHeight="1" x14ac:dyDescent="0.2">
      <c r="B69" s="4">
        <v>66</v>
      </c>
      <c r="C69" s="4" t="s">
        <v>18</v>
      </c>
      <c r="D69" s="4">
        <v>2</v>
      </c>
      <c r="E69" s="4">
        <v>2</v>
      </c>
    </row>
    <row r="70" spans="2:5" ht="15" customHeight="1" x14ac:dyDescent="0.2">
      <c r="B70" s="4">
        <v>67</v>
      </c>
      <c r="C70" s="4" t="s">
        <v>18</v>
      </c>
      <c r="D70" s="4">
        <v>2</v>
      </c>
      <c r="E70" s="4">
        <v>2</v>
      </c>
    </row>
    <row r="71" spans="2:5" ht="15" customHeight="1" x14ac:dyDescent="0.2">
      <c r="B71" s="4">
        <v>68</v>
      </c>
      <c r="C71" s="4" t="s">
        <v>18</v>
      </c>
      <c r="D71" s="4">
        <v>2</v>
      </c>
      <c r="E71" s="4">
        <v>2</v>
      </c>
    </row>
    <row r="72" spans="2:5" ht="15" customHeight="1" x14ac:dyDescent="0.2">
      <c r="B72" s="4">
        <v>69</v>
      </c>
      <c r="C72" s="4" t="s">
        <v>18</v>
      </c>
      <c r="D72" s="4">
        <v>2</v>
      </c>
      <c r="E72" s="4">
        <v>2</v>
      </c>
    </row>
    <row r="73" spans="2:5" ht="15" customHeight="1" x14ac:dyDescent="0.2">
      <c r="B73" s="4">
        <v>70</v>
      </c>
      <c r="C73" s="4" t="s">
        <v>18</v>
      </c>
      <c r="D73" s="4">
        <v>2</v>
      </c>
      <c r="E73" s="4">
        <v>2</v>
      </c>
    </row>
    <row r="74" spans="2:5" ht="15" customHeight="1" x14ac:dyDescent="0.2">
      <c r="B74" s="4">
        <v>71</v>
      </c>
      <c r="C74" s="4" t="s">
        <v>28</v>
      </c>
      <c r="D74" s="4">
        <v>2.33</v>
      </c>
      <c r="E74" s="4">
        <v>2.33</v>
      </c>
    </row>
    <row r="75" spans="2:5" ht="15" customHeight="1" x14ac:dyDescent="0.2">
      <c r="B75" s="4">
        <v>72</v>
      </c>
      <c r="C75" s="4" t="s">
        <v>28</v>
      </c>
      <c r="D75" s="4">
        <v>2.33</v>
      </c>
      <c r="E75" s="4">
        <v>2.33</v>
      </c>
    </row>
    <row r="76" spans="2:5" ht="15" customHeight="1" x14ac:dyDescent="0.2">
      <c r="B76" s="4">
        <v>73</v>
      </c>
      <c r="C76" s="4" t="s">
        <v>28</v>
      </c>
      <c r="D76" s="4">
        <v>2.33</v>
      </c>
      <c r="E76" s="4">
        <v>2.33</v>
      </c>
    </row>
    <row r="77" spans="2:5" ht="15" customHeight="1" x14ac:dyDescent="0.2">
      <c r="B77" s="4">
        <v>74</v>
      </c>
      <c r="C77" s="4" t="s">
        <v>28</v>
      </c>
      <c r="D77" s="4">
        <v>2.33</v>
      </c>
      <c r="E77" s="4">
        <v>2.33</v>
      </c>
    </row>
    <row r="78" spans="2:5" ht="15" customHeight="1" x14ac:dyDescent="0.2">
      <c r="B78" s="4">
        <v>75</v>
      </c>
      <c r="C78" s="4" t="s">
        <v>28</v>
      </c>
      <c r="D78" s="4">
        <v>2.33</v>
      </c>
      <c r="E78" s="4">
        <v>2.33</v>
      </c>
    </row>
    <row r="79" spans="2:5" ht="15" customHeight="1" x14ac:dyDescent="0.2">
      <c r="B79" s="4">
        <v>76</v>
      </c>
      <c r="C79" s="4" t="s">
        <v>29</v>
      </c>
      <c r="D79" s="4">
        <v>2.67</v>
      </c>
      <c r="E79" s="4">
        <v>2.67</v>
      </c>
    </row>
    <row r="80" spans="2:5" ht="15" customHeight="1" x14ac:dyDescent="0.2">
      <c r="B80" s="4">
        <v>77</v>
      </c>
      <c r="C80" s="4" t="s">
        <v>29</v>
      </c>
      <c r="D80" s="4">
        <v>2.67</v>
      </c>
      <c r="E80" s="4">
        <v>2.67</v>
      </c>
    </row>
    <row r="81" spans="2:5" ht="15" customHeight="1" x14ac:dyDescent="0.2">
      <c r="B81" s="4">
        <v>78</v>
      </c>
      <c r="C81" s="4" t="s">
        <v>29</v>
      </c>
      <c r="D81" s="4">
        <v>2.67</v>
      </c>
      <c r="E81" s="4">
        <v>2.67</v>
      </c>
    </row>
    <row r="82" spans="2:5" ht="15" customHeight="1" x14ac:dyDescent="0.2">
      <c r="B82" s="4">
        <v>79</v>
      </c>
      <c r="C82" s="4" t="s">
        <v>29</v>
      </c>
      <c r="D82" s="4">
        <v>2.67</v>
      </c>
      <c r="E82" s="4">
        <v>2.67</v>
      </c>
    </row>
    <row r="83" spans="2:5" ht="15" customHeight="1" x14ac:dyDescent="0.2">
      <c r="B83" s="4">
        <v>80</v>
      </c>
      <c r="C83" s="4" t="s">
        <v>29</v>
      </c>
      <c r="D83" s="4">
        <v>2.67</v>
      </c>
      <c r="E83" s="4">
        <v>2.67</v>
      </c>
    </row>
    <row r="84" spans="2:5" ht="15" customHeight="1" x14ac:dyDescent="0.2">
      <c r="B84" s="4">
        <v>81</v>
      </c>
      <c r="C84" s="4" t="s">
        <v>6</v>
      </c>
      <c r="D84" s="4">
        <v>3</v>
      </c>
      <c r="E84" s="4">
        <v>3</v>
      </c>
    </row>
    <row r="85" spans="2:5" ht="15" customHeight="1" x14ac:dyDescent="0.2">
      <c r="B85" s="4">
        <v>82</v>
      </c>
      <c r="C85" s="4" t="s">
        <v>6</v>
      </c>
      <c r="D85" s="4">
        <v>3</v>
      </c>
      <c r="E85" s="4">
        <v>3</v>
      </c>
    </row>
    <row r="86" spans="2:5" ht="15" customHeight="1" x14ac:dyDescent="0.2">
      <c r="B86" s="4">
        <v>83</v>
      </c>
      <c r="C86" s="4" t="s">
        <v>6</v>
      </c>
      <c r="D86" s="4">
        <v>3</v>
      </c>
      <c r="E86" s="4">
        <v>3</v>
      </c>
    </row>
    <row r="87" spans="2:5" ht="15" customHeight="1" x14ac:dyDescent="0.2">
      <c r="B87" s="4">
        <v>84</v>
      </c>
      <c r="C87" s="4" t="s">
        <v>6</v>
      </c>
      <c r="D87" s="4">
        <v>3</v>
      </c>
      <c r="E87" s="4">
        <v>3</v>
      </c>
    </row>
    <row r="88" spans="2:5" ht="15" customHeight="1" x14ac:dyDescent="0.2">
      <c r="B88" s="4">
        <v>85</v>
      </c>
      <c r="C88" s="4" t="s">
        <v>6</v>
      </c>
      <c r="D88" s="4">
        <v>3</v>
      </c>
      <c r="E88" s="4">
        <v>3</v>
      </c>
    </row>
    <row r="89" spans="2:5" ht="15" customHeight="1" x14ac:dyDescent="0.2">
      <c r="B89" s="4">
        <v>86</v>
      </c>
      <c r="C89" s="4" t="s">
        <v>30</v>
      </c>
      <c r="D89" s="4">
        <v>3.33</v>
      </c>
      <c r="E89" s="4">
        <v>3.33</v>
      </c>
    </row>
    <row r="90" spans="2:5" ht="15" customHeight="1" x14ac:dyDescent="0.2">
      <c r="B90" s="4">
        <v>87</v>
      </c>
      <c r="C90" s="4" t="s">
        <v>30</v>
      </c>
      <c r="D90" s="4">
        <v>3.33</v>
      </c>
      <c r="E90" s="4">
        <v>3.33</v>
      </c>
    </row>
    <row r="91" spans="2:5" ht="15" customHeight="1" x14ac:dyDescent="0.2">
      <c r="B91" s="4">
        <v>88</v>
      </c>
      <c r="C91" s="4" t="s">
        <v>30</v>
      </c>
      <c r="D91" s="4">
        <v>3.33</v>
      </c>
      <c r="E91" s="4">
        <v>3.33</v>
      </c>
    </row>
    <row r="92" spans="2:5" ht="15" customHeight="1" x14ac:dyDescent="0.2">
      <c r="B92" s="4">
        <v>89</v>
      </c>
      <c r="C92" s="4" t="s">
        <v>30</v>
      </c>
      <c r="D92" s="4">
        <v>3.33</v>
      </c>
      <c r="E92" s="4">
        <v>3.33</v>
      </c>
    </row>
    <row r="93" spans="2:5" ht="15" customHeight="1" x14ac:dyDescent="0.2">
      <c r="B93" s="4">
        <v>90</v>
      </c>
      <c r="C93" s="4" t="s">
        <v>30</v>
      </c>
      <c r="D93" s="4">
        <v>3.33</v>
      </c>
      <c r="E93" s="4">
        <v>3.33</v>
      </c>
    </row>
    <row r="94" spans="2:5" ht="15" customHeight="1" x14ac:dyDescent="0.2">
      <c r="B94" s="4">
        <v>91</v>
      </c>
      <c r="C94" s="4" t="s">
        <v>31</v>
      </c>
      <c r="D94" s="4">
        <v>3.67</v>
      </c>
      <c r="E94" s="4">
        <v>3.67</v>
      </c>
    </row>
    <row r="95" spans="2:5" ht="15" customHeight="1" x14ac:dyDescent="0.2">
      <c r="B95" s="4">
        <v>92</v>
      </c>
      <c r="C95" s="4" t="s">
        <v>31</v>
      </c>
      <c r="D95" s="4">
        <v>3.67</v>
      </c>
      <c r="E95" s="4">
        <v>3.67</v>
      </c>
    </row>
    <row r="96" spans="2:5" ht="15" customHeight="1" x14ac:dyDescent="0.2">
      <c r="B96" s="4">
        <v>93</v>
      </c>
      <c r="C96" s="4" t="s">
        <v>31</v>
      </c>
      <c r="D96" s="4">
        <v>3.67</v>
      </c>
      <c r="E96" s="4">
        <v>3.67</v>
      </c>
    </row>
    <row r="97" spans="2:5" ht="15" customHeight="1" x14ac:dyDescent="0.2">
      <c r="B97" s="4">
        <v>94</v>
      </c>
      <c r="C97" s="4" t="s">
        <v>31</v>
      </c>
      <c r="D97" s="4">
        <v>3.67</v>
      </c>
      <c r="E97" s="4">
        <v>3.67</v>
      </c>
    </row>
    <row r="98" spans="2:5" ht="15" customHeight="1" x14ac:dyDescent="0.2">
      <c r="B98" s="4">
        <v>95</v>
      </c>
      <c r="C98" s="4" t="s">
        <v>31</v>
      </c>
      <c r="D98" s="4">
        <v>3.67</v>
      </c>
      <c r="E98" s="4">
        <v>3.67</v>
      </c>
    </row>
    <row r="99" spans="2:5" ht="15" customHeight="1" x14ac:dyDescent="0.2">
      <c r="B99" s="4">
        <v>96</v>
      </c>
      <c r="C99" s="4" t="s">
        <v>7</v>
      </c>
      <c r="D99" s="4">
        <v>4</v>
      </c>
      <c r="E99" s="4">
        <v>4</v>
      </c>
    </row>
    <row r="100" spans="2:5" ht="15" customHeight="1" x14ac:dyDescent="0.2">
      <c r="B100" s="4">
        <v>97</v>
      </c>
      <c r="C100" s="4" t="s">
        <v>7</v>
      </c>
      <c r="D100" s="4">
        <v>4</v>
      </c>
      <c r="E100" s="4">
        <v>4</v>
      </c>
    </row>
    <row r="101" spans="2:5" ht="15" customHeight="1" x14ac:dyDescent="0.2">
      <c r="B101" s="4">
        <v>98</v>
      </c>
      <c r="C101" s="4" t="s">
        <v>7</v>
      </c>
      <c r="D101" s="4">
        <v>4</v>
      </c>
      <c r="E101" s="4">
        <v>4</v>
      </c>
    </row>
    <row r="102" spans="2:5" ht="15" customHeight="1" x14ac:dyDescent="0.2">
      <c r="B102" s="4">
        <v>99</v>
      </c>
      <c r="C102" s="4" t="s">
        <v>7</v>
      </c>
      <c r="D102" s="4">
        <v>4</v>
      </c>
      <c r="E102" s="4">
        <v>4</v>
      </c>
    </row>
    <row r="103" spans="2:5" ht="15" customHeight="1" x14ac:dyDescent="0.2">
      <c r="B103" s="4">
        <v>100</v>
      </c>
      <c r="C103" s="4" t="s">
        <v>7</v>
      </c>
      <c r="D103" s="4">
        <v>4</v>
      </c>
      <c r="E103" s="4">
        <v>4</v>
      </c>
    </row>
  </sheetData>
  <sheetProtection password="B974" sheet="1" objects="1" scenarios="1"/>
  <mergeCells count="4">
    <mergeCell ref="B2:B3"/>
    <mergeCell ref="C2:C3"/>
    <mergeCell ref="D2:E2"/>
    <mergeCell ref="L15:P15"/>
  </mergeCells>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enableFormatConditionsCalculation="0">
    <tabColor rgb="FF00B050"/>
  </sheetPr>
  <dimension ref="A1:P45"/>
  <sheetViews>
    <sheetView showGridLines="0" topLeftCell="A17" zoomScaleNormal="100" zoomScaleSheetLayoutView="100" workbookViewId="0"/>
  </sheetViews>
  <sheetFormatPr defaultRowHeight="12.75" x14ac:dyDescent="0.2"/>
  <cols>
    <col min="1" max="2" width="9.140625" style="123" customWidth="1"/>
    <col min="3" max="8" width="9.140625" style="123"/>
    <col min="9" max="10" width="9.140625" style="123" customWidth="1"/>
    <col min="11" max="11" width="9.140625" style="130"/>
    <col min="12" max="14" width="9.140625" style="124"/>
    <col min="15" max="15" width="7.7109375" style="124" customWidth="1"/>
    <col min="16" max="16" width="9.140625" style="124" customWidth="1"/>
    <col min="17" max="16384" width="9.140625" style="6"/>
  </cols>
  <sheetData>
    <row r="1" spans="1:16" ht="16.5" x14ac:dyDescent="0.3">
      <c r="A1" s="118"/>
      <c r="B1" s="129"/>
      <c r="C1" s="118"/>
      <c r="D1" s="118"/>
      <c r="E1" s="118"/>
      <c r="F1" s="118"/>
      <c r="G1" s="118"/>
      <c r="H1" s="118"/>
      <c r="I1" s="118"/>
      <c r="J1" s="118"/>
      <c r="P1" s="124">
        <v>4</v>
      </c>
    </row>
    <row r="2" spans="1:16" ht="16.5" x14ac:dyDescent="0.3">
      <c r="A2" s="118"/>
      <c r="B2" s="129"/>
      <c r="C2" s="118"/>
      <c r="D2" s="118"/>
      <c r="E2" s="118"/>
      <c r="F2" s="118"/>
      <c r="G2" s="118"/>
      <c r="H2" s="118"/>
      <c r="I2" s="118"/>
      <c r="J2" s="118"/>
    </row>
    <row r="3" spans="1:16" ht="16.5" x14ac:dyDescent="0.3">
      <c r="A3" s="118"/>
      <c r="B3" s="129"/>
      <c r="C3" s="118"/>
      <c r="D3" s="118"/>
      <c r="E3" s="118"/>
      <c r="F3" s="118"/>
      <c r="G3" s="118"/>
      <c r="H3" s="118"/>
      <c r="I3" s="118"/>
      <c r="J3" s="118"/>
    </row>
    <row r="4" spans="1:16" ht="16.5" x14ac:dyDescent="0.3">
      <c r="A4" s="118"/>
      <c r="B4" s="129"/>
      <c r="C4" s="118"/>
      <c r="D4" s="118"/>
      <c r="E4" s="118"/>
      <c r="F4" s="118"/>
      <c r="G4" s="118"/>
      <c r="H4" s="118"/>
      <c r="I4" s="118"/>
      <c r="J4" s="118"/>
    </row>
    <row r="5" spans="1:16" ht="16.5" x14ac:dyDescent="0.3">
      <c r="A5" s="118"/>
      <c r="B5" s="129"/>
      <c r="C5" s="118"/>
      <c r="D5" s="118"/>
      <c r="E5" s="118"/>
      <c r="F5" s="118"/>
      <c r="G5" s="118"/>
      <c r="H5" s="118"/>
      <c r="I5" s="118"/>
      <c r="J5" s="118"/>
    </row>
    <row r="6" spans="1:16" ht="16.5" x14ac:dyDescent="0.3">
      <c r="A6" s="118"/>
      <c r="B6" s="129"/>
      <c r="C6" s="118"/>
      <c r="D6" s="118"/>
      <c r="E6" s="118"/>
      <c r="F6" s="118"/>
      <c r="G6" s="118"/>
      <c r="H6" s="118"/>
      <c r="I6" s="118"/>
      <c r="J6" s="118"/>
    </row>
    <row r="7" spans="1:16" ht="16.5" x14ac:dyDescent="0.3">
      <c r="A7" s="118"/>
      <c r="B7" s="129"/>
      <c r="C7" s="118"/>
      <c r="D7" s="118"/>
      <c r="E7" s="118"/>
      <c r="F7" s="118"/>
      <c r="G7" s="118"/>
      <c r="H7" s="118"/>
      <c r="I7" s="118"/>
      <c r="J7" s="118"/>
    </row>
    <row r="8" spans="1:16" ht="16.5" x14ac:dyDescent="0.3">
      <c r="A8" s="118"/>
      <c r="B8" s="129"/>
      <c r="C8" s="118"/>
      <c r="D8" s="118"/>
      <c r="E8" s="118"/>
      <c r="F8" s="118"/>
      <c r="G8" s="118"/>
      <c r="H8" s="118"/>
      <c r="I8" s="118"/>
      <c r="J8" s="118"/>
    </row>
    <row r="9" spans="1:16" ht="16.5" x14ac:dyDescent="0.3">
      <c r="A9" s="118"/>
      <c r="B9" s="129"/>
      <c r="C9" s="118"/>
      <c r="D9" s="118"/>
      <c r="E9" s="118"/>
      <c r="F9" s="118"/>
      <c r="G9" s="118"/>
      <c r="H9" s="118"/>
      <c r="I9" s="118"/>
      <c r="J9" s="118"/>
    </row>
    <row r="10" spans="1:16" ht="16.5" x14ac:dyDescent="0.3">
      <c r="A10" s="118"/>
      <c r="B10" s="129"/>
      <c r="C10" s="118"/>
      <c r="D10" s="118"/>
      <c r="E10" s="118"/>
      <c r="F10" s="118"/>
      <c r="G10" s="118"/>
      <c r="H10" s="118"/>
      <c r="I10" s="118"/>
      <c r="J10" s="118"/>
    </row>
    <row r="11" spans="1:16" ht="16.5" x14ac:dyDescent="0.3">
      <c r="A11" s="118"/>
      <c r="B11" s="129"/>
      <c r="C11" s="118"/>
      <c r="D11" s="118"/>
      <c r="E11" s="118"/>
      <c r="F11" s="118"/>
      <c r="G11" s="118"/>
      <c r="H11" s="118"/>
      <c r="I11" s="118"/>
      <c r="J11" s="118"/>
    </row>
    <row r="12" spans="1:16" ht="16.5" x14ac:dyDescent="0.3">
      <c r="A12" s="118"/>
      <c r="B12" s="129"/>
      <c r="C12" s="118"/>
      <c r="D12" s="118"/>
      <c r="E12" s="118"/>
      <c r="F12" s="118"/>
      <c r="G12" s="118"/>
      <c r="H12" s="118"/>
      <c r="I12" s="118"/>
      <c r="J12" s="118"/>
    </row>
    <row r="13" spans="1:16" ht="16.5" x14ac:dyDescent="0.3">
      <c r="A13" s="118"/>
      <c r="B13" s="129"/>
      <c r="C13" s="118"/>
      <c r="D13" s="118"/>
      <c r="E13" s="118"/>
      <c r="F13" s="118"/>
      <c r="G13" s="118"/>
      <c r="H13" s="118"/>
      <c r="I13" s="118"/>
      <c r="J13" s="118"/>
    </row>
    <row r="14" spans="1:16" ht="16.5" x14ac:dyDescent="0.3">
      <c r="A14" s="118"/>
      <c r="B14" s="129"/>
      <c r="C14" s="118"/>
      <c r="D14" s="118"/>
      <c r="E14" s="118"/>
      <c r="F14" s="118"/>
      <c r="G14" s="118"/>
      <c r="H14" s="118"/>
      <c r="I14" s="118"/>
      <c r="J14" s="118"/>
    </row>
    <row r="15" spans="1:16" ht="16.5" x14ac:dyDescent="0.3">
      <c r="A15" s="118"/>
      <c r="B15" s="129"/>
      <c r="C15" s="118"/>
      <c r="D15" s="118"/>
      <c r="E15" s="118"/>
      <c r="F15" s="118"/>
      <c r="G15" s="118"/>
      <c r="H15" s="118"/>
      <c r="I15" s="118"/>
      <c r="J15" s="118"/>
    </row>
    <row r="16" spans="1:16" ht="16.5" x14ac:dyDescent="0.3">
      <c r="A16" s="118"/>
      <c r="B16" s="129"/>
      <c r="C16" s="118"/>
      <c r="D16" s="118"/>
      <c r="E16" s="118"/>
      <c r="F16" s="118"/>
      <c r="G16" s="118"/>
      <c r="H16" s="118"/>
      <c r="I16" s="118"/>
      <c r="J16" s="118"/>
    </row>
    <row r="17" spans="1:10" ht="16.5" x14ac:dyDescent="0.3">
      <c r="A17" s="118"/>
      <c r="B17" s="129"/>
      <c r="C17" s="118"/>
      <c r="D17" s="118"/>
      <c r="E17" s="118"/>
      <c r="F17" s="118"/>
      <c r="G17" s="118"/>
      <c r="H17" s="118"/>
      <c r="I17" s="118"/>
      <c r="J17" s="118"/>
    </row>
    <row r="18" spans="1:10" ht="16.5" x14ac:dyDescent="0.3">
      <c r="A18" s="118"/>
      <c r="B18" s="129"/>
      <c r="C18" s="118"/>
      <c r="D18" s="118"/>
      <c r="E18" s="118"/>
      <c r="F18" s="118"/>
      <c r="G18" s="118"/>
      <c r="H18" s="118"/>
      <c r="I18" s="118"/>
      <c r="J18" s="118"/>
    </row>
    <row r="19" spans="1:10" ht="16.5" x14ac:dyDescent="0.3">
      <c r="A19" s="118"/>
      <c r="B19" s="129"/>
      <c r="C19" s="118"/>
      <c r="D19" s="118"/>
      <c r="E19" s="118"/>
      <c r="F19" s="118"/>
      <c r="G19" s="118"/>
      <c r="H19" s="118"/>
      <c r="I19" s="118"/>
      <c r="J19" s="118"/>
    </row>
    <row r="20" spans="1:10" ht="16.5" x14ac:dyDescent="0.3">
      <c r="A20" s="118"/>
      <c r="B20" s="129"/>
      <c r="C20" s="118"/>
      <c r="D20" s="118"/>
      <c r="E20" s="118"/>
      <c r="F20" s="118"/>
      <c r="G20" s="118"/>
      <c r="H20" s="118"/>
      <c r="I20" s="118"/>
      <c r="J20" s="118"/>
    </row>
    <row r="21" spans="1:10" ht="16.5" x14ac:dyDescent="0.3">
      <c r="A21" s="118"/>
      <c r="B21" s="129"/>
      <c r="C21" s="118"/>
      <c r="D21" s="118"/>
      <c r="E21" s="118"/>
      <c r="F21" s="118"/>
      <c r="G21" s="118"/>
      <c r="H21" s="118"/>
      <c r="I21" s="118"/>
      <c r="J21" s="118"/>
    </row>
    <row r="22" spans="1:10" ht="16.5" x14ac:dyDescent="0.3">
      <c r="A22" s="118"/>
      <c r="B22" s="129"/>
      <c r="C22" s="118"/>
      <c r="D22" s="118"/>
      <c r="E22" s="118"/>
      <c r="F22" s="118"/>
      <c r="G22" s="118"/>
      <c r="H22" s="118"/>
      <c r="I22" s="118"/>
      <c r="J22" s="118"/>
    </row>
    <row r="23" spans="1:10" ht="16.5" x14ac:dyDescent="0.3">
      <c r="A23" s="118"/>
      <c r="B23" s="129"/>
      <c r="C23" s="118"/>
      <c r="D23" s="118"/>
      <c r="E23" s="118"/>
      <c r="F23" s="118"/>
      <c r="G23" s="118"/>
      <c r="H23" s="118"/>
      <c r="I23" s="118"/>
      <c r="J23" s="118"/>
    </row>
    <row r="24" spans="1:10" ht="16.5" x14ac:dyDescent="0.3">
      <c r="A24" s="118"/>
      <c r="B24" s="129"/>
      <c r="C24" s="118"/>
      <c r="D24" s="118"/>
      <c r="E24" s="118"/>
      <c r="F24" s="118"/>
      <c r="G24" s="118"/>
      <c r="H24" s="118"/>
      <c r="I24" s="118"/>
      <c r="J24" s="118"/>
    </row>
    <row r="25" spans="1:10" ht="18" x14ac:dyDescent="0.3">
      <c r="A25" s="118"/>
      <c r="B25" s="129"/>
      <c r="C25" s="707" t="s">
        <v>217</v>
      </c>
      <c r="D25" s="707"/>
      <c r="E25" s="707"/>
      <c r="F25" s="707"/>
      <c r="G25" s="707"/>
      <c r="H25" s="707"/>
      <c r="I25" s="118"/>
      <c r="J25" s="118"/>
    </row>
    <row r="26" spans="1:10" ht="21.95" customHeight="1" x14ac:dyDescent="0.3">
      <c r="A26" s="118"/>
      <c r="B26" s="129"/>
      <c r="C26" s="704" t="str">
        <f>VLOOKUP(P1,biononis,3,1)</f>
        <v>ARYA DYTA WIGUNA</v>
      </c>
      <c r="D26" s="705"/>
      <c r="E26" s="705"/>
      <c r="F26" s="705"/>
      <c r="G26" s="705"/>
      <c r="H26" s="706"/>
      <c r="I26" s="120"/>
      <c r="J26" s="118"/>
    </row>
    <row r="27" spans="1:10" ht="16.5" x14ac:dyDescent="0.3">
      <c r="A27" s="118"/>
      <c r="B27" s="129"/>
      <c r="C27" s="121"/>
      <c r="D27" s="121"/>
      <c r="E27" s="120"/>
      <c r="F27" s="120"/>
      <c r="G27" s="120"/>
      <c r="H27" s="120"/>
      <c r="I27" s="120"/>
      <c r="J27" s="118"/>
    </row>
    <row r="28" spans="1:10" ht="18" x14ac:dyDescent="0.3">
      <c r="A28" s="118"/>
      <c r="B28" s="129"/>
      <c r="C28" s="707" t="s">
        <v>218</v>
      </c>
      <c r="D28" s="707"/>
      <c r="E28" s="707"/>
      <c r="F28" s="707"/>
      <c r="G28" s="707"/>
      <c r="H28" s="707"/>
      <c r="I28" s="120"/>
      <c r="J28" s="118"/>
    </row>
    <row r="29" spans="1:10" ht="21.95" customHeight="1" x14ac:dyDescent="0.3">
      <c r="A29" s="118"/>
      <c r="B29" s="129"/>
      <c r="C29" s="704" t="str">
        <f>VLOOKUP(P1,biononis,2,1)</f>
        <v>181910045</v>
      </c>
      <c r="D29" s="705"/>
      <c r="E29" s="705"/>
      <c r="F29" s="705"/>
      <c r="G29" s="705"/>
      <c r="H29" s="706"/>
      <c r="I29" s="119"/>
      <c r="J29" s="118"/>
    </row>
    <row r="30" spans="1:10" ht="16.5" x14ac:dyDescent="0.3">
      <c r="A30" s="118"/>
      <c r="B30" s="129"/>
      <c r="C30" s="118"/>
      <c r="D30" s="118"/>
      <c r="E30" s="118"/>
      <c r="F30" s="120"/>
      <c r="G30" s="120"/>
      <c r="H30" s="120"/>
      <c r="I30" s="120"/>
      <c r="J30" s="118"/>
    </row>
    <row r="31" spans="1:10" ht="18" x14ac:dyDescent="0.3">
      <c r="A31" s="118"/>
      <c r="B31" s="129"/>
      <c r="C31" s="118"/>
      <c r="D31" s="707" t="s">
        <v>219</v>
      </c>
      <c r="E31" s="707"/>
      <c r="F31" s="707"/>
      <c r="G31" s="707"/>
      <c r="H31" s="707"/>
      <c r="I31" s="120"/>
      <c r="J31" s="118"/>
    </row>
    <row r="32" spans="1:10" ht="21.95" customHeight="1" x14ac:dyDescent="0.3">
      <c r="A32" s="118"/>
      <c r="B32" s="129"/>
      <c r="C32" s="704" t="str">
        <f>VLOOKUP(P1,Biodata!A9:D48,4,1)</f>
        <v>-</v>
      </c>
      <c r="D32" s="705"/>
      <c r="E32" s="705"/>
      <c r="F32" s="705"/>
      <c r="G32" s="705"/>
      <c r="H32" s="706"/>
      <c r="I32" s="118"/>
      <c r="J32" s="118"/>
    </row>
    <row r="33" spans="1:10" ht="16.5" x14ac:dyDescent="0.3">
      <c r="A33" s="118"/>
      <c r="B33" s="129"/>
      <c r="C33" s="118"/>
      <c r="D33" s="118"/>
      <c r="E33" s="122"/>
      <c r="F33" s="118"/>
      <c r="G33" s="118"/>
      <c r="H33" s="118"/>
      <c r="I33" s="118"/>
      <c r="J33" s="118"/>
    </row>
    <row r="34" spans="1:10" ht="16.5" x14ac:dyDescent="0.3">
      <c r="A34" s="118"/>
      <c r="B34" s="129"/>
      <c r="C34" s="118"/>
      <c r="D34" s="118"/>
      <c r="E34" s="118"/>
      <c r="F34" s="118"/>
      <c r="G34" s="118"/>
      <c r="H34" s="118"/>
      <c r="I34" s="118"/>
      <c r="J34" s="118"/>
    </row>
    <row r="35" spans="1:10" ht="16.5" x14ac:dyDescent="0.3">
      <c r="A35" s="118"/>
      <c r="B35" s="129"/>
      <c r="C35" s="118"/>
      <c r="D35" s="118"/>
      <c r="E35" s="118"/>
      <c r="F35" s="118"/>
      <c r="G35" s="118"/>
      <c r="H35" s="118"/>
      <c r="I35" s="118"/>
      <c r="J35" s="118"/>
    </row>
    <row r="36" spans="1:10" ht="16.5" x14ac:dyDescent="0.3">
      <c r="A36" s="118"/>
      <c r="B36" s="129"/>
      <c r="C36" s="118"/>
      <c r="D36" s="118"/>
      <c r="E36" s="118"/>
      <c r="F36" s="118"/>
      <c r="G36" s="118"/>
      <c r="H36" s="118"/>
      <c r="I36" s="118"/>
      <c r="J36" s="118"/>
    </row>
    <row r="37" spans="1:10" ht="16.5" x14ac:dyDescent="0.3">
      <c r="A37" s="118"/>
      <c r="B37" s="129"/>
      <c r="C37" s="118"/>
      <c r="D37" s="118"/>
      <c r="E37" s="118"/>
      <c r="F37" s="118"/>
      <c r="G37" s="118"/>
      <c r="H37" s="118"/>
      <c r="I37" s="118"/>
      <c r="J37" s="118"/>
    </row>
    <row r="38" spans="1:10" ht="16.5" x14ac:dyDescent="0.3">
      <c r="A38" s="118"/>
      <c r="B38" s="129"/>
      <c r="C38" s="118"/>
      <c r="D38" s="118"/>
      <c r="E38" s="118"/>
      <c r="F38" s="118"/>
      <c r="G38" s="118"/>
      <c r="H38" s="118"/>
      <c r="I38" s="118"/>
      <c r="J38" s="118"/>
    </row>
    <row r="39" spans="1:10" ht="16.5" x14ac:dyDescent="0.3">
      <c r="A39" s="120"/>
      <c r="B39" s="129"/>
      <c r="C39" s="118"/>
      <c r="D39" s="118"/>
      <c r="E39" s="118"/>
      <c r="F39" s="118"/>
      <c r="G39" s="118"/>
      <c r="H39" s="118"/>
      <c r="I39" s="118"/>
      <c r="J39" s="118"/>
    </row>
    <row r="40" spans="1:10" ht="16.5" x14ac:dyDescent="0.3">
      <c r="A40" s="120"/>
      <c r="B40" s="129"/>
      <c r="C40" s="118"/>
      <c r="D40" s="118"/>
      <c r="E40" s="118"/>
      <c r="F40" s="118"/>
      <c r="G40" s="118"/>
      <c r="H40" s="118"/>
      <c r="I40" s="118"/>
      <c r="J40" s="118"/>
    </row>
    <row r="41" spans="1:10" x14ac:dyDescent="0.2">
      <c r="A41" s="118"/>
      <c r="B41" s="118"/>
      <c r="C41" s="118"/>
      <c r="D41" s="118"/>
      <c r="E41" s="118"/>
      <c r="F41" s="118"/>
      <c r="G41" s="118"/>
      <c r="H41" s="118"/>
      <c r="I41" s="118"/>
      <c r="J41" s="118"/>
    </row>
    <row r="42" spans="1:10" x14ac:dyDescent="0.2">
      <c r="A42" s="118"/>
      <c r="B42" s="118"/>
      <c r="C42" s="118"/>
      <c r="D42" s="118"/>
      <c r="E42" s="118"/>
      <c r="F42" s="118"/>
      <c r="G42" s="118"/>
      <c r="H42" s="118"/>
      <c r="I42" s="118"/>
      <c r="J42" s="118"/>
    </row>
    <row r="43" spans="1:10" x14ac:dyDescent="0.2">
      <c r="A43" s="118"/>
      <c r="B43" s="118"/>
      <c r="C43" s="118"/>
      <c r="D43" s="118"/>
      <c r="E43" s="118"/>
      <c r="F43" s="118"/>
      <c r="G43" s="118"/>
      <c r="H43" s="118"/>
      <c r="I43" s="118"/>
      <c r="J43" s="118"/>
    </row>
    <row r="44" spans="1:10" x14ac:dyDescent="0.2">
      <c r="A44" s="118"/>
      <c r="B44" s="118"/>
      <c r="C44" s="118"/>
      <c r="D44" s="118"/>
      <c r="E44" s="118"/>
      <c r="F44" s="118"/>
      <c r="G44" s="118"/>
      <c r="H44" s="118"/>
      <c r="I44" s="118"/>
      <c r="J44" s="118"/>
    </row>
    <row r="45" spans="1:10" x14ac:dyDescent="0.2">
      <c r="A45" s="118"/>
      <c r="B45" s="118"/>
      <c r="C45" s="118"/>
      <c r="D45" s="118"/>
      <c r="E45" s="118"/>
      <c r="F45" s="118"/>
      <c r="G45" s="118"/>
      <c r="H45" s="118"/>
      <c r="I45" s="118"/>
      <c r="J45" s="118"/>
    </row>
  </sheetData>
  <sheetProtection sheet="1" objects="1" scenarios="1"/>
  <mergeCells count="6">
    <mergeCell ref="C26:H26"/>
    <mergeCell ref="C25:H25"/>
    <mergeCell ref="C28:H28"/>
    <mergeCell ref="C29:H29"/>
    <mergeCell ref="C32:H32"/>
    <mergeCell ref="D31:H31"/>
  </mergeCells>
  <phoneticPr fontId="1" type="noConversion"/>
  <printOptions horizontalCentered="1"/>
  <pageMargins left="0.78740157480314965" right="0.27559055118110237" top="0.78740157480314965" bottom="0.78740157480314965" header="0.43307086614173229" footer="0.51181102362204722"/>
  <pageSetup paperSize="9" orientation="portrait" horizont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74757" r:id="rId4" name="Button 5">
              <controlPr defaultSize="0" print="0" autoFill="0" autoPict="0" macro="[0]!covercetak">
                <anchor moveWithCells="1" sizeWithCells="1">
                  <from>
                    <xdr:col>10</xdr:col>
                    <xdr:colOff>47625</xdr:colOff>
                    <xdr:row>0</xdr:row>
                    <xdr:rowOff>0</xdr:rowOff>
                  </from>
                  <to>
                    <xdr:col>11</xdr:col>
                    <xdr:colOff>485775</xdr:colOff>
                    <xdr:row>0</xdr:row>
                    <xdr:rowOff>0</xdr:rowOff>
                  </to>
                </anchor>
              </controlPr>
            </control>
          </mc:Choice>
        </mc:AlternateContent>
        <mc:AlternateContent xmlns:mc="http://schemas.openxmlformats.org/markup-compatibility/2006">
          <mc:Choice Requires="x14">
            <control shapeId="74775" r:id="rId5" name="Drop Down 23">
              <controlPr defaultSize="0" print="0" autoLine="0" autoPict="0">
                <anchor moveWithCells="1">
                  <from>
                    <xdr:col>10</xdr:col>
                    <xdr:colOff>304800</xdr:colOff>
                    <xdr:row>23</xdr:row>
                    <xdr:rowOff>114300</xdr:rowOff>
                  </from>
                  <to>
                    <xdr:col>14</xdr:col>
                    <xdr:colOff>323850</xdr:colOff>
                    <xdr:row>25</xdr:row>
                    <xdr:rowOff>142875</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00B050"/>
  </sheetPr>
  <dimension ref="A1:P48"/>
  <sheetViews>
    <sheetView showGridLines="0" workbookViewId="0">
      <selection activeCell="D1" sqref="D1"/>
    </sheetView>
  </sheetViews>
  <sheetFormatPr defaultRowHeight="15" x14ac:dyDescent="0.2"/>
  <cols>
    <col min="1" max="1" width="3.5703125" style="116" customWidth="1"/>
    <col min="2" max="2" width="26.5703125" style="117" customWidth="1"/>
    <col min="3" max="3" width="1.85546875" style="117" customWidth="1"/>
    <col min="4" max="4" width="53.85546875" style="117" customWidth="1"/>
    <col min="5" max="5" width="7.140625" style="30" customWidth="1"/>
    <col min="6" max="12" width="9.140625" style="30"/>
    <col min="13" max="16384" width="9.140625" style="31"/>
  </cols>
  <sheetData>
    <row r="1" spans="1:16" ht="18" x14ac:dyDescent="0.2">
      <c r="A1" s="32"/>
      <c r="B1" s="27"/>
      <c r="C1" s="349" t="s">
        <v>216</v>
      </c>
      <c r="D1" s="348"/>
      <c r="E1" s="75"/>
    </row>
    <row r="2" spans="1:16" x14ac:dyDescent="0.2">
      <c r="A2" s="32"/>
      <c r="B2" s="27"/>
      <c r="C2" s="27"/>
      <c r="D2" s="27"/>
      <c r="E2" s="75"/>
    </row>
    <row r="3" spans="1:16" ht="20.100000000000001" customHeight="1" x14ac:dyDescent="0.2">
      <c r="A3" s="26" t="s">
        <v>105</v>
      </c>
      <c r="B3" s="27" t="s">
        <v>106</v>
      </c>
      <c r="C3" s="28" t="s">
        <v>3</v>
      </c>
      <c r="D3" s="29" t="str">
        <f>VLOOKUP($G$3,Biodata!$A$9:$X$48,3,0)</f>
        <v>SALSA ASYKIYA</v>
      </c>
      <c r="E3" s="75"/>
      <c r="G3" s="112">
        <v>33</v>
      </c>
      <c r="P3" s="31">
        <v>2</v>
      </c>
    </row>
    <row r="4" spans="1:16" ht="20.100000000000001" customHeight="1" x14ac:dyDescent="0.2">
      <c r="A4" s="26" t="s">
        <v>107</v>
      </c>
      <c r="B4" s="27" t="s">
        <v>108</v>
      </c>
      <c r="C4" s="28" t="s">
        <v>3</v>
      </c>
      <c r="D4" s="29" t="str">
        <f>VLOOKUP($G$3,Biodata!$A$9:$X$48,2,0)</f>
        <v>181910335</v>
      </c>
      <c r="E4" s="75"/>
    </row>
    <row r="5" spans="1:16" ht="20.100000000000001" customHeight="1" x14ac:dyDescent="0.2">
      <c r="A5" s="26"/>
      <c r="B5" s="27" t="s">
        <v>109</v>
      </c>
      <c r="C5" s="28" t="s">
        <v>3</v>
      </c>
      <c r="D5" s="29">
        <f>VLOOKUP($G$3,Biodata!$A$9:$X$48,4,0)</f>
        <v>2.7830751999999999E-3</v>
      </c>
      <c r="E5" s="75"/>
    </row>
    <row r="6" spans="1:16" ht="20.100000000000001" customHeight="1" x14ac:dyDescent="0.2">
      <c r="A6" s="26" t="s">
        <v>110</v>
      </c>
      <c r="B6" s="27" t="s">
        <v>111</v>
      </c>
      <c r="C6" s="28" t="s">
        <v>3</v>
      </c>
      <c r="D6" s="29" t="str">
        <f>VLOOKUP($G$3,Biodata!$A$9:$X$48,5,0)</f>
        <v>Bandung,23 Oktober 2002</v>
      </c>
      <c r="E6" s="75"/>
    </row>
    <row r="7" spans="1:16" ht="20.100000000000001" customHeight="1" x14ac:dyDescent="0.2">
      <c r="A7" s="26" t="s">
        <v>112</v>
      </c>
      <c r="B7" s="27" t="s">
        <v>78</v>
      </c>
      <c r="C7" s="28" t="s">
        <v>3</v>
      </c>
      <c r="D7" s="29" t="str">
        <f>VLOOKUP($G$3,Biodata!$A$9:$X$48,6,0)</f>
        <v>Perempuan</v>
      </c>
      <c r="E7" s="75"/>
    </row>
    <row r="8" spans="1:16" ht="20.100000000000001" customHeight="1" x14ac:dyDescent="0.2">
      <c r="A8" s="26" t="s">
        <v>113</v>
      </c>
      <c r="B8" s="27" t="s">
        <v>114</v>
      </c>
      <c r="C8" s="28" t="s">
        <v>3</v>
      </c>
      <c r="D8" s="29" t="str">
        <f>VLOOKUP($G$3,Biodata!$A$9:$X$48,7,0)</f>
        <v>Islam</v>
      </c>
      <c r="E8" s="75"/>
    </row>
    <row r="9" spans="1:16" ht="20.100000000000001" customHeight="1" x14ac:dyDescent="0.2">
      <c r="A9" s="26" t="s">
        <v>115</v>
      </c>
      <c r="B9" s="27" t="s">
        <v>116</v>
      </c>
      <c r="C9" s="28" t="s">
        <v>3</v>
      </c>
      <c r="D9" s="29" t="str">
        <f>VLOOKUP($G$3,Biodata!$A$9:$X$48,8,0)</f>
        <v xml:space="preserve">Anak kandung </v>
      </c>
      <c r="E9" s="75"/>
    </row>
    <row r="10" spans="1:16" ht="20.100000000000001" customHeight="1" x14ac:dyDescent="0.2">
      <c r="A10" s="26" t="s">
        <v>117</v>
      </c>
      <c r="B10" s="27" t="s">
        <v>118</v>
      </c>
      <c r="C10" s="28" t="s">
        <v>3</v>
      </c>
      <c r="D10" s="29">
        <f>VLOOKUP($G$3,Biodata!$A$9:$X$48,9,0)</f>
        <v>2</v>
      </c>
      <c r="E10" s="75"/>
    </row>
    <row r="11" spans="1:16" ht="20.100000000000001" customHeight="1" x14ac:dyDescent="0.2">
      <c r="A11" s="26" t="s">
        <v>119</v>
      </c>
      <c r="B11" s="27" t="s">
        <v>120</v>
      </c>
      <c r="C11" s="28" t="s">
        <v>3</v>
      </c>
      <c r="D11" s="29" t="str">
        <f>VLOOKUP($G$3,Biodata!$A$9:$X$48,10,0)</f>
        <v>Kp.Lembang Ds.Kiangroke Rt 04/05</v>
      </c>
      <c r="E11" s="75"/>
    </row>
    <row r="12" spans="1:16" ht="20.100000000000001" customHeight="1" x14ac:dyDescent="0.2">
      <c r="A12" s="26" t="s">
        <v>121</v>
      </c>
      <c r="B12" s="27" t="s">
        <v>122</v>
      </c>
      <c r="C12" s="28" t="s">
        <v>3</v>
      </c>
      <c r="D12" s="29">
        <f>VLOOKUP($G$3,Biodata!$A$9:$X$48,11,0)</f>
        <v>0</v>
      </c>
      <c r="E12" s="75"/>
    </row>
    <row r="13" spans="1:16" ht="20.100000000000001" customHeight="1" x14ac:dyDescent="0.2">
      <c r="A13" s="26" t="s">
        <v>123</v>
      </c>
      <c r="B13" s="27" t="s">
        <v>124</v>
      </c>
      <c r="C13" s="28" t="s">
        <v>3</v>
      </c>
      <c r="D13" s="29" t="str">
        <f>VLOOKUP($G$3,Biodata!$A$9:$X$48,12,0)</f>
        <v>SMPN 2 BANJARAN</v>
      </c>
      <c r="E13" s="75"/>
    </row>
    <row r="14" spans="1:16" x14ac:dyDescent="0.2">
      <c r="A14" s="26" t="s">
        <v>125</v>
      </c>
      <c r="B14" s="27" t="s">
        <v>126</v>
      </c>
      <c r="C14" s="28"/>
      <c r="D14" s="29"/>
      <c r="E14" s="75"/>
    </row>
    <row r="15" spans="1:16" ht="20.100000000000001" customHeight="1" x14ac:dyDescent="0.2">
      <c r="A15" s="26"/>
      <c r="B15" s="27" t="s">
        <v>127</v>
      </c>
      <c r="C15" s="28" t="s">
        <v>3</v>
      </c>
      <c r="D15" s="29" t="str">
        <f>VLOOKUP($G$3,Biodata!$A$9:$X$48,13,0)</f>
        <v>Xips 5</v>
      </c>
      <c r="E15" s="75"/>
    </row>
    <row r="16" spans="1:16" ht="20.100000000000001" customHeight="1" x14ac:dyDescent="0.2">
      <c r="A16" s="26"/>
      <c r="B16" s="27" t="s">
        <v>232</v>
      </c>
      <c r="C16" s="28" t="s">
        <v>3</v>
      </c>
      <c r="D16" s="29">
        <f>VLOOKUP($G$3,Biodata!$A$9:$X$48,14,0)</f>
        <v>0</v>
      </c>
      <c r="E16" s="75"/>
    </row>
    <row r="17" spans="1:12" x14ac:dyDescent="0.2">
      <c r="A17" s="26" t="s">
        <v>128</v>
      </c>
      <c r="B17" s="27" t="s">
        <v>129</v>
      </c>
      <c r="C17" s="28"/>
      <c r="D17" s="29"/>
      <c r="E17" s="75"/>
    </row>
    <row r="18" spans="1:12" ht="20.100000000000001" customHeight="1" x14ac:dyDescent="0.2">
      <c r="A18" s="26"/>
      <c r="B18" s="27" t="s">
        <v>130</v>
      </c>
      <c r="C18" s="28" t="s">
        <v>3</v>
      </c>
      <c r="D18" s="29" t="str">
        <f>VLOOKUP($G$3,Biodata!$A$9:$X$48,15,0)</f>
        <v>Rusman Sunjaya</v>
      </c>
      <c r="E18" s="75"/>
    </row>
    <row r="19" spans="1:12" x14ac:dyDescent="0.2">
      <c r="A19" s="26"/>
      <c r="B19" s="27" t="s">
        <v>131</v>
      </c>
      <c r="C19" s="28" t="s">
        <v>3</v>
      </c>
      <c r="D19" s="29" t="str">
        <f>VLOOKUP($G$3,Biodata!$A$9:$X$48,16,0)</f>
        <v>Endah Karwati</v>
      </c>
      <c r="E19" s="75"/>
      <c r="L19" s="31"/>
    </row>
    <row r="20" spans="1:12" x14ac:dyDescent="0.2">
      <c r="A20" s="26"/>
      <c r="B20" s="27" t="s">
        <v>132</v>
      </c>
      <c r="C20" s="28" t="s">
        <v>3</v>
      </c>
      <c r="D20" s="29">
        <f>VLOOKUP($G$3,Biodata!$A$9:$X$48,17,0)</f>
        <v>0</v>
      </c>
      <c r="E20" s="75"/>
      <c r="L20" s="31"/>
    </row>
    <row r="21" spans="1:12" x14ac:dyDescent="0.2">
      <c r="A21" s="26"/>
      <c r="B21" s="27" t="s">
        <v>133</v>
      </c>
      <c r="C21" s="28" t="s">
        <v>3</v>
      </c>
      <c r="D21" s="29">
        <f>VLOOKUP($G$3,Biodata!$A$9:$X$48,18,0)</f>
        <v>0</v>
      </c>
      <c r="E21" s="75"/>
      <c r="L21" s="31"/>
    </row>
    <row r="22" spans="1:12" x14ac:dyDescent="0.2">
      <c r="A22" s="26" t="s">
        <v>134</v>
      </c>
      <c r="B22" s="27" t="s">
        <v>135</v>
      </c>
      <c r="C22" s="28"/>
      <c r="D22" s="29"/>
      <c r="E22" s="75"/>
      <c r="L22" s="31"/>
    </row>
    <row r="23" spans="1:12" x14ac:dyDescent="0.2">
      <c r="A23" s="26"/>
      <c r="B23" s="27" t="s">
        <v>136</v>
      </c>
      <c r="C23" s="28" t="s">
        <v>3</v>
      </c>
      <c r="D23" s="29">
        <f>VLOOKUP($G$3,Biodata!$A$9:$X$48,19,0)</f>
        <v>0</v>
      </c>
      <c r="E23" s="75"/>
      <c r="L23" s="31"/>
    </row>
    <row r="24" spans="1:12" x14ac:dyDescent="0.2">
      <c r="A24" s="26"/>
      <c r="B24" s="27" t="s">
        <v>137</v>
      </c>
      <c r="C24" s="28" t="s">
        <v>3</v>
      </c>
      <c r="D24" s="29">
        <f>VLOOKUP($G$3,Biodata!$A$9:$X$48,20,0)</f>
        <v>0</v>
      </c>
      <c r="E24" s="75"/>
      <c r="L24" s="31"/>
    </row>
    <row r="25" spans="1:12" x14ac:dyDescent="0.2">
      <c r="A25" s="26" t="s">
        <v>138</v>
      </c>
      <c r="B25" s="27" t="s">
        <v>139</v>
      </c>
      <c r="C25" s="28"/>
      <c r="D25" s="29"/>
      <c r="E25" s="75"/>
      <c r="L25" s="31"/>
    </row>
    <row r="26" spans="1:12" x14ac:dyDescent="0.2">
      <c r="A26" s="32"/>
      <c r="B26" s="27" t="s">
        <v>140</v>
      </c>
      <c r="C26" s="28" t="s">
        <v>3</v>
      </c>
      <c r="D26" s="29">
        <f>VLOOKUP($G$3,Biodata!$A$9:$X$48,21,0)</f>
        <v>0</v>
      </c>
      <c r="E26" s="75"/>
      <c r="L26" s="31"/>
    </row>
    <row r="27" spans="1:12" x14ac:dyDescent="0.2">
      <c r="A27" s="32"/>
      <c r="B27" s="27" t="s">
        <v>141</v>
      </c>
      <c r="C27" s="28" t="s">
        <v>3</v>
      </c>
      <c r="D27" s="29">
        <f>VLOOKUP($G$3,Biodata!$A$9:$X$48,22,0)</f>
        <v>0</v>
      </c>
      <c r="E27" s="75"/>
      <c r="L27" s="31"/>
    </row>
    <row r="28" spans="1:12" x14ac:dyDescent="0.2">
      <c r="A28" s="32"/>
      <c r="B28" s="27" t="s">
        <v>132</v>
      </c>
      <c r="C28" s="28" t="s">
        <v>3</v>
      </c>
      <c r="D28" s="29" t="str">
        <f>VLOOKUP($G$3,Biodata!$A$9:$X$48,23,0)</f>
        <v>-</v>
      </c>
      <c r="E28" s="75"/>
      <c r="L28" s="31"/>
    </row>
    <row r="29" spans="1:12" x14ac:dyDescent="0.2">
      <c r="A29" s="32"/>
      <c r="B29" s="27" t="s">
        <v>142</v>
      </c>
      <c r="C29" s="28" t="s">
        <v>3</v>
      </c>
      <c r="D29" s="29" t="str">
        <f>VLOOKUP($G$3,Biodata!$A$9:$X$48,24,0)</f>
        <v>-</v>
      </c>
      <c r="E29" s="75"/>
      <c r="L29" s="31"/>
    </row>
    <row r="30" spans="1:12" x14ac:dyDescent="0.2">
      <c r="A30" s="32"/>
      <c r="B30" s="27"/>
      <c r="C30" s="27"/>
      <c r="D30" s="27"/>
      <c r="E30" s="75"/>
      <c r="L30" s="31"/>
    </row>
    <row r="31" spans="1:12" x14ac:dyDescent="0.2">
      <c r="A31" s="32"/>
      <c r="B31" s="27"/>
      <c r="C31" s="27"/>
      <c r="D31" s="27"/>
      <c r="E31" s="75"/>
      <c r="L31" s="31"/>
    </row>
    <row r="32" spans="1:12" x14ac:dyDescent="0.2">
      <c r="A32" s="32"/>
      <c r="B32" s="27"/>
      <c r="C32" s="27"/>
      <c r="D32" s="27"/>
      <c r="E32" s="75"/>
      <c r="L32" s="31"/>
    </row>
    <row r="33" spans="1:12" x14ac:dyDescent="0.2">
      <c r="A33" s="32"/>
      <c r="B33" s="27"/>
      <c r="C33" s="27"/>
      <c r="D33" s="73" t="str">
        <f>"Banjaran,   "&amp;D16</f>
        <v>Banjaran,   0</v>
      </c>
      <c r="E33" s="75"/>
      <c r="L33" s="31"/>
    </row>
    <row r="34" spans="1:12" x14ac:dyDescent="0.2">
      <c r="A34" s="32"/>
      <c r="B34" s="27"/>
      <c r="C34" s="27"/>
      <c r="D34" s="34"/>
      <c r="E34" s="75"/>
      <c r="L34" s="31"/>
    </row>
    <row r="35" spans="1:12" x14ac:dyDescent="0.2">
      <c r="A35" s="32"/>
      <c r="B35" s="27"/>
      <c r="C35" s="27"/>
      <c r="D35" s="33" t="s">
        <v>1</v>
      </c>
      <c r="E35" s="75"/>
      <c r="L35" s="31"/>
    </row>
    <row r="36" spans="1:12" x14ac:dyDescent="0.2">
      <c r="A36" s="32"/>
      <c r="B36" s="27"/>
      <c r="C36" s="27"/>
      <c r="D36" s="33"/>
      <c r="E36" s="75"/>
      <c r="L36" s="31"/>
    </row>
    <row r="37" spans="1:12" x14ac:dyDescent="0.2">
      <c r="A37" s="32"/>
      <c r="B37" s="27"/>
      <c r="C37" s="27"/>
      <c r="D37" s="33"/>
      <c r="E37" s="75"/>
    </row>
    <row r="38" spans="1:12" x14ac:dyDescent="0.2">
      <c r="A38" s="32"/>
      <c r="B38" s="27"/>
      <c r="C38" s="27"/>
      <c r="D38" s="33"/>
      <c r="E38" s="75"/>
    </row>
    <row r="39" spans="1:12" x14ac:dyDescent="0.2">
      <c r="A39" s="32"/>
      <c r="B39" s="27"/>
      <c r="C39" s="27"/>
      <c r="D39" s="27"/>
      <c r="E39" s="75"/>
    </row>
    <row r="40" spans="1:12" x14ac:dyDescent="0.2">
      <c r="A40" s="32"/>
      <c r="B40" s="27"/>
      <c r="C40" s="27"/>
      <c r="D40" s="35" t="s">
        <v>37</v>
      </c>
      <c r="E40" s="75"/>
    </row>
    <row r="41" spans="1:12" s="39" customFormat="1" x14ac:dyDescent="0.2">
      <c r="A41" s="36"/>
      <c r="B41" s="37"/>
      <c r="C41" s="37"/>
      <c r="D41" s="38" t="s">
        <v>143</v>
      </c>
      <c r="E41" s="70"/>
      <c r="F41" s="22"/>
      <c r="G41" s="22"/>
      <c r="H41" s="22"/>
      <c r="I41" s="22"/>
      <c r="J41" s="22"/>
      <c r="K41" s="22"/>
      <c r="L41" s="22"/>
    </row>
    <row r="42" spans="1:12" s="39" customFormat="1" ht="12.75" x14ac:dyDescent="0.2">
      <c r="A42" s="36"/>
      <c r="B42" s="37"/>
      <c r="C42" s="37"/>
      <c r="D42" s="37"/>
      <c r="E42" s="70"/>
      <c r="F42" s="22"/>
      <c r="G42" s="22"/>
      <c r="H42" s="22"/>
      <c r="I42" s="22"/>
      <c r="J42" s="22"/>
      <c r="K42" s="22"/>
      <c r="L42" s="22"/>
    </row>
    <row r="43" spans="1:12" s="42" customFormat="1" ht="12" x14ac:dyDescent="0.2">
      <c r="A43" s="346" t="s">
        <v>213</v>
      </c>
      <c r="B43" s="40"/>
      <c r="C43" s="40"/>
      <c r="D43" s="40"/>
      <c r="E43" s="72"/>
      <c r="F43" s="41"/>
      <c r="G43" s="41"/>
      <c r="H43" s="41"/>
      <c r="I43" s="41"/>
      <c r="J43" s="41"/>
      <c r="K43" s="41"/>
      <c r="L43" s="41"/>
    </row>
    <row r="44" spans="1:12" x14ac:dyDescent="0.2">
      <c r="A44" s="347" t="s">
        <v>215</v>
      </c>
      <c r="B44" s="27"/>
      <c r="C44" s="27"/>
      <c r="D44" s="27"/>
      <c r="E44" s="75"/>
    </row>
    <row r="45" spans="1:12" x14ac:dyDescent="0.2">
      <c r="A45" s="347" t="s">
        <v>214</v>
      </c>
      <c r="B45" s="27"/>
      <c r="C45" s="27"/>
      <c r="D45" s="27"/>
      <c r="E45" s="75"/>
    </row>
    <row r="46" spans="1:12" x14ac:dyDescent="0.2">
      <c r="A46" s="32"/>
      <c r="B46" s="27"/>
      <c r="C46" s="27"/>
      <c r="D46" s="27"/>
      <c r="E46" s="75"/>
    </row>
    <row r="47" spans="1:12" x14ac:dyDescent="0.2">
      <c r="A47" s="114"/>
      <c r="B47" s="115"/>
      <c r="C47" s="115"/>
      <c r="D47" s="115"/>
      <c r="E47" s="75"/>
    </row>
    <row r="48" spans="1:12" x14ac:dyDescent="0.2">
      <c r="A48" s="114"/>
      <c r="B48" s="115"/>
      <c r="C48" s="115"/>
      <c r="D48" s="115"/>
      <c r="E48" s="75"/>
    </row>
  </sheetData>
  <sheetProtection sheet="1" objects="1" scenarios="1"/>
  <pageMargins left="0.70866141732283472" right="0.31496062992125984" top="0.6692913385826772" bottom="0.39370078740157483" header="0.31496062992125984" footer="0.31496062992125984"/>
  <pageSetup paperSize="9"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78850" r:id="rId4" name="Drop Down 2">
              <controlPr locked="0" defaultSize="0" print="0" autoLine="0" autoPict="0">
                <anchor moveWithCells="1">
                  <from>
                    <xdr:col>5</xdr:col>
                    <xdr:colOff>9525</xdr:colOff>
                    <xdr:row>0</xdr:row>
                    <xdr:rowOff>38100</xdr:rowOff>
                  </from>
                  <to>
                    <xdr:col>8</xdr:col>
                    <xdr:colOff>381000</xdr:colOff>
                    <xdr:row>2</xdr:row>
                    <xdr:rowOff>47625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33</vt:i4>
      </vt:variant>
    </vt:vector>
  </HeadingPairs>
  <TitlesOfParts>
    <vt:vector size="61" baseType="lpstr">
      <vt:lpstr>PETUNJUK</vt:lpstr>
      <vt:lpstr>Biodata</vt:lpstr>
      <vt:lpstr>LEGER</vt:lpstr>
      <vt:lpstr>CatatPrestasi</vt:lpstr>
      <vt:lpstr>RAPORT</vt:lpstr>
      <vt:lpstr>RAPORT (2)</vt:lpstr>
      <vt:lpstr>NilKon</vt:lpstr>
      <vt:lpstr>COVER</vt:lpstr>
      <vt:lpstr>Identitas</vt:lpstr>
      <vt:lpstr>PdhKeluar</vt:lpstr>
      <vt:lpstr>PdhMasuk</vt:lpstr>
      <vt:lpstr>PAiBP</vt:lpstr>
      <vt:lpstr>PKN</vt:lpstr>
      <vt:lpstr>BIND</vt:lpstr>
      <vt:lpstr>MATH</vt:lpstr>
      <vt:lpstr>SJRID</vt:lpstr>
      <vt:lpstr>BING</vt:lpstr>
      <vt:lpstr>SENI</vt:lpstr>
      <vt:lpstr>PJOK</vt:lpstr>
      <vt:lpstr>PKWU</vt:lpstr>
      <vt:lpstr>MULOK</vt:lpstr>
      <vt:lpstr>MATIPA</vt:lpstr>
      <vt:lpstr>BIOL</vt:lpstr>
      <vt:lpstr>FISK</vt:lpstr>
      <vt:lpstr>KIMI</vt:lpstr>
      <vt:lpstr>LM-1</vt:lpstr>
      <vt:lpstr>LM-2</vt:lpstr>
      <vt:lpstr>BTQ</vt:lpstr>
      <vt:lpstr>LEGER!_151610003A</vt:lpstr>
      <vt:lpstr>RAPORT!_151610003A</vt:lpstr>
      <vt:lpstr>'RAPORT (2)'!_151610003A</vt:lpstr>
      <vt:lpstr>Biodata</vt:lpstr>
      <vt:lpstr>bionisnama</vt:lpstr>
      <vt:lpstr>biononis</vt:lpstr>
      <vt:lpstr>catatan</vt:lpstr>
      <vt:lpstr>Cover</vt:lpstr>
      <vt:lpstr>'RAPORT (2)'!Ledger</vt:lpstr>
      <vt:lpstr>Ledger</vt:lpstr>
      <vt:lpstr>Leger</vt:lpstr>
      <vt:lpstr>leger10</vt:lpstr>
      <vt:lpstr>legger</vt:lpstr>
      <vt:lpstr>leggerx</vt:lpstr>
      <vt:lpstr>leggerx1</vt:lpstr>
      <vt:lpstr>Naiktidak</vt:lpstr>
      <vt:lpstr>nilkonv</vt:lpstr>
      <vt:lpstr>'RAPORT (2)'!nomor</vt:lpstr>
      <vt:lpstr>nomor</vt:lpstr>
      <vt:lpstr>prestasi</vt:lpstr>
      <vt:lpstr>COVER!Print_Area</vt:lpstr>
      <vt:lpstr>Identitas!Print_Area</vt:lpstr>
      <vt:lpstr>LEGER!Print_Area</vt:lpstr>
      <vt:lpstr>PdhKeluar!Print_Area</vt:lpstr>
      <vt:lpstr>PdhMasuk!Print_Area</vt:lpstr>
      <vt:lpstr>PETUNJUK!Print_Area</vt:lpstr>
      <vt:lpstr>'RAPORT (2)'!Print_Area</vt:lpstr>
      <vt:lpstr>LEGER!Print_Titles</vt:lpstr>
      <vt:lpstr>RAPORT!Print_Titles</vt:lpstr>
      <vt:lpstr>'RAPORT (2)'!Print_Titles</vt:lpstr>
      <vt:lpstr>'RAPORT (2)'!Rapor</vt:lpstr>
      <vt:lpstr>Rapor</vt:lpstr>
      <vt:lpstr>SB</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sekolah</dc:creator>
  <cp:lastModifiedBy>Haru.com</cp:lastModifiedBy>
  <cp:lastPrinted>2019-06-19T13:17:06Z</cp:lastPrinted>
  <dcterms:created xsi:type="dcterms:W3CDTF">2006-08-19T02:21:34Z</dcterms:created>
  <dcterms:modified xsi:type="dcterms:W3CDTF">2019-06-22T16:28:10Z</dcterms:modified>
</cp:coreProperties>
</file>

<file path=userCustomization/customUI.xml><?xml version="1.0" encoding="utf-8"?>
<mso:customUI xmlns:doc="http://schemas.microsoft.com/office/2006/01/customui/currentDocument" xmlns:mso="http://schemas.microsoft.com/office/2006/01/customui">
  <mso:ribbon>
    <mso:qat>
      <mso:documentControls>
        <mso:separator idQ="doc:sep1" visible="true"/>
      </mso:documentControls>
    </mso:qat>
  </mso:ribbon>
</mso:customUI>
</file>