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defaultThemeVersion="124226"/>
  <bookViews>
    <workbookView xWindow="-405" yWindow="-165" windowWidth="11265" windowHeight="8265" tabRatio="996" firstSheet="2" activeTab="23"/>
  </bookViews>
  <sheets>
    <sheet name="PETUNJUK" sheetId="1" r:id="rId1"/>
    <sheet name="Biodata" sheetId="2" r:id="rId2"/>
    <sheet name="LEGER" sheetId="3" r:id="rId3"/>
    <sheet name="CatatPrestasi" sheetId="4" r:id="rId4"/>
    <sheet name="RAPORT" sheetId="5" r:id="rId5"/>
    <sheet name="NilKon" sheetId="6" state="hidden" r:id="rId6"/>
    <sheet name="RAPORT (1)" sheetId="7" r:id="rId7"/>
    <sheet name="COVER" sheetId="8" r:id="rId8"/>
    <sheet name="Identitas" sheetId="9" r:id="rId9"/>
    <sheet name="PdhKeluar" sheetId="10" r:id="rId10"/>
    <sheet name="PdhMasuk" sheetId="11" r:id="rId11"/>
    <sheet name="PAiBP" sheetId="12" r:id="rId12"/>
    <sheet name="PKN" sheetId="13" r:id="rId13"/>
    <sheet name="BIND" sheetId="14" r:id="rId14"/>
    <sheet name="MATH" sheetId="15" r:id="rId15"/>
    <sheet name="SJRID" sheetId="16" r:id="rId16"/>
    <sheet name="BING" sheetId="17" r:id="rId17"/>
    <sheet name="SENI" sheetId="18" r:id="rId18"/>
    <sheet name="PJOK" sheetId="19" r:id="rId19"/>
    <sheet name="PKWU" sheetId="20" r:id="rId20"/>
    <sheet name="MULOK" sheetId="21" r:id="rId21"/>
    <sheet name="SJRIPS" sheetId="22" r:id="rId22"/>
    <sheet name="GEOG" sheetId="23" r:id="rId23"/>
    <sheet name="SOSIO" sheetId="24" r:id="rId24"/>
    <sheet name="EKON" sheetId="25" r:id="rId25"/>
    <sheet name="LM-1" sheetId="26" r:id="rId26"/>
    <sheet name="LM-2" sheetId="27" r:id="rId27"/>
    <sheet name="BTQ" sheetId="28" r:id="rId28"/>
  </sheets>
  <definedNames>
    <definedName name="_151610003A" localSheetId="2">RAPORT!$P$1</definedName>
    <definedName name="_151610003A" localSheetId="4">RAPORT!$P$1</definedName>
    <definedName name="_151610003A" localSheetId="6">'RAPORT (1)'!$P$1</definedName>
    <definedName name="_xlnm._FilterDatabase" localSheetId="2" hidden="1">LEGER!$A$5:$AG$167</definedName>
    <definedName name="_min1" localSheetId="6">#REF!</definedName>
    <definedName name="_min1">#REF!</definedName>
    <definedName name="_min2" localSheetId="6">#REF!</definedName>
    <definedName name="_min2">#REF!</definedName>
    <definedName name="_min3" localSheetId="6">#REF!</definedName>
    <definedName name="_min3">#REF!</definedName>
    <definedName name="_min4" localSheetId="6">#REF!</definedName>
    <definedName name="_min4">#REF!</definedName>
    <definedName name="_min5" localSheetId="6">#REF!</definedName>
    <definedName name="_min5">#REF!</definedName>
    <definedName name="_min6" localSheetId="6">#REF!</definedName>
    <definedName name="_min6">#REF!</definedName>
    <definedName name="_min7" localSheetId="6">#REF!</definedName>
    <definedName name="_min7">#REF!</definedName>
    <definedName name="agama" localSheetId="6">#REF!</definedName>
    <definedName name="agama">#REF!</definedName>
    <definedName name="agmx1" localSheetId="6">#REF!</definedName>
    <definedName name="agmx1">#REF!</definedName>
    <definedName name="big" localSheetId="6">#REF!</definedName>
    <definedName name="big">#REF!</definedName>
    <definedName name="bin" localSheetId="6">#REF!</definedName>
    <definedName name="bin">#REF!</definedName>
    <definedName name="bindx1" localSheetId="6">#REF!</definedName>
    <definedName name="bindx1">#REF!</definedName>
    <definedName name="bingx1" localSheetId="6">#REF!</definedName>
    <definedName name="bingx1">#REF!</definedName>
    <definedName name="Biodata">Biodata!$A$1:$X$48</definedName>
    <definedName name="bioguru" localSheetId="6">#REF!</definedName>
    <definedName name="bioguru">#REF!</definedName>
    <definedName name="bionisnama">Biodata!$B:$C</definedName>
    <definedName name="biononis">Biodata!$A:$C</definedName>
    <definedName name="catatan">CatatPrestasi!$D$5:$H$164</definedName>
    <definedName name="COMMENT" localSheetId="6">#REF!</definedName>
    <definedName name="COMMENT">#REF!</definedName>
    <definedName name="Cover">COVER!$A$1:$J$41</definedName>
    <definedName name="hurkon" localSheetId="6">#REF!</definedName>
    <definedName name="hurkon">#REF!</definedName>
    <definedName name="Ledger" localSheetId="6">'RAPORT (1)'!$P$1</definedName>
    <definedName name="Ledger">RAPORT!$P$1</definedName>
    <definedName name="Leger">LEGER!$A$1:$AF$173</definedName>
    <definedName name="leger10">LEGER!$D$8:$AG$173</definedName>
    <definedName name="legger">LEGER!$A:$AE</definedName>
    <definedName name="leggerx">LEGER!$D$8:$AE$167</definedName>
    <definedName name="leggerx1">LEGER!$D$8:$AE$167</definedName>
    <definedName name="min1x1" localSheetId="6">#REF!</definedName>
    <definedName name="min1x1">#REF!</definedName>
    <definedName name="min2x1" localSheetId="6">#REF!</definedName>
    <definedName name="min2x1">#REF!</definedName>
    <definedName name="min3x1" localSheetId="6">#REF!</definedName>
    <definedName name="min3x1">#REF!</definedName>
    <definedName name="min4x1" localSheetId="6">#REF!</definedName>
    <definedName name="min4x1">#REF!</definedName>
    <definedName name="min5x1" localSheetId="6">#REF!</definedName>
    <definedName name="min5x1">#REF!</definedName>
    <definedName name="min6x1" localSheetId="6">#REF!</definedName>
    <definedName name="min6x1">#REF!</definedName>
    <definedName name="min7x1" localSheetId="6">#REF!</definedName>
    <definedName name="min7x1">#REF!</definedName>
    <definedName name="mtk" localSheetId="6">#REF!</definedName>
    <definedName name="mtk">#REF!</definedName>
    <definedName name="mtkx1" localSheetId="6">#REF!</definedName>
    <definedName name="mtkx1">#REF!</definedName>
    <definedName name="nilkonv">NilKon!$B:$G</definedName>
    <definedName name="nomor" localSheetId="6">'RAPORT (1)'!$O$1</definedName>
    <definedName name="nomor">RAPORT!$O$1</definedName>
    <definedName name="olga" localSheetId="6">#REF!</definedName>
    <definedName name="olga">#REF!</definedName>
    <definedName name="penjasx1" localSheetId="6">#REF!</definedName>
    <definedName name="penjasx1">#REF!</definedName>
    <definedName name="pkn" localSheetId="6">#REF!</definedName>
    <definedName name="pkn">#REF!</definedName>
    <definedName name="pknx1" localSheetId="6">#REF!</definedName>
    <definedName name="pknx1">#REF!</definedName>
    <definedName name="pnkx1" localSheetId="6">#REF!</definedName>
    <definedName name="pnkx1">#REF!</definedName>
    <definedName name="PRAK" localSheetId="6">#REF!</definedName>
    <definedName name="PRAK">#REF!</definedName>
    <definedName name="prestasi">LEGER!$A$8:$AF$167</definedName>
    <definedName name="_xlnm.Print_Area" localSheetId="7">COVER!$A$1:$J$45</definedName>
    <definedName name="_xlnm.Print_Area" localSheetId="8">Identitas!$A$1:$D$42</definedName>
    <definedName name="_xlnm.Print_Area" localSheetId="2">LEGER!$A$1:$AG$173</definedName>
    <definedName name="_xlnm.Print_Area" localSheetId="9">PdhKeluar!$A$1:$E$29</definedName>
    <definedName name="_xlnm.Print_Area" localSheetId="10">PdhMasuk!$A$1:$F$28</definedName>
    <definedName name="_xlnm.Print_Area" localSheetId="0">PETUNJUK!$A$1:$B$28</definedName>
    <definedName name="_xlnm.Print_Area" localSheetId="4">RAPORT!$A$1:$M$124</definedName>
    <definedName name="_xlnm.Print_Area" localSheetId="6">'RAPORT (1)'!$A$1:$M$84</definedName>
    <definedName name="_xlnm.Print_Titles" localSheetId="1">Biodata!$7:$8</definedName>
    <definedName name="_xlnm.Print_Titles" localSheetId="2">LEGER!$7:$7</definedName>
    <definedName name="_xlnm.Print_Titles" localSheetId="4">RAPORT!$1:$4</definedName>
    <definedName name="_xlnm.Print_Titles" localSheetId="6">'RAPORT (1)'!$1:$4</definedName>
    <definedName name="RANking" localSheetId="6">#REF!</definedName>
    <definedName name="RANking">#REF!</definedName>
    <definedName name="Rapor" localSheetId="6">'RAPORT (1)'!$A$3:$R$39</definedName>
    <definedName name="Rapor">RAPORT!$A$3:$R$54</definedName>
    <definedName name="SB">LEGER!$W$8</definedName>
    <definedName name="SEJ_U" localSheetId="6">#REF!</definedName>
    <definedName name="SEJ_U">#REF!</definedName>
    <definedName name="sejux1" localSheetId="6">#REF!</definedName>
    <definedName name="sejux1">#REF!</definedName>
    <definedName name="seni" localSheetId="6">#REF!</definedName>
    <definedName name="seni">#REF!</definedName>
    <definedName name="senix1" localSheetId="6">#REF!</definedName>
    <definedName name="senix1">#REF!</definedName>
  </definedNames>
  <calcPr calcId="144525"/>
</workbook>
</file>

<file path=xl/calcChain.xml><?xml version="1.0" encoding="utf-8"?>
<calcChain xmlns="http://schemas.openxmlformats.org/spreadsheetml/2006/main">
  <c r="D26" i="9" l="1"/>
  <c r="C46" i="28" l="1"/>
  <c r="B46" i="28"/>
  <c r="A46" i="28"/>
  <c r="C45" i="28"/>
  <c r="B45" i="28"/>
  <c r="A45" i="28"/>
  <c r="C44" i="28"/>
  <c r="B44" i="28"/>
  <c r="A44" i="28"/>
  <c r="C43" i="28"/>
  <c r="B43" i="28"/>
  <c r="A43" i="28"/>
  <c r="C42" i="28"/>
  <c r="B42" i="28"/>
  <c r="A42" i="28"/>
  <c r="C41" i="28"/>
  <c r="B41" i="28"/>
  <c r="A41" i="28"/>
  <c r="C40" i="28"/>
  <c r="B40" i="28"/>
  <c r="A40" i="28"/>
  <c r="C39" i="28"/>
  <c r="B39" i="28"/>
  <c r="A39" i="28"/>
  <c r="C38" i="28"/>
  <c r="B38" i="28"/>
  <c r="A38" i="28"/>
  <c r="C37" i="28"/>
  <c r="B37" i="28"/>
  <c r="A37" i="28"/>
  <c r="C36" i="28"/>
  <c r="B36" i="28"/>
  <c r="A36" i="28"/>
  <c r="C35" i="28"/>
  <c r="B35" i="28"/>
  <c r="A35" i="28"/>
  <c r="C34" i="28"/>
  <c r="B34" i="28"/>
  <c r="A34" i="28"/>
  <c r="C33" i="28"/>
  <c r="B33" i="28"/>
  <c r="A33" i="28"/>
  <c r="C32" i="28"/>
  <c r="B32" i="28"/>
  <c r="A32" i="28"/>
  <c r="C31" i="28"/>
  <c r="B31" i="28"/>
  <c r="A31" i="28"/>
  <c r="C30" i="28"/>
  <c r="B30" i="28"/>
  <c r="A30" i="28"/>
  <c r="C29" i="28"/>
  <c r="B29" i="28"/>
  <c r="A29" i="28"/>
  <c r="C28" i="28"/>
  <c r="B28" i="28"/>
  <c r="A28" i="28"/>
  <c r="C27" i="28"/>
  <c r="B27" i="28"/>
  <c r="A27" i="28"/>
  <c r="C26" i="28"/>
  <c r="B26" i="28"/>
  <c r="A26" i="28"/>
  <c r="C25" i="28"/>
  <c r="B25" i="28"/>
  <c r="A25" i="28"/>
  <c r="C24" i="28"/>
  <c r="B24" i="28"/>
  <c r="A24" i="28"/>
  <c r="C23" i="28"/>
  <c r="B23" i="28"/>
  <c r="A23" i="28"/>
  <c r="C22" i="28"/>
  <c r="B22" i="28"/>
  <c r="A22" i="28"/>
  <c r="C21" i="28"/>
  <c r="B21" i="28"/>
  <c r="A21" i="28"/>
  <c r="C20" i="28"/>
  <c r="B20" i="28"/>
  <c r="A20" i="28"/>
  <c r="C19" i="28"/>
  <c r="B19" i="28"/>
  <c r="A19" i="28"/>
  <c r="C18" i="28"/>
  <c r="B18" i="28"/>
  <c r="A18" i="28"/>
  <c r="C17" i="28"/>
  <c r="B17" i="28"/>
  <c r="A17" i="28"/>
  <c r="C16" i="28"/>
  <c r="B16" i="28"/>
  <c r="A16" i="28"/>
  <c r="C15" i="28"/>
  <c r="B15" i="28"/>
  <c r="A15" i="28"/>
  <c r="C14" i="28"/>
  <c r="B14" i="28"/>
  <c r="A14" i="28"/>
  <c r="C13" i="28"/>
  <c r="B13" i="28"/>
  <c r="A13" i="28"/>
  <c r="C12" i="28"/>
  <c r="B12" i="28"/>
  <c r="A12" i="28"/>
  <c r="C11" i="28"/>
  <c r="B11" i="28"/>
  <c r="A11" i="28"/>
  <c r="C10" i="28"/>
  <c r="B10" i="28"/>
  <c r="A10" i="28"/>
  <c r="C9" i="28"/>
  <c r="B9" i="28"/>
  <c r="A9" i="28"/>
  <c r="C8" i="28"/>
  <c r="B8" i="28"/>
  <c r="A8" i="28"/>
  <c r="C7" i="28"/>
  <c r="B7" i="28"/>
  <c r="A7" i="28"/>
  <c r="D5" i="28"/>
  <c r="D4" i="28"/>
  <c r="D2" i="28"/>
  <c r="D1" i="28"/>
  <c r="C46" i="27"/>
  <c r="B46" i="27"/>
  <c r="A46" i="27"/>
  <c r="C45" i="27"/>
  <c r="B45" i="27"/>
  <c r="A45" i="27"/>
  <c r="C44" i="27"/>
  <c r="B44" i="27"/>
  <c r="A44" i="27"/>
  <c r="C43" i="27"/>
  <c r="B43" i="27"/>
  <c r="A43" i="27"/>
  <c r="C42" i="27"/>
  <c r="B42" i="27"/>
  <c r="A42" i="27"/>
  <c r="C41" i="27"/>
  <c r="B41" i="27"/>
  <c r="A41" i="27"/>
  <c r="C40" i="27"/>
  <c r="B40" i="27"/>
  <c r="A40" i="27"/>
  <c r="C39" i="27"/>
  <c r="B39" i="27"/>
  <c r="A39" i="27"/>
  <c r="C38" i="27"/>
  <c r="B38" i="27"/>
  <c r="A38" i="27"/>
  <c r="C37" i="27"/>
  <c r="B37" i="27"/>
  <c r="A37" i="27"/>
  <c r="C36" i="27"/>
  <c r="B36" i="27"/>
  <c r="A36" i="27"/>
  <c r="C35" i="27"/>
  <c r="B35" i="27"/>
  <c r="A35" i="27"/>
  <c r="C34" i="27"/>
  <c r="B34" i="27"/>
  <c r="A34" i="27"/>
  <c r="C33" i="27"/>
  <c r="B33" i="27"/>
  <c r="A33" i="27"/>
  <c r="C32" i="27"/>
  <c r="B32" i="27"/>
  <c r="A32" i="27"/>
  <c r="C31" i="27"/>
  <c r="B31" i="27"/>
  <c r="A31" i="27"/>
  <c r="C30" i="27"/>
  <c r="B30" i="27"/>
  <c r="A30" i="27"/>
  <c r="C29" i="27"/>
  <c r="B29" i="27"/>
  <c r="A29" i="27"/>
  <c r="C28" i="27"/>
  <c r="B28" i="27"/>
  <c r="A28" i="27"/>
  <c r="C27" i="27"/>
  <c r="B27" i="27"/>
  <c r="A27" i="27"/>
  <c r="C26" i="27"/>
  <c r="B26" i="27"/>
  <c r="A26" i="27"/>
  <c r="C25" i="27"/>
  <c r="B25" i="27"/>
  <c r="A25" i="27"/>
  <c r="C24" i="27"/>
  <c r="B24" i="27"/>
  <c r="A24" i="27"/>
  <c r="C23" i="27"/>
  <c r="B23" i="27"/>
  <c r="A23" i="27"/>
  <c r="C22" i="27"/>
  <c r="B22" i="27"/>
  <c r="A22" i="27"/>
  <c r="C21" i="27"/>
  <c r="B21" i="27"/>
  <c r="A21" i="27"/>
  <c r="C20" i="27"/>
  <c r="B20" i="27"/>
  <c r="A20" i="27"/>
  <c r="C19" i="27"/>
  <c r="B19" i="27"/>
  <c r="A19" i="27"/>
  <c r="C18" i="27"/>
  <c r="B18" i="27"/>
  <c r="A18" i="27"/>
  <c r="C17" i="27"/>
  <c r="B17" i="27"/>
  <c r="A17" i="27"/>
  <c r="C16" i="27"/>
  <c r="B16" i="27"/>
  <c r="A16" i="27"/>
  <c r="C15" i="27"/>
  <c r="B15" i="27"/>
  <c r="A15" i="27"/>
  <c r="C14" i="27"/>
  <c r="B14" i="27"/>
  <c r="A14" i="27"/>
  <c r="C13" i="27"/>
  <c r="B13" i="27"/>
  <c r="A13" i="27"/>
  <c r="C12" i="27"/>
  <c r="B12" i="27"/>
  <c r="A12" i="27"/>
  <c r="C11" i="27"/>
  <c r="B11" i="27"/>
  <c r="A11" i="27"/>
  <c r="C10" i="27"/>
  <c r="B10" i="27"/>
  <c r="A10" i="27"/>
  <c r="C9" i="27"/>
  <c r="B9" i="27"/>
  <c r="A9" i="27"/>
  <c r="C8" i="27"/>
  <c r="B8" i="27"/>
  <c r="A8" i="27"/>
  <c r="C7" i="27"/>
  <c r="B7" i="27"/>
  <c r="A7" i="27"/>
  <c r="D5" i="27"/>
  <c r="D4" i="27"/>
  <c r="D2" i="27"/>
  <c r="D1" i="27"/>
  <c r="C46" i="26"/>
  <c r="B46" i="26"/>
  <c r="A46" i="26"/>
  <c r="C45" i="26"/>
  <c r="B45" i="26"/>
  <c r="A45" i="26"/>
  <c r="C44" i="26"/>
  <c r="B44" i="26"/>
  <c r="A44" i="26"/>
  <c r="C43" i="26"/>
  <c r="B43" i="26"/>
  <c r="A43" i="26"/>
  <c r="C42" i="26"/>
  <c r="B42" i="26"/>
  <c r="A42" i="26"/>
  <c r="C41" i="26"/>
  <c r="B41" i="26"/>
  <c r="A41" i="26"/>
  <c r="C40" i="26"/>
  <c r="B40" i="26"/>
  <c r="A40" i="26"/>
  <c r="C39" i="26"/>
  <c r="B39" i="26"/>
  <c r="A39" i="26"/>
  <c r="C38" i="26"/>
  <c r="B38" i="26"/>
  <c r="A38" i="26"/>
  <c r="C37" i="26"/>
  <c r="B37" i="26"/>
  <c r="A37" i="26"/>
  <c r="C36" i="26"/>
  <c r="B36" i="26"/>
  <c r="A36" i="26"/>
  <c r="C35" i="26"/>
  <c r="B35" i="26"/>
  <c r="A35" i="26"/>
  <c r="C34" i="26"/>
  <c r="B34" i="26"/>
  <c r="A34" i="26"/>
  <c r="C33" i="26"/>
  <c r="B33" i="26"/>
  <c r="A33" i="26"/>
  <c r="C32" i="26"/>
  <c r="B32" i="26"/>
  <c r="A32" i="26"/>
  <c r="C31" i="26"/>
  <c r="B31" i="26"/>
  <c r="A31" i="26"/>
  <c r="C30" i="26"/>
  <c r="B30" i="26"/>
  <c r="A30" i="26"/>
  <c r="C29" i="26"/>
  <c r="B29" i="26"/>
  <c r="A29" i="26"/>
  <c r="C28" i="26"/>
  <c r="B28" i="26"/>
  <c r="A28" i="26"/>
  <c r="C27" i="26"/>
  <c r="B27" i="26"/>
  <c r="A27" i="26"/>
  <c r="C26" i="26"/>
  <c r="B26" i="26"/>
  <c r="A26" i="26"/>
  <c r="C25" i="26"/>
  <c r="B25" i="26"/>
  <c r="A25" i="26"/>
  <c r="C24" i="26"/>
  <c r="B24" i="26"/>
  <c r="A24" i="26"/>
  <c r="C23" i="26"/>
  <c r="B23" i="26"/>
  <c r="A23" i="26"/>
  <c r="C22" i="26"/>
  <c r="B22" i="26"/>
  <c r="A22" i="26"/>
  <c r="C21" i="26"/>
  <c r="B21" i="26"/>
  <c r="A21" i="26"/>
  <c r="C20" i="26"/>
  <c r="B20" i="26"/>
  <c r="A20" i="26"/>
  <c r="C19" i="26"/>
  <c r="B19" i="26"/>
  <c r="A19" i="26"/>
  <c r="C18" i="26"/>
  <c r="B18" i="26"/>
  <c r="A18" i="26"/>
  <c r="C17" i="26"/>
  <c r="B17" i="26"/>
  <c r="A17" i="26"/>
  <c r="C16" i="26"/>
  <c r="B16" i="26"/>
  <c r="A16" i="26"/>
  <c r="C15" i="26"/>
  <c r="B15" i="26"/>
  <c r="A15" i="26"/>
  <c r="C14" i="26"/>
  <c r="B14" i="26"/>
  <c r="A14" i="26"/>
  <c r="C13" i="26"/>
  <c r="B13" i="26"/>
  <c r="A13" i="26"/>
  <c r="C12" i="26"/>
  <c r="B12" i="26"/>
  <c r="A12" i="26"/>
  <c r="C11" i="26"/>
  <c r="B11" i="26"/>
  <c r="A11" i="26"/>
  <c r="C10" i="26"/>
  <c r="B10" i="26"/>
  <c r="A10" i="26"/>
  <c r="C9" i="26"/>
  <c r="B9" i="26"/>
  <c r="A9" i="26"/>
  <c r="C8" i="26"/>
  <c r="B8" i="26"/>
  <c r="A8" i="26"/>
  <c r="C7" i="26"/>
  <c r="B7" i="26"/>
  <c r="A7" i="26"/>
  <c r="D5" i="26"/>
  <c r="D4" i="26"/>
  <c r="D2" i="26"/>
  <c r="D1" i="26"/>
  <c r="C46" i="25"/>
  <c r="B46" i="25"/>
  <c r="A46" i="25"/>
  <c r="C45" i="25"/>
  <c r="B45" i="25"/>
  <c r="A45" i="25"/>
  <c r="C44" i="25"/>
  <c r="B44" i="25"/>
  <c r="A44" i="25"/>
  <c r="C43" i="25"/>
  <c r="B43" i="25"/>
  <c r="A43" i="25"/>
  <c r="C42" i="25"/>
  <c r="B42" i="25"/>
  <c r="A42" i="25"/>
  <c r="C41" i="25"/>
  <c r="B41" i="25"/>
  <c r="A41" i="25"/>
  <c r="C40" i="25"/>
  <c r="B40" i="25"/>
  <c r="A40" i="25"/>
  <c r="C39" i="25"/>
  <c r="B39" i="25"/>
  <c r="A39" i="25"/>
  <c r="C38" i="25"/>
  <c r="B38" i="25"/>
  <c r="A38" i="25"/>
  <c r="C37" i="25"/>
  <c r="B37" i="25"/>
  <c r="A37" i="25"/>
  <c r="C36" i="25"/>
  <c r="B36" i="25"/>
  <c r="A36" i="25"/>
  <c r="C35" i="25"/>
  <c r="B35" i="25"/>
  <c r="A35" i="25"/>
  <c r="C34" i="25"/>
  <c r="B34" i="25"/>
  <c r="A34" i="25"/>
  <c r="C33" i="25"/>
  <c r="B33" i="25"/>
  <c r="A33" i="25"/>
  <c r="C32" i="25"/>
  <c r="B32" i="25"/>
  <c r="A32" i="25"/>
  <c r="C31" i="25"/>
  <c r="B31" i="25"/>
  <c r="A31" i="25"/>
  <c r="C30" i="25"/>
  <c r="B30" i="25"/>
  <c r="A30" i="25"/>
  <c r="C29" i="25"/>
  <c r="B29" i="25"/>
  <c r="A29" i="25"/>
  <c r="C28" i="25"/>
  <c r="B28" i="25"/>
  <c r="A28" i="25"/>
  <c r="C27" i="25"/>
  <c r="B27" i="25"/>
  <c r="A27" i="25"/>
  <c r="C26" i="25"/>
  <c r="B26" i="25"/>
  <c r="A26" i="25"/>
  <c r="C25" i="25"/>
  <c r="B25" i="25"/>
  <c r="A25" i="25"/>
  <c r="C24" i="25"/>
  <c r="B24" i="25"/>
  <c r="A24" i="25"/>
  <c r="C23" i="25"/>
  <c r="B23" i="25"/>
  <c r="A23" i="25"/>
  <c r="C22" i="25"/>
  <c r="B22" i="25"/>
  <c r="A22" i="25"/>
  <c r="C21" i="25"/>
  <c r="B21" i="25"/>
  <c r="A21" i="25"/>
  <c r="C20" i="25"/>
  <c r="B20" i="25"/>
  <c r="A20" i="25"/>
  <c r="C19" i="25"/>
  <c r="B19" i="25"/>
  <c r="A19" i="25"/>
  <c r="C18" i="25"/>
  <c r="B18" i="25"/>
  <c r="A18" i="25"/>
  <c r="C17" i="25"/>
  <c r="B17" i="25"/>
  <c r="A17" i="25"/>
  <c r="C16" i="25"/>
  <c r="B16" i="25"/>
  <c r="A16" i="25"/>
  <c r="C15" i="25"/>
  <c r="B15" i="25"/>
  <c r="A15" i="25"/>
  <c r="C14" i="25"/>
  <c r="B14" i="25"/>
  <c r="A14" i="25"/>
  <c r="C13" i="25"/>
  <c r="B13" i="25"/>
  <c r="A13" i="25"/>
  <c r="C12" i="25"/>
  <c r="B12" i="25"/>
  <c r="A12" i="25"/>
  <c r="C11" i="25"/>
  <c r="B11" i="25"/>
  <c r="A11" i="25"/>
  <c r="C10" i="25"/>
  <c r="B10" i="25"/>
  <c r="A10" i="25"/>
  <c r="C9" i="25"/>
  <c r="B9" i="25"/>
  <c r="A9" i="25"/>
  <c r="C8" i="25"/>
  <c r="B8" i="25"/>
  <c r="A8" i="25"/>
  <c r="C7" i="25"/>
  <c r="B7" i="25"/>
  <c r="A7" i="25"/>
  <c r="D5" i="25"/>
  <c r="D4" i="25"/>
  <c r="D2" i="25"/>
  <c r="D1" i="25"/>
  <c r="C46" i="24"/>
  <c r="B46" i="24"/>
  <c r="A46" i="24"/>
  <c r="C45" i="24"/>
  <c r="B45" i="24"/>
  <c r="A45" i="24"/>
  <c r="C44" i="24"/>
  <c r="B44" i="24"/>
  <c r="A44" i="24"/>
  <c r="C43" i="24"/>
  <c r="B43" i="24"/>
  <c r="A43" i="24"/>
  <c r="C42" i="24"/>
  <c r="B42" i="24"/>
  <c r="A42" i="24"/>
  <c r="C41" i="24"/>
  <c r="B41" i="24"/>
  <c r="A41" i="24"/>
  <c r="C40" i="24"/>
  <c r="B40" i="24"/>
  <c r="A40" i="24"/>
  <c r="C39" i="24"/>
  <c r="B39" i="24"/>
  <c r="A39" i="24"/>
  <c r="C38" i="24"/>
  <c r="B38" i="24"/>
  <c r="A38" i="24"/>
  <c r="C37" i="24"/>
  <c r="B37" i="24"/>
  <c r="A37" i="24"/>
  <c r="C36" i="24"/>
  <c r="B36" i="24"/>
  <c r="A36" i="24"/>
  <c r="C35" i="24"/>
  <c r="B35" i="24"/>
  <c r="A35" i="24"/>
  <c r="C34" i="24"/>
  <c r="B34" i="24"/>
  <c r="A34" i="24"/>
  <c r="C33" i="24"/>
  <c r="B33" i="24"/>
  <c r="A33" i="24"/>
  <c r="C32" i="24"/>
  <c r="B32" i="24"/>
  <c r="A32" i="24"/>
  <c r="C31" i="24"/>
  <c r="B31" i="24"/>
  <c r="A31" i="24"/>
  <c r="C30" i="24"/>
  <c r="B30" i="24"/>
  <c r="A30" i="24"/>
  <c r="C29" i="24"/>
  <c r="B29" i="24"/>
  <c r="A29" i="24"/>
  <c r="C28" i="24"/>
  <c r="B28" i="24"/>
  <c r="A28" i="24"/>
  <c r="C27" i="24"/>
  <c r="B27" i="24"/>
  <c r="A27" i="24"/>
  <c r="C26" i="24"/>
  <c r="B26" i="24"/>
  <c r="A26" i="24"/>
  <c r="C25" i="24"/>
  <c r="B25" i="24"/>
  <c r="A25" i="24"/>
  <c r="C24" i="24"/>
  <c r="B24" i="24"/>
  <c r="A24" i="24"/>
  <c r="C23" i="24"/>
  <c r="B23" i="24"/>
  <c r="A23" i="24"/>
  <c r="C22" i="24"/>
  <c r="B22" i="24"/>
  <c r="A22" i="24"/>
  <c r="C21" i="24"/>
  <c r="B21" i="24"/>
  <c r="A21" i="24"/>
  <c r="C20" i="24"/>
  <c r="B20" i="24"/>
  <c r="A20" i="24"/>
  <c r="C19" i="24"/>
  <c r="B19" i="24"/>
  <c r="A19" i="24"/>
  <c r="C18" i="24"/>
  <c r="B18" i="24"/>
  <c r="A18" i="24"/>
  <c r="C17" i="24"/>
  <c r="B17" i="24"/>
  <c r="A17" i="24"/>
  <c r="C16" i="24"/>
  <c r="B16" i="24"/>
  <c r="A16" i="24"/>
  <c r="C15" i="24"/>
  <c r="B15" i="24"/>
  <c r="A15" i="24"/>
  <c r="C14" i="24"/>
  <c r="B14" i="24"/>
  <c r="A14" i="24"/>
  <c r="C13" i="24"/>
  <c r="B13" i="24"/>
  <c r="A13" i="24"/>
  <c r="C12" i="24"/>
  <c r="B12" i="24"/>
  <c r="A12" i="24"/>
  <c r="C11" i="24"/>
  <c r="B11" i="24"/>
  <c r="A11" i="24"/>
  <c r="C10" i="24"/>
  <c r="B10" i="24"/>
  <c r="A10" i="24"/>
  <c r="C9" i="24"/>
  <c r="B9" i="24"/>
  <c r="A9" i="24"/>
  <c r="C8" i="24"/>
  <c r="B8" i="24"/>
  <c r="A8" i="24"/>
  <c r="C7" i="24"/>
  <c r="B7" i="24"/>
  <c r="A7" i="24"/>
  <c r="D5" i="24"/>
  <c r="D4" i="24"/>
  <c r="D2" i="24"/>
  <c r="D1" i="24"/>
  <c r="C46" i="23"/>
  <c r="B46" i="23"/>
  <c r="A46" i="23"/>
  <c r="C45" i="23"/>
  <c r="B45" i="23"/>
  <c r="A45" i="23"/>
  <c r="C44" i="23"/>
  <c r="B44" i="23"/>
  <c r="A44" i="23"/>
  <c r="C43" i="23"/>
  <c r="B43" i="23"/>
  <c r="A43" i="23"/>
  <c r="C42" i="23"/>
  <c r="B42" i="23"/>
  <c r="A42" i="23"/>
  <c r="C41" i="23"/>
  <c r="B41" i="23"/>
  <c r="A41" i="23"/>
  <c r="C40" i="23"/>
  <c r="B40" i="23"/>
  <c r="A40" i="23"/>
  <c r="C39" i="23"/>
  <c r="B39" i="23"/>
  <c r="A39" i="23"/>
  <c r="C38" i="23"/>
  <c r="B38" i="23"/>
  <c r="A38" i="23"/>
  <c r="C37" i="23"/>
  <c r="B37" i="23"/>
  <c r="A37" i="23"/>
  <c r="C36" i="23"/>
  <c r="B36" i="23"/>
  <c r="A36" i="23"/>
  <c r="C35" i="23"/>
  <c r="B35" i="23"/>
  <c r="A35" i="23"/>
  <c r="C34" i="23"/>
  <c r="B34" i="23"/>
  <c r="A34" i="23"/>
  <c r="C33" i="23"/>
  <c r="B33" i="23"/>
  <c r="A33" i="23"/>
  <c r="C32" i="23"/>
  <c r="B32" i="23"/>
  <c r="A32" i="23"/>
  <c r="C31" i="23"/>
  <c r="B31" i="23"/>
  <c r="A31" i="23"/>
  <c r="C30" i="23"/>
  <c r="B30" i="23"/>
  <c r="A30" i="23"/>
  <c r="C29" i="23"/>
  <c r="B29" i="23"/>
  <c r="A29" i="23"/>
  <c r="C28" i="23"/>
  <c r="B28" i="23"/>
  <c r="A28" i="23"/>
  <c r="C27" i="23"/>
  <c r="B27" i="23"/>
  <c r="A27" i="23"/>
  <c r="C26" i="23"/>
  <c r="B26" i="23"/>
  <c r="A26" i="23"/>
  <c r="C25" i="23"/>
  <c r="B25" i="23"/>
  <c r="A25" i="23"/>
  <c r="C24" i="23"/>
  <c r="B24" i="23"/>
  <c r="A24" i="23"/>
  <c r="C23" i="23"/>
  <c r="B23" i="23"/>
  <c r="A23" i="23"/>
  <c r="C22" i="23"/>
  <c r="B22" i="23"/>
  <c r="A22" i="23"/>
  <c r="C21" i="23"/>
  <c r="B21" i="23"/>
  <c r="A21" i="23"/>
  <c r="C20" i="23"/>
  <c r="B20" i="23"/>
  <c r="A20" i="23"/>
  <c r="C19" i="23"/>
  <c r="B19" i="23"/>
  <c r="A19" i="23"/>
  <c r="C18" i="23"/>
  <c r="B18" i="23"/>
  <c r="A18" i="23"/>
  <c r="C17" i="23"/>
  <c r="B17" i="23"/>
  <c r="A17" i="23"/>
  <c r="C16" i="23"/>
  <c r="B16" i="23"/>
  <c r="A16" i="23"/>
  <c r="C15" i="23"/>
  <c r="B15" i="23"/>
  <c r="A15" i="23"/>
  <c r="C14" i="23"/>
  <c r="B14" i="23"/>
  <c r="A14" i="23"/>
  <c r="C13" i="23"/>
  <c r="B13" i="23"/>
  <c r="A13" i="23"/>
  <c r="C12" i="23"/>
  <c r="B12" i="23"/>
  <c r="A12" i="23"/>
  <c r="C11" i="23"/>
  <c r="B11" i="23"/>
  <c r="A11" i="23"/>
  <c r="C10" i="23"/>
  <c r="B10" i="23"/>
  <c r="A10" i="23"/>
  <c r="C9" i="23"/>
  <c r="B9" i="23"/>
  <c r="A9" i="23"/>
  <c r="C8" i="23"/>
  <c r="B8" i="23"/>
  <c r="A8" i="23"/>
  <c r="C7" i="23"/>
  <c r="B7" i="23"/>
  <c r="A7" i="23"/>
  <c r="D5" i="23"/>
  <c r="D4" i="23"/>
  <c r="D2" i="23"/>
  <c r="D1" i="23"/>
  <c r="C46" i="22"/>
  <c r="B46" i="22"/>
  <c r="A46" i="22"/>
  <c r="C45" i="22"/>
  <c r="B45" i="22"/>
  <c r="A45" i="22"/>
  <c r="C44" i="22"/>
  <c r="B44" i="22"/>
  <c r="A44" i="22"/>
  <c r="C43" i="22"/>
  <c r="B43" i="22"/>
  <c r="A43" i="22"/>
  <c r="C42" i="22"/>
  <c r="B42" i="22"/>
  <c r="A42" i="22"/>
  <c r="C41" i="22"/>
  <c r="B41" i="22"/>
  <c r="A41" i="22"/>
  <c r="C40" i="22"/>
  <c r="B40" i="22"/>
  <c r="A40" i="22"/>
  <c r="C39" i="22"/>
  <c r="B39" i="22"/>
  <c r="A39" i="22"/>
  <c r="C38" i="22"/>
  <c r="B38" i="22"/>
  <c r="A38" i="22"/>
  <c r="C37" i="22"/>
  <c r="B37" i="22"/>
  <c r="A37" i="22"/>
  <c r="C36" i="22"/>
  <c r="B36" i="22"/>
  <c r="A36" i="22"/>
  <c r="C35" i="22"/>
  <c r="B35" i="22"/>
  <c r="A35" i="22"/>
  <c r="C34" i="22"/>
  <c r="B34" i="22"/>
  <c r="A34" i="22"/>
  <c r="C33" i="22"/>
  <c r="B33" i="22"/>
  <c r="A33" i="22"/>
  <c r="C32" i="22"/>
  <c r="B32" i="22"/>
  <c r="A32" i="22"/>
  <c r="C31" i="22"/>
  <c r="B31" i="22"/>
  <c r="A31" i="22"/>
  <c r="C30" i="22"/>
  <c r="B30" i="22"/>
  <c r="A30" i="22"/>
  <c r="C29" i="22"/>
  <c r="B29" i="22"/>
  <c r="A29" i="22"/>
  <c r="C28" i="22"/>
  <c r="B28" i="22"/>
  <c r="A28" i="22"/>
  <c r="C27" i="22"/>
  <c r="B27" i="22"/>
  <c r="A27" i="22"/>
  <c r="C26" i="22"/>
  <c r="B26" i="22"/>
  <c r="A26" i="22"/>
  <c r="C25" i="22"/>
  <c r="B25" i="22"/>
  <c r="A25" i="22"/>
  <c r="C24" i="22"/>
  <c r="B24" i="22"/>
  <c r="A24" i="22"/>
  <c r="C23" i="22"/>
  <c r="B23" i="22"/>
  <c r="A23" i="22"/>
  <c r="C22" i="22"/>
  <c r="B22" i="22"/>
  <c r="A22" i="22"/>
  <c r="C21" i="22"/>
  <c r="B21" i="22"/>
  <c r="A21" i="22"/>
  <c r="C20" i="22"/>
  <c r="B20" i="22"/>
  <c r="A20" i="22"/>
  <c r="C19" i="22"/>
  <c r="B19" i="22"/>
  <c r="A19" i="22"/>
  <c r="C18" i="22"/>
  <c r="B18" i="22"/>
  <c r="A18" i="22"/>
  <c r="C17" i="22"/>
  <c r="B17" i="22"/>
  <c r="A17" i="22"/>
  <c r="C16" i="22"/>
  <c r="B16" i="22"/>
  <c r="A16" i="22"/>
  <c r="C15" i="22"/>
  <c r="B15" i="22"/>
  <c r="A15" i="22"/>
  <c r="C14" i="22"/>
  <c r="B14" i="22"/>
  <c r="A14" i="22"/>
  <c r="C13" i="22"/>
  <c r="B13" i="22"/>
  <c r="A13" i="22"/>
  <c r="C12" i="22"/>
  <c r="B12" i="22"/>
  <c r="A12" i="22"/>
  <c r="C11" i="22"/>
  <c r="B11" i="22"/>
  <c r="A11" i="22"/>
  <c r="C10" i="22"/>
  <c r="B10" i="22"/>
  <c r="A10" i="22"/>
  <c r="C9" i="22"/>
  <c r="B9" i="22"/>
  <c r="A9" i="22"/>
  <c r="C8" i="22"/>
  <c r="B8" i="22"/>
  <c r="A8" i="22"/>
  <c r="C7" i="22"/>
  <c r="B7" i="22"/>
  <c r="A7" i="22"/>
  <c r="D5" i="22"/>
  <c r="D4" i="22"/>
  <c r="D2" i="22"/>
  <c r="D1" i="22"/>
  <c r="C46" i="21"/>
  <c r="B46" i="21"/>
  <c r="A46" i="21"/>
  <c r="C45" i="21"/>
  <c r="B45" i="21"/>
  <c r="A45" i="21"/>
  <c r="C44" i="21"/>
  <c r="B44" i="21"/>
  <c r="A44" i="21"/>
  <c r="C43" i="21"/>
  <c r="B43" i="21"/>
  <c r="A43" i="21"/>
  <c r="C42" i="21"/>
  <c r="B42" i="21"/>
  <c r="A42" i="21"/>
  <c r="C41" i="21"/>
  <c r="B41" i="21"/>
  <c r="A41" i="21"/>
  <c r="C40" i="21"/>
  <c r="B40" i="21"/>
  <c r="A40" i="21"/>
  <c r="C39" i="21"/>
  <c r="B39" i="21"/>
  <c r="A39" i="21"/>
  <c r="C38" i="21"/>
  <c r="B38" i="21"/>
  <c r="A38" i="21"/>
  <c r="C37" i="21"/>
  <c r="B37" i="21"/>
  <c r="A37" i="21"/>
  <c r="C36" i="21"/>
  <c r="B36" i="21"/>
  <c r="A36" i="21"/>
  <c r="C35" i="21"/>
  <c r="B35" i="21"/>
  <c r="A35" i="21"/>
  <c r="C34" i="21"/>
  <c r="B34" i="21"/>
  <c r="A34" i="21"/>
  <c r="C33" i="21"/>
  <c r="B33" i="21"/>
  <c r="A33" i="21"/>
  <c r="C32" i="21"/>
  <c r="B32" i="21"/>
  <c r="A32" i="21"/>
  <c r="C31" i="21"/>
  <c r="B31" i="21"/>
  <c r="A31" i="21"/>
  <c r="C30" i="21"/>
  <c r="B30" i="21"/>
  <c r="A30" i="21"/>
  <c r="C29" i="21"/>
  <c r="B29" i="21"/>
  <c r="A29" i="21"/>
  <c r="C28" i="21"/>
  <c r="B28" i="21"/>
  <c r="A28" i="21"/>
  <c r="C27" i="21"/>
  <c r="B27" i="21"/>
  <c r="A27" i="21"/>
  <c r="C26" i="21"/>
  <c r="B26" i="21"/>
  <c r="A26" i="21"/>
  <c r="C25" i="21"/>
  <c r="B25" i="21"/>
  <c r="A25" i="21"/>
  <c r="C24" i="21"/>
  <c r="B24" i="21"/>
  <c r="A24" i="21"/>
  <c r="C23" i="21"/>
  <c r="B23" i="21"/>
  <c r="A23" i="21"/>
  <c r="C22" i="21"/>
  <c r="B22" i="21"/>
  <c r="A22" i="21"/>
  <c r="C21" i="21"/>
  <c r="B21" i="21"/>
  <c r="A21" i="21"/>
  <c r="C20" i="21"/>
  <c r="B20" i="21"/>
  <c r="A20" i="21"/>
  <c r="C19" i="21"/>
  <c r="B19" i="21"/>
  <c r="A19" i="21"/>
  <c r="C18" i="21"/>
  <c r="B18" i="21"/>
  <c r="A18" i="21"/>
  <c r="C17" i="21"/>
  <c r="B17" i="21"/>
  <c r="A17" i="21"/>
  <c r="C16" i="21"/>
  <c r="B16" i="21"/>
  <c r="A16" i="21"/>
  <c r="C15" i="21"/>
  <c r="B15" i="21"/>
  <c r="A15" i="21"/>
  <c r="C14" i="21"/>
  <c r="B14" i="21"/>
  <c r="A14" i="21"/>
  <c r="C13" i="21"/>
  <c r="B13" i="21"/>
  <c r="A13" i="21"/>
  <c r="C12" i="21"/>
  <c r="B12" i="21"/>
  <c r="A12" i="21"/>
  <c r="C11" i="21"/>
  <c r="B11" i="21"/>
  <c r="A11" i="21"/>
  <c r="C10" i="21"/>
  <c r="B10" i="21"/>
  <c r="A10" i="21"/>
  <c r="C9" i="21"/>
  <c r="B9" i="21"/>
  <c r="A9" i="21"/>
  <c r="C8" i="21"/>
  <c r="B8" i="21"/>
  <c r="A8" i="21"/>
  <c r="C7" i="21"/>
  <c r="B7" i="21"/>
  <c r="A7" i="21"/>
  <c r="D5" i="21"/>
  <c r="D4" i="21"/>
  <c r="D2" i="21"/>
  <c r="D1" i="21"/>
  <c r="C46" i="20"/>
  <c r="B46" i="20"/>
  <c r="A46" i="20"/>
  <c r="C45" i="20"/>
  <c r="B45" i="20"/>
  <c r="A45" i="20"/>
  <c r="C44" i="20"/>
  <c r="B44" i="20"/>
  <c r="A44" i="20"/>
  <c r="C43" i="20"/>
  <c r="B43" i="20"/>
  <c r="A43" i="20"/>
  <c r="C42" i="20"/>
  <c r="B42" i="20"/>
  <c r="A42" i="20"/>
  <c r="C41" i="20"/>
  <c r="B41" i="20"/>
  <c r="A41" i="20"/>
  <c r="C40" i="20"/>
  <c r="B40" i="20"/>
  <c r="A40" i="20"/>
  <c r="C39" i="20"/>
  <c r="B39" i="20"/>
  <c r="A39" i="20"/>
  <c r="C38" i="20"/>
  <c r="B38" i="20"/>
  <c r="A38" i="20"/>
  <c r="C37" i="20"/>
  <c r="B37" i="20"/>
  <c r="A37" i="20"/>
  <c r="C36" i="20"/>
  <c r="B36" i="20"/>
  <c r="A36" i="20"/>
  <c r="C35" i="20"/>
  <c r="B35" i="20"/>
  <c r="A35" i="20"/>
  <c r="C34" i="20"/>
  <c r="B34" i="20"/>
  <c r="A34" i="20"/>
  <c r="C33" i="20"/>
  <c r="B33" i="20"/>
  <c r="A33" i="20"/>
  <c r="C32" i="20"/>
  <c r="B32" i="20"/>
  <c r="A32" i="20"/>
  <c r="C31" i="20"/>
  <c r="B31" i="20"/>
  <c r="A31" i="20"/>
  <c r="C30" i="20"/>
  <c r="B30" i="20"/>
  <c r="A30" i="20"/>
  <c r="C29" i="20"/>
  <c r="B29" i="20"/>
  <c r="A29" i="20"/>
  <c r="C28" i="20"/>
  <c r="B28" i="20"/>
  <c r="A28" i="20"/>
  <c r="C27" i="20"/>
  <c r="B27" i="20"/>
  <c r="A27" i="20"/>
  <c r="C26" i="20"/>
  <c r="B26" i="20"/>
  <c r="A26" i="20"/>
  <c r="C25" i="20"/>
  <c r="B25" i="20"/>
  <c r="A25" i="20"/>
  <c r="C24" i="20"/>
  <c r="B24" i="20"/>
  <c r="A24" i="20"/>
  <c r="C23" i="20"/>
  <c r="B23" i="20"/>
  <c r="A23" i="20"/>
  <c r="C22" i="20"/>
  <c r="B22" i="20"/>
  <c r="A22" i="20"/>
  <c r="C21" i="20"/>
  <c r="B21" i="20"/>
  <c r="A21" i="20"/>
  <c r="C20" i="20"/>
  <c r="B20" i="20"/>
  <c r="A20" i="20"/>
  <c r="C19" i="20"/>
  <c r="B19" i="20"/>
  <c r="A19" i="20"/>
  <c r="C18" i="20"/>
  <c r="B18" i="20"/>
  <c r="A18" i="20"/>
  <c r="C17" i="20"/>
  <c r="B17" i="20"/>
  <c r="A17" i="20"/>
  <c r="C16" i="20"/>
  <c r="B16" i="20"/>
  <c r="A16" i="20"/>
  <c r="C15" i="20"/>
  <c r="B15" i="20"/>
  <c r="A15" i="20"/>
  <c r="C14" i="20"/>
  <c r="B14" i="20"/>
  <c r="A14" i="20"/>
  <c r="C13" i="20"/>
  <c r="B13" i="20"/>
  <c r="A13" i="20"/>
  <c r="C12" i="20"/>
  <c r="B12" i="20"/>
  <c r="A12" i="20"/>
  <c r="C11" i="20"/>
  <c r="B11" i="20"/>
  <c r="A11" i="20"/>
  <c r="C10" i="20"/>
  <c r="B10" i="20"/>
  <c r="A10" i="20"/>
  <c r="C9" i="20"/>
  <c r="B9" i="20"/>
  <c r="A9" i="20"/>
  <c r="C8" i="20"/>
  <c r="B8" i="20"/>
  <c r="A8" i="20"/>
  <c r="C7" i="20"/>
  <c r="B7" i="20"/>
  <c r="A7" i="20"/>
  <c r="D5" i="20"/>
  <c r="D4" i="20"/>
  <c r="D2" i="20"/>
  <c r="D1" i="20"/>
  <c r="C46" i="19"/>
  <c r="B46" i="19"/>
  <c r="A46" i="19"/>
  <c r="C45" i="19"/>
  <c r="B45" i="19"/>
  <c r="A45" i="19"/>
  <c r="C44" i="19"/>
  <c r="B44" i="19"/>
  <c r="A44" i="19"/>
  <c r="C43" i="19"/>
  <c r="B43" i="19"/>
  <c r="A43" i="19"/>
  <c r="C42" i="19"/>
  <c r="B42" i="19"/>
  <c r="A42" i="19"/>
  <c r="C41" i="19"/>
  <c r="B41" i="19"/>
  <c r="A41" i="19"/>
  <c r="C40" i="19"/>
  <c r="B40" i="19"/>
  <c r="A40" i="19"/>
  <c r="C39" i="19"/>
  <c r="B39" i="19"/>
  <c r="A39" i="19"/>
  <c r="C38" i="19"/>
  <c r="B38" i="19"/>
  <c r="A38" i="19"/>
  <c r="C37" i="19"/>
  <c r="B37" i="19"/>
  <c r="A37" i="19"/>
  <c r="C36" i="19"/>
  <c r="B36" i="19"/>
  <c r="A36" i="19"/>
  <c r="C35" i="19"/>
  <c r="B35" i="19"/>
  <c r="A35" i="19"/>
  <c r="C34" i="19"/>
  <c r="B34" i="19"/>
  <c r="A34" i="19"/>
  <c r="C33" i="19"/>
  <c r="B33" i="19"/>
  <c r="A33" i="19"/>
  <c r="C32" i="19"/>
  <c r="B32" i="19"/>
  <c r="A32" i="19"/>
  <c r="C31" i="19"/>
  <c r="B31" i="19"/>
  <c r="A31" i="19"/>
  <c r="C30" i="19"/>
  <c r="B30" i="19"/>
  <c r="A30" i="19"/>
  <c r="C29" i="19"/>
  <c r="B29" i="19"/>
  <c r="A29" i="19"/>
  <c r="C28" i="19"/>
  <c r="B28" i="19"/>
  <c r="A28" i="19"/>
  <c r="C27" i="19"/>
  <c r="B27" i="19"/>
  <c r="A27" i="19"/>
  <c r="C26" i="19"/>
  <c r="B26" i="19"/>
  <c r="A26" i="19"/>
  <c r="C25" i="19"/>
  <c r="B25" i="19"/>
  <c r="A25" i="19"/>
  <c r="C24" i="19"/>
  <c r="B24" i="19"/>
  <c r="A24" i="19"/>
  <c r="C23" i="19"/>
  <c r="B23" i="19"/>
  <c r="A23" i="19"/>
  <c r="C22" i="19"/>
  <c r="B22" i="19"/>
  <c r="A22" i="19"/>
  <c r="C21" i="19"/>
  <c r="B21" i="19"/>
  <c r="A21" i="19"/>
  <c r="C20" i="19"/>
  <c r="B20" i="19"/>
  <c r="A20" i="19"/>
  <c r="C19" i="19"/>
  <c r="B19" i="19"/>
  <c r="A19" i="19"/>
  <c r="C18" i="19"/>
  <c r="B18" i="19"/>
  <c r="A18" i="19"/>
  <c r="C17" i="19"/>
  <c r="B17" i="19"/>
  <c r="A17" i="19"/>
  <c r="C16" i="19"/>
  <c r="B16" i="19"/>
  <c r="A16" i="19"/>
  <c r="C15" i="19"/>
  <c r="B15" i="19"/>
  <c r="A15" i="19"/>
  <c r="C14" i="19"/>
  <c r="B14" i="19"/>
  <c r="A14" i="19"/>
  <c r="C13" i="19"/>
  <c r="B13" i="19"/>
  <c r="A13" i="19"/>
  <c r="C12" i="19"/>
  <c r="B12" i="19"/>
  <c r="A12" i="19"/>
  <c r="C11" i="19"/>
  <c r="B11" i="19"/>
  <c r="A11" i="19"/>
  <c r="C10" i="19"/>
  <c r="B10" i="19"/>
  <c r="A10" i="19"/>
  <c r="C9" i="19"/>
  <c r="B9" i="19"/>
  <c r="A9" i="19"/>
  <c r="C8" i="19"/>
  <c r="B8" i="19"/>
  <c r="A8" i="19"/>
  <c r="C7" i="19"/>
  <c r="B7" i="19"/>
  <c r="A7" i="19"/>
  <c r="D5" i="19"/>
  <c r="D4" i="19"/>
  <c r="D2" i="19"/>
  <c r="D1" i="19"/>
  <c r="C46" i="18"/>
  <c r="B46" i="18"/>
  <c r="A46" i="18"/>
  <c r="C45" i="18"/>
  <c r="B45" i="18"/>
  <c r="A45" i="18"/>
  <c r="C44" i="18"/>
  <c r="B44" i="18"/>
  <c r="A44" i="18"/>
  <c r="C43" i="18"/>
  <c r="B43" i="18"/>
  <c r="A43" i="18"/>
  <c r="C42" i="18"/>
  <c r="B42" i="18"/>
  <c r="A42" i="18"/>
  <c r="C41" i="18"/>
  <c r="B41" i="18"/>
  <c r="A41" i="18"/>
  <c r="C40" i="18"/>
  <c r="B40" i="18"/>
  <c r="A40" i="18"/>
  <c r="C39" i="18"/>
  <c r="B39" i="18"/>
  <c r="A39" i="18"/>
  <c r="C38" i="18"/>
  <c r="B38" i="18"/>
  <c r="A38" i="18"/>
  <c r="C37" i="18"/>
  <c r="B37" i="18"/>
  <c r="A37" i="18"/>
  <c r="C36" i="18"/>
  <c r="B36" i="18"/>
  <c r="A36" i="18"/>
  <c r="C35" i="18"/>
  <c r="B35" i="18"/>
  <c r="A35" i="18"/>
  <c r="C34" i="18"/>
  <c r="B34" i="18"/>
  <c r="A34" i="18"/>
  <c r="C33" i="18"/>
  <c r="B33" i="18"/>
  <c r="A33" i="18"/>
  <c r="C32" i="18"/>
  <c r="B32" i="18"/>
  <c r="A32" i="18"/>
  <c r="C31" i="18"/>
  <c r="B31" i="18"/>
  <c r="A31" i="18"/>
  <c r="C30" i="18"/>
  <c r="B30" i="18"/>
  <c r="A30" i="18"/>
  <c r="C29" i="18"/>
  <c r="B29" i="18"/>
  <c r="A29" i="18"/>
  <c r="C28" i="18"/>
  <c r="B28" i="18"/>
  <c r="A28" i="18"/>
  <c r="C27" i="18"/>
  <c r="B27" i="18"/>
  <c r="A27" i="18"/>
  <c r="C26" i="18"/>
  <c r="B26" i="18"/>
  <c r="A26" i="18"/>
  <c r="C25" i="18"/>
  <c r="B25" i="18"/>
  <c r="A25" i="18"/>
  <c r="C24" i="18"/>
  <c r="B24" i="18"/>
  <c r="A24" i="18"/>
  <c r="C23" i="18"/>
  <c r="B23" i="18"/>
  <c r="A23" i="18"/>
  <c r="C22" i="18"/>
  <c r="B22" i="18"/>
  <c r="A22" i="18"/>
  <c r="C21" i="18"/>
  <c r="B21" i="18"/>
  <c r="A21" i="18"/>
  <c r="C20" i="18"/>
  <c r="B20" i="18"/>
  <c r="A20" i="18"/>
  <c r="C19" i="18"/>
  <c r="B19" i="18"/>
  <c r="A19" i="18"/>
  <c r="C18" i="18"/>
  <c r="B18" i="18"/>
  <c r="A18" i="18"/>
  <c r="C17" i="18"/>
  <c r="B17" i="18"/>
  <c r="A17" i="18"/>
  <c r="C16" i="18"/>
  <c r="B16" i="18"/>
  <c r="A16" i="18"/>
  <c r="C15" i="18"/>
  <c r="B15" i="18"/>
  <c r="A15" i="18"/>
  <c r="C14" i="18"/>
  <c r="B14" i="18"/>
  <c r="A14" i="18"/>
  <c r="C13" i="18"/>
  <c r="B13" i="18"/>
  <c r="A13" i="18"/>
  <c r="C12" i="18"/>
  <c r="B12" i="18"/>
  <c r="A12" i="18"/>
  <c r="C11" i="18"/>
  <c r="B11" i="18"/>
  <c r="A11" i="18"/>
  <c r="C10" i="18"/>
  <c r="B10" i="18"/>
  <c r="A10" i="18"/>
  <c r="C9" i="18"/>
  <c r="B9" i="18"/>
  <c r="A9" i="18"/>
  <c r="C8" i="18"/>
  <c r="B8" i="18"/>
  <c r="A8" i="18"/>
  <c r="C7" i="18"/>
  <c r="B7" i="18"/>
  <c r="A7" i="18"/>
  <c r="D5" i="18"/>
  <c r="D4" i="18"/>
  <c r="D2" i="18"/>
  <c r="D1" i="18"/>
  <c r="C46" i="17"/>
  <c r="B46" i="17"/>
  <c r="A46" i="17"/>
  <c r="C45" i="17"/>
  <c r="B45" i="17"/>
  <c r="A45" i="17"/>
  <c r="C44" i="17"/>
  <c r="B44" i="17"/>
  <c r="A44" i="17"/>
  <c r="C43" i="17"/>
  <c r="B43" i="17"/>
  <c r="A43" i="17"/>
  <c r="C42" i="17"/>
  <c r="B42" i="17"/>
  <c r="A42" i="17"/>
  <c r="C41" i="17"/>
  <c r="B41" i="17"/>
  <c r="A41" i="17"/>
  <c r="C40" i="17"/>
  <c r="B40" i="17"/>
  <c r="A40" i="17"/>
  <c r="C39" i="17"/>
  <c r="B39" i="17"/>
  <c r="A39" i="17"/>
  <c r="C38" i="17"/>
  <c r="B38" i="17"/>
  <c r="A38" i="17"/>
  <c r="C37" i="17"/>
  <c r="B37" i="17"/>
  <c r="A37" i="17"/>
  <c r="C36" i="17"/>
  <c r="B36" i="17"/>
  <c r="A36" i="17"/>
  <c r="C35" i="17"/>
  <c r="B35" i="17"/>
  <c r="A35" i="17"/>
  <c r="C34" i="17"/>
  <c r="B34" i="17"/>
  <c r="A34" i="17"/>
  <c r="C33" i="17"/>
  <c r="B33" i="17"/>
  <c r="A33" i="17"/>
  <c r="C32" i="17"/>
  <c r="B32" i="17"/>
  <c r="A32" i="17"/>
  <c r="C31" i="17"/>
  <c r="B31" i="17"/>
  <c r="A31" i="17"/>
  <c r="C30" i="17"/>
  <c r="B30" i="17"/>
  <c r="A30" i="17"/>
  <c r="C29" i="17"/>
  <c r="B29" i="17"/>
  <c r="A29" i="17"/>
  <c r="C28" i="17"/>
  <c r="B28" i="17"/>
  <c r="A28" i="17"/>
  <c r="C27" i="17"/>
  <c r="B27" i="17"/>
  <c r="A27" i="17"/>
  <c r="C26" i="17"/>
  <c r="B26" i="17"/>
  <c r="A26" i="17"/>
  <c r="C25" i="17"/>
  <c r="B25" i="17"/>
  <c r="A25" i="17"/>
  <c r="C24" i="17"/>
  <c r="B24" i="17"/>
  <c r="A24" i="17"/>
  <c r="C23" i="17"/>
  <c r="B23" i="17"/>
  <c r="A23" i="17"/>
  <c r="C22" i="17"/>
  <c r="B22" i="17"/>
  <c r="A22" i="17"/>
  <c r="C21" i="17"/>
  <c r="B21" i="17"/>
  <c r="A21" i="17"/>
  <c r="C20" i="17"/>
  <c r="B20" i="17"/>
  <c r="A20" i="17"/>
  <c r="C19" i="17"/>
  <c r="B19" i="17"/>
  <c r="A19" i="17"/>
  <c r="C18" i="17"/>
  <c r="B18" i="17"/>
  <c r="A18" i="17"/>
  <c r="C17" i="17"/>
  <c r="B17" i="17"/>
  <c r="A17" i="17"/>
  <c r="C16" i="17"/>
  <c r="B16" i="17"/>
  <c r="A16" i="17"/>
  <c r="C15" i="17"/>
  <c r="B15" i="17"/>
  <c r="A15" i="17"/>
  <c r="C14" i="17"/>
  <c r="B14" i="17"/>
  <c r="A14" i="17"/>
  <c r="C13" i="17"/>
  <c r="B13" i="17"/>
  <c r="A13" i="17"/>
  <c r="C12" i="17"/>
  <c r="B12" i="17"/>
  <c r="A12" i="17"/>
  <c r="C11" i="17"/>
  <c r="B11" i="17"/>
  <c r="A11" i="17"/>
  <c r="C10" i="17"/>
  <c r="B10" i="17"/>
  <c r="A10" i="17"/>
  <c r="C9" i="17"/>
  <c r="B9" i="17"/>
  <c r="A9" i="17"/>
  <c r="C8" i="17"/>
  <c r="B8" i="17"/>
  <c r="A8" i="17"/>
  <c r="C7" i="17"/>
  <c r="B7" i="17"/>
  <c r="A7" i="17"/>
  <c r="D5" i="17"/>
  <c r="D4" i="17"/>
  <c r="D2" i="17"/>
  <c r="D1" i="17"/>
  <c r="C46" i="16"/>
  <c r="B46" i="16"/>
  <c r="A46" i="16"/>
  <c r="C45" i="16"/>
  <c r="B45" i="16"/>
  <c r="A45" i="16"/>
  <c r="C44" i="16"/>
  <c r="B44" i="16"/>
  <c r="A44" i="16"/>
  <c r="C43" i="16"/>
  <c r="B43" i="16"/>
  <c r="A43" i="16"/>
  <c r="C42" i="16"/>
  <c r="B42" i="16"/>
  <c r="A42" i="16"/>
  <c r="C41" i="16"/>
  <c r="B41" i="16"/>
  <c r="A41" i="16"/>
  <c r="C40" i="16"/>
  <c r="B40" i="16"/>
  <c r="A40" i="16"/>
  <c r="C39" i="16"/>
  <c r="B39" i="16"/>
  <c r="A39" i="16"/>
  <c r="C38" i="16"/>
  <c r="B38" i="16"/>
  <c r="A38" i="16"/>
  <c r="C37" i="16"/>
  <c r="B37" i="16"/>
  <c r="A37" i="16"/>
  <c r="C36" i="16"/>
  <c r="B36" i="16"/>
  <c r="A36" i="16"/>
  <c r="C35" i="16"/>
  <c r="B35" i="16"/>
  <c r="A35" i="16"/>
  <c r="C34" i="16"/>
  <c r="B34" i="16"/>
  <c r="A34" i="16"/>
  <c r="C33" i="16"/>
  <c r="B33" i="16"/>
  <c r="A33" i="16"/>
  <c r="C32" i="16"/>
  <c r="B32" i="16"/>
  <c r="A32" i="16"/>
  <c r="C31" i="16"/>
  <c r="B31" i="16"/>
  <c r="A31" i="16"/>
  <c r="C30" i="16"/>
  <c r="B30" i="16"/>
  <c r="A30" i="16"/>
  <c r="C29" i="16"/>
  <c r="B29" i="16"/>
  <c r="A29" i="16"/>
  <c r="C28" i="16"/>
  <c r="B28" i="16"/>
  <c r="A28" i="16"/>
  <c r="C27" i="16"/>
  <c r="B27" i="16"/>
  <c r="A27" i="16"/>
  <c r="C26" i="16"/>
  <c r="B26" i="16"/>
  <c r="A26" i="16"/>
  <c r="C25" i="16"/>
  <c r="B25" i="16"/>
  <c r="A25" i="16"/>
  <c r="C24" i="16"/>
  <c r="B24" i="16"/>
  <c r="A24" i="16"/>
  <c r="C23" i="16"/>
  <c r="B23" i="16"/>
  <c r="A23" i="16"/>
  <c r="C22" i="16"/>
  <c r="B22" i="16"/>
  <c r="A22" i="16"/>
  <c r="C21" i="16"/>
  <c r="B21" i="16"/>
  <c r="A21" i="16"/>
  <c r="C20" i="16"/>
  <c r="B20" i="16"/>
  <c r="A20" i="16"/>
  <c r="C19" i="16"/>
  <c r="B19" i="16"/>
  <c r="A19" i="16"/>
  <c r="C18" i="16"/>
  <c r="B18" i="16"/>
  <c r="A18" i="16"/>
  <c r="C17" i="16"/>
  <c r="B17" i="16"/>
  <c r="A17" i="16"/>
  <c r="C16" i="16"/>
  <c r="B16" i="16"/>
  <c r="A16" i="16"/>
  <c r="C15" i="16"/>
  <c r="B15" i="16"/>
  <c r="A15" i="16"/>
  <c r="C14" i="16"/>
  <c r="B14" i="16"/>
  <c r="A14" i="16"/>
  <c r="C13" i="16"/>
  <c r="B13" i="16"/>
  <c r="A13" i="16"/>
  <c r="C12" i="16"/>
  <c r="B12" i="16"/>
  <c r="A12" i="16"/>
  <c r="C11" i="16"/>
  <c r="B11" i="16"/>
  <c r="A11" i="16"/>
  <c r="C10" i="16"/>
  <c r="B10" i="16"/>
  <c r="A10" i="16"/>
  <c r="C9" i="16"/>
  <c r="B9" i="16"/>
  <c r="A9" i="16"/>
  <c r="C8" i="16"/>
  <c r="B8" i="16"/>
  <c r="A8" i="16"/>
  <c r="C7" i="16"/>
  <c r="B7" i="16"/>
  <c r="A7" i="16"/>
  <c r="D5" i="16"/>
  <c r="D4" i="16"/>
  <c r="D2" i="16"/>
  <c r="D1" i="16"/>
  <c r="C46" i="15"/>
  <c r="B46" i="15"/>
  <c r="A46" i="15"/>
  <c r="C45" i="15"/>
  <c r="B45" i="15"/>
  <c r="A45" i="15"/>
  <c r="C44" i="15"/>
  <c r="B44" i="15"/>
  <c r="A44" i="15"/>
  <c r="C43" i="15"/>
  <c r="B43" i="15"/>
  <c r="A43" i="15"/>
  <c r="C42" i="15"/>
  <c r="B42" i="15"/>
  <c r="A42" i="15"/>
  <c r="C41" i="15"/>
  <c r="B41" i="15"/>
  <c r="A41" i="15"/>
  <c r="C40" i="15"/>
  <c r="B40" i="15"/>
  <c r="A40" i="15"/>
  <c r="C39" i="15"/>
  <c r="B39" i="15"/>
  <c r="A39" i="15"/>
  <c r="C38" i="15"/>
  <c r="B38" i="15"/>
  <c r="A38" i="15"/>
  <c r="C37" i="15"/>
  <c r="B37" i="15"/>
  <c r="A37" i="15"/>
  <c r="C36" i="15"/>
  <c r="B36" i="15"/>
  <c r="A36" i="15"/>
  <c r="C35" i="15"/>
  <c r="B35" i="15"/>
  <c r="A35" i="15"/>
  <c r="C34" i="15"/>
  <c r="B34" i="15"/>
  <c r="A34" i="15"/>
  <c r="C33" i="15"/>
  <c r="B33" i="15"/>
  <c r="A33" i="15"/>
  <c r="C32" i="15"/>
  <c r="B32" i="15"/>
  <c r="A32" i="15"/>
  <c r="C31" i="15"/>
  <c r="B31" i="15"/>
  <c r="A31" i="15"/>
  <c r="C30" i="15"/>
  <c r="B30" i="15"/>
  <c r="A30" i="15"/>
  <c r="C29" i="15"/>
  <c r="B29" i="15"/>
  <c r="A29" i="15"/>
  <c r="C28" i="15"/>
  <c r="B28" i="15"/>
  <c r="A28" i="15"/>
  <c r="C27" i="15"/>
  <c r="B27" i="15"/>
  <c r="A27" i="15"/>
  <c r="C26" i="15"/>
  <c r="B26" i="15"/>
  <c r="A26" i="15"/>
  <c r="C25" i="15"/>
  <c r="B25" i="15"/>
  <c r="A25" i="15"/>
  <c r="C24" i="15"/>
  <c r="B24" i="15"/>
  <c r="A24" i="15"/>
  <c r="C23" i="15"/>
  <c r="B23" i="15"/>
  <c r="A23" i="15"/>
  <c r="C22" i="15"/>
  <c r="B22" i="15"/>
  <c r="A22" i="15"/>
  <c r="C21" i="15"/>
  <c r="B21" i="15"/>
  <c r="A21" i="15"/>
  <c r="C20" i="15"/>
  <c r="B20" i="15"/>
  <c r="A20" i="15"/>
  <c r="C19" i="15"/>
  <c r="B19" i="15"/>
  <c r="A19" i="15"/>
  <c r="C18" i="15"/>
  <c r="B18" i="15"/>
  <c r="A18" i="15"/>
  <c r="C17" i="15"/>
  <c r="B17" i="15"/>
  <c r="A17" i="15"/>
  <c r="C16" i="15"/>
  <c r="B16" i="15"/>
  <c r="A16" i="15"/>
  <c r="C15" i="15"/>
  <c r="B15" i="15"/>
  <c r="A15" i="15"/>
  <c r="C14" i="15"/>
  <c r="B14" i="15"/>
  <c r="A14" i="15"/>
  <c r="C13" i="15"/>
  <c r="B13" i="15"/>
  <c r="A13" i="15"/>
  <c r="C12" i="15"/>
  <c r="B12" i="15"/>
  <c r="A12" i="15"/>
  <c r="C11" i="15"/>
  <c r="B11" i="15"/>
  <c r="A11" i="15"/>
  <c r="C10" i="15"/>
  <c r="B10" i="15"/>
  <c r="A10" i="15"/>
  <c r="C9" i="15"/>
  <c r="B9" i="15"/>
  <c r="A9" i="15"/>
  <c r="C8" i="15"/>
  <c r="B8" i="15"/>
  <c r="A8" i="15"/>
  <c r="C7" i="15"/>
  <c r="B7" i="15"/>
  <c r="A7" i="15"/>
  <c r="D5" i="15"/>
  <c r="D4" i="15"/>
  <c r="D2" i="15"/>
  <c r="D1" i="15"/>
  <c r="C46" i="14"/>
  <c r="B46" i="14"/>
  <c r="A46" i="14"/>
  <c r="C45" i="14"/>
  <c r="B45" i="14"/>
  <c r="A45" i="14"/>
  <c r="C44" i="14"/>
  <c r="B44" i="14"/>
  <c r="A44" i="14"/>
  <c r="C43" i="14"/>
  <c r="B43" i="14"/>
  <c r="A43" i="14"/>
  <c r="C42" i="14"/>
  <c r="B42" i="14"/>
  <c r="A42" i="14"/>
  <c r="C41" i="14"/>
  <c r="B41" i="14"/>
  <c r="A41" i="14"/>
  <c r="C40" i="14"/>
  <c r="B40" i="14"/>
  <c r="A40" i="14"/>
  <c r="C39" i="14"/>
  <c r="B39" i="14"/>
  <c r="A39" i="14"/>
  <c r="C38" i="14"/>
  <c r="B38" i="14"/>
  <c r="A38" i="14"/>
  <c r="C37" i="14"/>
  <c r="B37" i="14"/>
  <c r="A37" i="14"/>
  <c r="C36" i="14"/>
  <c r="B36" i="14"/>
  <c r="A36" i="14"/>
  <c r="C35" i="14"/>
  <c r="B35" i="14"/>
  <c r="A35" i="14"/>
  <c r="C34" i="14"/>
  <c r="B34" i="14"/>
  <c r="A34" i="14"/>
  <c r="C33" i="14"/>
  <c r="B33" i="14"/>
  <c r="A33" i="14"/>
  <c r="C32" i="14"/>
  <c r="B32" i="14"/>
  <c r="A32" i="14"/>
  <c r="C31" i="14"/>
  <c r="B31" i="14"/>
  <c r="A31" i="14"/>
  <c r="C30" i="14"/>
  <c r="B30" i="14"/>
  <c r="A30" i="14"/>
  <c r="C29" i="14"/>
  <c r="B29" i="14"/>
  <c r="A29" i="14"/>
  <c r="C28" i="14"/>
  <c r="B28" i="14"/>
  <c r="A28" i="14"/>
  <c r="C27" i="14"/>
  <c r="B27" i="14"/>
  <c r="A27" i="14"/>
  <c r="C26" i="14"/>
  <c r="B26" i="14"/>
  <c r="A26" i="14"/>
  <c r="C25" i="14"/>
  <c r="B25" i="14"/>
  <c r="A25" i="14"/>
  <c r="C24" i="14"/>
  <c r="B24" i="14"/>
  <c r="A24" i="14"/>
  <c r="C23" i="14"/>
  <c r="B23" i="14"/>
  <c r="A23" i="14"/>
  <c r="C22" i="14"/>
  <c r="B22" i="14"/>
  <c r="A22" i="14"/>
  <c r="C21" i="14"/>
  <c r="B21" i="14"/>
  <c r="A21" i="14"/>
  <c r="C20" i="14"/>
  <c r="B20" i="14"/>
  <c r="A20" i="14"/>
  <c r="C19" i="14"/>
  <c r="B19" i="14"/>
  <c r="A19" i="14"/>
  <c r="C18" i="14"/>
  <c r="B18" i="14"/>
  <c r="A18" i="14"/>
  <c r="C17" i="14"/>
  <c r="B17" i="14"/>
  <c r="A17" i="14"/>
  <c r="C16" i="14"/>
  <c r="B16" i="14"/>
  <c r="A16" i="14"/>
  <c r="C15" i="14"/>
  <c r="B15" i="14"/>
  <c r="A15" i="14"/>
  <c r="C14" i="14"/>
  <c r="B14" i="14"/>
  <c r="A14" i="14"/>
  <c r="C13" i="14"/>
  <c r="B13" i="14"/>
  <c r="A13" i="14"/>
  <c r="C12" i="14"/>
  <c r="B12" i="14"/>
  <c r="A12" i="14"/>
  <c r="C11" i="14"/>
  <c r="B11" i="14"/>
  <c r="A11" i="14"/>
  <c r="C10" i="14"/>
  <c r="B10" i="14"/>
  <c r="A10" i="14"/>
  <c r="C9" i="14"/>
  <c r="B9" i="14"/>
  <c r="A9" i="14"/>
  <c r="C8" i="14"/>
  <c r="B8" i="14"/>
  <c r="A8" i="14"/>
  <c r="C7" i="14"/>
  <c r="B7" i="14"/>
  <c r="A7" i="14"/>
  <c r="D5" i="14"/>
  <c r="D4" i="14"/>
  <c r="D2" i="14"/>
  <c r="D1" i="14"/>
  <c r="C46" i="13"/>
  <c r="B46" i="13"/>
  <c r="A46" i="13"/>
  <c r="C45" i="13"/>
  <c r="B45" i="13"/>
  <c r="A45" i="13"/>
  <c r="C44" i="13"/>
  <c r="B44" i="13"/>
  <c r="A44" i="13"/>
  <c r="C43" i="13"/>
  <c r="B43" i="13"/>
  <c r="A43" i="13"/>
  <c r="C42" i="13"/>
  <c r="B42" i="13"/>
  <c r="A42" i="13"/>
  <c r="C41" i="13"/>
  <c r="B41" i="13"/>
  <c r="A41" i="13"/>
  <c r="C40" i="13"/>
  <c r="B40" i="13"/>
  <c r="A40" i="13"/>
  <c r="C39" i="13"/>
  <c r="B39" i="13"/>
  <c r="A39" i="13"/>
  <c r="C38" i="13"/>
  <c r="B38" i="13"/>
  <c r="A38" i="13"/>
  <c r="C37" i="13"/>
  <c r="B37" i="13"/>
  <c r="A37" i="13"/>
  <c r="C36" i="13"/>
  <c r="B36" i="13"/>
  <c r="A36" i="13"/>
  <c r="C35" i="13"/>
  <c r="B35" i="13"/>
  <c r="A35" i="13"/>
  <c r="C34" i="13"/>
  <c r="B34" i="13"/>
  <c r="A34" i="13"/>
  <c r="C33" i="13"/>
  <c r="B33" i="13"/>
  <c r="A33" i="13"/>
  <c r="C32" i="13"/>
  <c r="B32" i="13"/>
  <c r="A32" i="13"/>
  <c r="C31" i="13"/>
  <c r="B31" i="13"/>
  <c r="A31" i="13"/>
  <c r="C30" i="13"/>
  <c r="B30" i="13"/>
  <c r="A30" i="13"/>
  <c r="C29" i="13"/>
  <c r="B29" i="13"/>
  <c r="A29" i="13"/>
  <c r="C28" i="13"/>
  <c r="B28" i="13"/>
  <c r="A28" i="13"/>
  <c r="C27" i="13"/>
  <c r="B27" i="13"/>
  <c r="A27" i="13"/>
  <c r="C26" i="13"/>
  <c r="B26" i="13"/>
  <c r="A26" i="13"/>
  <c r="C25" i="13"/>
  <c r="B25" i="13"/>
  <c r="A25" i="13"/>
  <c r="C24" i="13"/>
  <c r="B24" i="13"/>
  <c r="A24" i="13"/>
  <c r="C23" i="13"/>
  <c r="B23" i="13"/>
  <c r="A23" i="13"/>
  <c r="C22" i="13"/>
  <c r="B22" i="13"/>
  <c r="A22" i="13"/>
  <c r="C21" i="13"/>
  <c r="B21" i="13"/>
  <c r="A21" i="13"/>
  <c r="C20" i="13"/>
  <c r="B20" i="13"/>
  <c r="A20" i="13"/>
  <c r="C19" i="13"/>
  <c r="B19" i="13"/>
  <c r="A19" i="13"/>
  <c r="C18" i="13"/>
  <c r="B18" i="13"/>
  <c r="A18" i="13"/>
  <c r="C17" i="13"/>
  <c r="B17" i="13"/>
  <c r="A17" i="13"/>
  <c r="C16" i="13"/>
  <c r="B16" i="13"/>
  <c r="A16" i="13"/>
  <c r="C15" i="13"/>
  <c r="B15" i="13"/>
  <c r="A15" i="13"/>
  <c r="C14" i="13"/>
  <c r="B14" i="13"/>
  <c r="A14" i="13"/>
  <c r="C13" i="13"/>
  <c r="B13" i="13"/>
  <c r="A13" i="13"/>
  <c r="C12" i="13"/>
  <c r="B12" i="13"/>
  <c r="A12" i="13"/>
  <c r="C11" i="13"/>
  <c r="B11" i="13"/>
  <c r="A11" i="13"/>
  <c r="C10" i="13"/>
  <c r="B10" i="13"/>
  <c r="A10" i="13"/>
  <c r="C9" i="13"/>
  <c r="B9" i="13"/>
  <c r="A9" i="13"/>
  <c r="C8" i="13"/>
  <c r="B8" i="13"/>
  <c r="A8" i="13"/>
  <c r="C7" i="13"/>
  <c r="B7" i="13"/>
  <c r="A7" i="13"/>
  <c r="D5" i="13"/>
  <c r="D4" i="13"/>
  <c r="D2" i="13"/>
  <c r="D1" i="13"/>
  <c r="C46" i="12"/>
  <c r="B46" i="12"/>
  <c r="A46" i="12"/>
  <c r="C45" i="12"/>
  <c r="B45" i="12"/>
  <c r="A45" i="12"/>
  <c r="C44" i="12"/>
  <c r="B44" i="12"/>
  <c r="A44" i="12"/>
  <c r="C43" i="12"/>
  <c r="B43" i="12"/>
  <c r="A43" i="12"/>
  <c r="C42" i="12"/>
  <c r="B42" i="12"/>
  <c r="A42" i="12"/>
  <c r="C41" i="12"/>
  <c r="B41" i="12"/>
  <c r="A41" i="12"/>
  <c r="C40" i="12"/>
  <c r="B40" i="12"/>
  <c r="A40" i="12"/>
  <c r="C39" i="12"/>
  <c r="B39" i="12"/>
  <c r="A39" i="12"/>
  <c r="C38" i="12"/>
  <c r="B38" i="12"/>
  <c r="A38" i="12"/>
  <c r="C37" i="12"/>
  <c r="B37" i="12"/>
  <c r="A37" i="12"/>
  <c r="C36" i="12"/>
  <c r="B36" i="12"/>
  <c r="A36" i="12"/>
  <c r="C35" i="12"/>
  <c r="B35" i="12"/>
  <c r="A35" i="12"/>
  <c r="C34" i="12"/>
  <c r="B34" i="12"/>
  <c r="A34" i="12"/>
  <c r="C33" i="12"/>
  <c r="B33" i="12"/>
  <c r="A33" i="12"/>
  <c r="C32" i="12"/>
  <c r="B32" i="12"/>
  <c r="A32" i="12"/>
  <c r="C31" i="12"/>
  <c r="B31" i="12"/>
  <c r="A31" i="12"/>
  <c r="C30" i="12"/>
  <c r="B30" i="12"/>
  <c r="A30" i="12"/>
  <c r="C29" i="12"/>
  <c r="B29" i="12"/>
  <c r="A29" i="12"/>
  <c r="C28" i="12"/>
  <c r="B28" i="12"/>
  <c r="A28" i="12"/>
  <c r="C27" i="12"/>
  <c r="B27" i="12"/>
  <c r="A27" i="12"/>
  <c r="C26" i="12"/>
  <c r="B26" i="12"/>
  <c r="A26" i="12"/>
  <c r="C25" i="12"/>
  <c r="B25" i="12"/>
  <c r="A25" i="12"/>
  <c r="C24" i="12"/>
  <c r="B24" i="12"/>
  <c r="A24" i="12"/>
  <c r="C23" i="12"/>
  <c r="B23" i="12"/>
  <c r="A23" i="12"/>
  <c r="C22" i="12"/>
  <c r="B22" i="12"/>
  <c r="A22" i="12"/>
  <c r="C21" i="12"/>
  <c r="B21" i="12"/>
  <c r="A21" i="12"/>
  <c r="C20" i="12"/>
  <c r="B20" i="12"/>
  <c r="A20" i="12"/>
  <c r="C19" i="12"/>
  <c r="B19" i="12"/>
  <c r="A19" i="12"/>
  <c r="C18" i="12"/>
  <c r="B18" i="12"/>
  <c r="A18" i="12"/>
  <c r="C17" i="12"/>
  <c r="B17" i="12"/>
  <c r="A17" i="12"/>
  <c r="C16" i="12"/>
  <c r="B16" i="12"/>
  <c r="A16" i="12"/>
  <c r="C15" i="12"/>
  <c r="B15" i="12"/>
  <c r="A15" i="12"/>
  <c r="C14" i="12"/>
  <c r="B14" i="12"/>
  <c r="A14" i="12"/>
  <c r="C13" i="12"/>
  <c r="B13" i="12"/>
  <c r="A13" i="12"/>
  <c r="C12" i="12"/>
  <c r="B12" i="12"/>
  <c r="A12" i="12"/>
  <c r="C11" i="12"/>
  <c r="B11" i="12"/>
  <c r="A11" i="12"/>
  <c r="C10" i="12"/>
  <c r="B10" i="12"/>
  <c r="A10" i="12"/>
  <c r="C9" i="12"/>
  <c r="B9" i="12"/>
  <c r="A9" i="12"/>
  <c r="C8" i="12"/>
  <c r="B8" i="12"/>
  <c r="A8" i="12"/>
  <c r="C7" i="12"/>
  <c r="B7" i="12"/>
  <c r="A7" i="12"/>
  <c r="D5" i="12"/>
  <c r="D4" i="12"/>
  <c r="D2" i="12"/>
  <c r="D1" i="12"/>
  <c r="F12" i="11"/>
  <c r="F11" i="11"/>
  <c r="D29" i="9"/>
  <c r="D28" i="9"/>
  <c r="D24" i="9"/>
  <c r="D23" i="9"/>
  <c r="D21" i="9"/>
  <c r="D20" i="9"/>
  <c r="D19" i="9"/>
  <c r="D18" i="9"/>
  <c r="D16" i="9"/>
  <c r="D15" i="9"/>
  <c r="D13" i="9"/>
  <c r="D12" i="9"/>
  <c r="D11" i="9"/>
  <c r="D10" i="9"/>
  <c r="D9" i="9"/>
  <c r="D8" i="9"/>
  <c r="D7" i="9"/>
  <c r="D6" i="9"/>
  <c r="D5" i="9"/>
  <c r="D4" i="9"/>
  <c r="D3" i="9"/>
  <c r="C32" i="8"/>
  <c r="C29" i="8"/>
  <c r="C26" i="8"/>
  <c r="J74" i="7"/>
  <c r="J73" i="7"/>
  <c r="J68" i="7"/>
  <c r="C38" i="7"/>
  <c r="C37" i="7"/>
  <c r="C36" i="7"/>
  <c r="C35" i="7"/>
  <c r="C34" i="7"/>
  <c r="C33" i="7"/>
  <c r="C32" i="7"/>
  <c r="C30" i="7"/>
  <c r="C29" i="7"/>
  <c r="C28" i="7"/>
  <c r="C27" i="7"/>
  <c r="C25" i="7"/>
  <c r="C24" i="7"/>
  <c r="C23" i="7"/>
  <c r="C22" i="7"/>
  <c r="C21" i="7"/>
  <c r="C20" i="7"/>
  <c r="H4" i="7"/>
  <c r="E4" i="7"/>
  <c r="E3" i="7"/>
  <c r="L1" i="7"/>
  <c r="J117" i="5"/>
  <c r="J116" i="5"/>
  <c r="C79" i="5"/>
  <c r="C78" i="5"/>
  <c r="C77" i="5"/>
  <c r="C76" i="5"/>
  <c r="C75" i="5"/>
  <c r="T74" i="5"/>
  <c r="C74" i="5"/>
  <c r="C73" i="5"/>
  <c r="C71" i="5"/>
  <c r="C70" i="5"/>
  <c r="C69" i="5"/>
  <c r="C68" i="5"/>
  <c r="T66" i="5"/>
  <c r="C66" i="5"/>
  <c r="C65" i="5"/>
  <c r="C64" i="5"/>
  <c r="C63" i="5"/>
  <c r="C62" i="5"/>
  <c r="C61" i="5"/>
  <c r="C53" i="5"/>
  <c r="C52" i="5"/>
  <c r="T70" i="5" s="1"/>
  <c r="C51" i="5"/>
  <c r="C50" i="5"/>
  <c r="T62" i="5" s="1"/>
  <c r="C49" i="5"/>
  <c r="T58" i="5" s="1"/>
  <c r="C48" i="5"/>
  <c r="T54" i="5" s="1"/>
  <c r="C47" i="5"/>
  <c r="T50" i="5" s="1"/>
  <c r="C45" i="5"/>
  <c r="T46" i="5" s="1"/>
  <c r="C44" i="5"/>
  <c r="C43" i="5"/>
  <c r="T42" i="5"/>
  <c r="C42" i="5"/>
  <c r="C40" i="5"/>
  <c r="T30" i="5" s="1"/>
  <c r="C39" i="5"/>
  <c r="T26" i="5" s="1"/>
  <c r="T38" i="5"/>
  <c r="C38" i="5"/>
  <c r="C37" i="5"/>
  <c r="C36" i="5"/>
  <c r="C35" i="5"/>
  <c r="T34" i="5"/>
  <c r="T22" i="5"/>
  <c r="T18" i="5"/>
  <c r="T14" i="5"/>
  <c r="T10" i="5"/>
  <c r="H4" i="5"/>
  <c r="E4" i="11" s="1"/>
  <c r="E4" i="5"/>
  <c r="E3" i="5"/>
  <c r="D3" i="11" s="1"/>
  <c r="D7" i="11" s="1"/>
  <c r="L1" i="5"/>
  <c r="H161" i="4"/>
  <c r="C161" i="4"/>
  <c r="B161" i="4"/>
  <c r="H157" i="4"/>
  <c r="C157" i="4"/>
  <c r="B157" i="4"/>
  <c r="H153" i="4"/>
  <c r="C153" i="4"/>
  <c r="B153" i="4"/>
  <c r="H149" i="4"/>
  <c r="C149" i="4"/>
  <c r="B149" i="4"/>
  <c r="H145" i="4"/>
  <c r="C145" i="4"/>
  <c r="B145" i="4"/>
  <c r="H141" i="4"/>
  <c r="C141" i="4"/>
  <c r="B141" i="4"/>
  <c r="H137" i="4"/>
  <c r="C137" i="4"/>
  <c r="B137" i="4"/>
  <c r="H133" i="4"/>
  <c r="C133" i="4"/>
  <c r="B133" i="4"/>
  <c r="H129" i="4"/>
  <c r="C129" i="4"/>
  <c r="B129" i="4"/>
  <c r="H125" i="4"/>
  <c r="C125" i="4"/>
  <c r="B125" i="4"/>
  <c r="H121" i="4"/>
  <c r="C121" i="4"/>
  <c r="B121" i="4"/>
  <c r="H117" i="4"/>
  <c r="C117" i="4"/>
  <c r="B117" i="4"/>
  <c r="H113" i="4"/>
  <c r="C113" i="4"/>
  <c r="B113" i="4"/>
  <c r="H109" i="4"/>
  <c r="C109" i="4"/>
  <c r="B109" i="4"/>
  <c r="H105" i="4"/>
  <c r="C105" i="4"/>
  <c r="B105" i="4"/>
  <c r="H101" i="4"/>
  <c r="C101" i="4"/>
  <c r="B101" i="4"/>
  <c r="H97" i="4"/>
  <c r="C97" i="4"/>
  <c r="B97" i="4"/>
  <c r="H93" i="4"/>
  <c r="C93" i="4"/>
  <c r="B93" i="4"/>
  <c r="H89" i="4"/>
  <c r="C89" i="4"/>
  <c r="B89" i="4"/>
  <c r="H85" i="4"/>
  <c r="C85" i="4"/>
  <c r="B85" i="4"/>
  <c r="H81" i="4"/>
  <c r="C81" i="4"/>
  <c r="B81" i="4"/>
  <c r="H77" i="4"/>
  <c r="C77" i="4"/>
  <c r="B77" i="4"/>
  <c r="H73" i="4"/>
  <c r="C73" i="4"/>
  <c r="B73" i="4"/>
  <c r="D70" i="4"/>
  <c r="H69" i="4"/>
  <c r="C69" i="4"/>
  <c r="B69" i="4"/>
  <c r="D72" i="4" s="1"/>
  <c r="D68" i="4"/>
  <c r="D66" i="4"/>
  <c r="H65" i="4"/>
  <c r="C65" i="4"/>
  <c r="B65" i="4"/>
  <c r="D67" i="4" s="1"/>
  <c r="D64" i="4"/>
  <c r="D62" i="4"/>
  <c r="H61" i="4"/>
  <c r="C61" i="4"/>
  <c r="B61" i="4"/>
  <c r="D63" i="4" s="1"/>
  <c r="D60" i="4"/>
  <c r="D58" i="4"/>
  <c r="H57" i="4"/>
  <c r="C57" i="4"/>
  <c r="B57" i="4"/>
  <c r="D59" i="4" s="1"/>
  <c r="D56" i="4"/>
  <c r="D54" i="4"/>
  <c r="H53" i="4"/>
  <c r="C53" i="4"/>
  <c r="B53" i="4"/>
  <c r="D55" i="4" s="1"/>
  <c r="D52" i="4"/>
  <c r="D50" i="4"/>
  <c r="H49" i="4"/>
  <c r="C49" i="4"/>
  <c r="B49" i="4"/>
  <c r="D51" i="4" s="1"/>
  <c r="D48" i="4"/>
  <c r="D46" i="4"/>
  <c r="H45" i="4"/>
  <c r="C45" i="4"/>
  <c r="B45" i="4"/>
  <c r="D47" i="4" s="1"/>
  <c r="D44" i="4"/>
  <c r="D42" i="4"/>
  <c r="H41" i="4"/>
  <c r="C41" i="4"/>
  <c r="B41" i="4"/>
  <c r="D43" i="4" s="1"/>
  <c r="D40" i="4"/>
  <c r="D38" i="4"/>
  <c r="H37" i="4"/>
  <c r="C37" i="4"/>
  <c r="B37" i="4"/>
  <c r="D39" i="4" s="1"/>
  <c r="D36" i="4"/>
  <c r="D34" i="4"/>
  <c r="H33" i="4"/>
  <c r="C33" i="4"/>
  <c r="B33" i="4"/>
  <c r="D35" i="4" s="1"/>
  <c r="D32" i="4"/>
  <c r="D30" i="4"/>
  <c r="H29" i="4"/>
  <c r="C29" i="4"/>
  <c r="B29" i="4"/>
  <c r="D31" i="4" s="1"/>
  <c r="D28" i="4"/>
  <c r="D26" i="4"/>
  <c r="H25" i="4"/>
  <c r="C25" i="4"/>
  <c r="B25" i="4"/>
  <c r="D27" i="4" s="1"/>
  <c r="D24" i="4"/>
  <c r="D22" i="4"/>
  <c r="H21" i="4"/>
  <c r="C21" i="4"/>
  <c r="B21" i="4"/>
  <c r="D23" i="4" s="1"/>
  <c r="D20" i="4"/>
  <c r="D18" i="4"/>
  <c r="H17" i="4"/>
  <c r="C17" i="4"/>
  <c r="B17" i="4"/>
  <c r="D19" i="4" s="1"/>
  <c r="D16" i="4"/>
  <c r="D14" i="4"/>
  <c r="H13" i="4"/>
  <c r="C13" i="4"/>
  <c r="B13" i="4"/>
  <c r="D15" i="4" s="1"/>
  <c r="D12" i="4"/>
  <c r="D10" i="4"/>
  <c r="H9" i="4"/>
  <c r="C9" i="4"/>
  <c r="B9" i="4"/>
  <c r="D11" i="4" s="1"/>
  <c r="D8" i="4"/>
  <c r="D6" i="4"/>
  <c r="H5" i="4"/>
  <c r="C5" i="4"/>
  <c r="B5" i="4"/>
  <c r="D7" i="4" s="1"/>
  <c r="AA173" i="3"/>
  <c r="AA172" i="3"/>
  <c r="V167" i="3"/>
  <c r="U167" i="3"/>
  <c r="T167" i="3"/>
  <c r="S167" i="3"/>
  <c r="R167" i="3"/>
  <c r="Q167" i="3"/>
  <c r="P167" i="3"/>
  <c r="O167" i="3"/>
  <c r="N167" i="3"/>
  <c r="M167" i="3"/>
  <c r="L167" i="3"/>
  <c r="K167" i="3"/>
  <c r="J167" i="3"/>
  <c r="I167" i="3"/>
  <c r="H167" i="3"/>
  <c r="G167" i="3"/>
  <c r="F167" i="3"/>
  <c r="AD166" i="3"/>
  <c r="V166" i="3"/>
  <c r="U166" i="3"/>
  <c r="T166" i="3"/>
  <c r="S166" i="3"/>
  <c r="R166" i="3"/>
  <c r="Q166" i="3"/>
  <c r="P166" i="3"/>
  <c r="O166" i="3"/>
  <c r="N166" i="3"/>
  <c r="M166" i="3"/>
  <c r="L166" i="3"/>
  <c r="K166" i="3"/>
  <c r="J166" i="3"/>
  <c r="I166" i="3"/>
  <c r="H166" i="3"/>
  <c r="G166" i="3"/>
  <c r="F166" i="3"/>
  <c r="AD165" i="3"/>
  <c r="AE164" i="3"/>
  <c r="AF164" i="3" s="1"/>
  <c r="G161" i="4" s="1"/>
  <c r="AD164" i="3"/>
  <c r="C164" i="3"/>
  <c r="B164" i="3"/>
  <c r="D166" i="3" s="1"/>
  <c r="V163" i="3"/>
  <c r="U163" i="3"/>
  <c r="T163" i="3"/>
  <c r="S163" i="3"/>
  <c r="R163" i="3"/>
  <c r="Q163" i="3"/>
  <c r="P163" i="3"/>
  <c r="O163" i="3"/>
  <c r="N163" i="3"/>
  <c r="M163" i="3"/>
  <c r="L163" i="3"/>
  <c r="K163" i="3"/>
  <c r="J163" i="3"/>
  <c r="I163" i="3"/>
  <c r="H163" i="3"/>
  <c r="G163" i="3"/>
  <c r="F163" i="3"/>
  <c r="D163" i="3"/>
  <c r="AD162" i="3"/>
  <c r="V162" i="3"/>
  <c r="U162" i="3"/>
  <c r="T162" i="3"/>
  <c r="S162" i="3"/>
  <c r="R162" i="3"/>
  <c r="Q162" i="3"/>
  <c r="P162" i="3"/>
  <c r="O162" i="3"/>
  <c r="N162" i="3"/>
  <c r="M162" i="3"/>
  <c r="L162" i="3"/>
  <c r="K162" i="3"/>
  <c r="J162" i="3"/>
  <c r="I162" i="3"/>
  <c r="H162" i="3"/>
  <c r="G162" i="3"/>
  <c r="F162" i="3"/>
  <c r="AD161" i="3"/>
  <c r="AD160" i="3"/>
  <c r="AE160" i="3" s="1"/>
  <c r="AF160" i="3" s="1"/>
  <c r="G157" i="4" s="1"/>
  <c r="C160" i="3"/>
  <c r="B160" i="3"/>
  <c r="D162" i="3" s="1"/>
  <c r="V159" i="3"/>
  <c r="U159" i="3"/>
  <c r="T159" i="3"/>
  <c r="S159" i="3"/>
  <c r="R159" i="3"/>
  <c r="Q159" i="3"/>
  <c r="P159" i="3"/>
  <c r="O159" i="3"/>
  <c r="N159" i="3"/>
  <c r="M159" i="3"/>
  <c r="L159" i="3"/>
  <c r="K159" i="3"/>
  <c r="J159" i="3"/>
  <c r="I159" i="3"/>
  <c r="H159" i="3"/>
  <c r="G159" i="3"/>
  <c r="F159" i="3"/>
  <c r="AD158" i="3"/>
  <c r="V158" i="3"/>
  <c r="U158" i="3"/>
  <c r="T158" i="3"/>
  <c r="S158" i="3"/>
  <c r="R158" i="3"/>
  <c r="Q158" i="3"/>
  <c r="P158" i="3"/>
  <c r="O158" i="3"/>
  <c r="N158" i="3"/>
  <c r="M158" i="3"/>
  <c r="L158" i="3"/>
  <c r="K158" i="3"/>
  <c r="J158" i="3"/>
  <c r="I158" i="3"/>
  <c r="H158" i="3"/>
  <c r="G158" i="3"/>
  <c r="F158" i="3"/>
  <c r="AD157" i="3"/>
  <c r="AE156" i="3"/>
  <c r="AF156" i="3" s="1"/>
  <c r="G153" i="4" s="1"/>
  <c r="AD156" i="3"/>
  <c r="C156" i="3"/>
  <c r="B156" i="3"/>
  <c r="D158" i="3" s="1"/>
  <c r="V155" i="3"/>
  <c r="U155" i="3"/>
  <c r="T155" i="3"/>
  <c r="S155" i="3"/>
  <c r="R155" i="3"/>
  <c r="Q155" i="3"/>
  <c r="P155" i="3"/>
  <c r="O155" i="3"/>
  <c r="N155" i="3"/>
  <c r="M155" i="3"/>
  <c r="L155" i="3"/>
  <c r="K155" i="3"/>
  <c r="J155" i="3"/>
  <c r="I155" i="3"/>
  <c r="H155" i="3"/>
  <c r="G155" i="3"/>
  <c r="F155" i="3"/>
  <c r="D155" i="3"/>
  <c r="AD154" i="3"/>
  <c r="V154" i="3"/>
  <c r="U154" i="3"/>
  <c r="T154" i="3"/>
  <c r="S154" i="3"/>
  <c r="R154" i="3"/>
  <c r="Q154" i="3"/>
  <c r="P154" i="3"/>
  <c r="O154" i="3"/>
  <c r="N154" i="3"/>
  <c r="M154" i="3"/>
  <c r="L154" i="3"/>
  <c r="K154" i="3"/>
  <c r="J154" i="3"/>
  <c r="I154" i="3"/>
  <c r="H154" i="3"/>
  <c r="G154" i="3"/>
  <c r="F154" i="3"/>
  <c r="AD153" i="3"/>
  <c r="AD152" i="3"/>
  <c r="AE152" i="3" s="1"/>
  <c r="AF152" i="3" s="1"/>
  <c r="G149" i="4" s="1"/>
  <c r="C152" i="3"/>
  <c r="B152" i="3"/>
  <c r="D154" i="3" s="1"/>
  <c r="V151" i="3"/>
  <c r="U151" i="3"/>
  <c r="T151" i="3"/>
  <c r="S151" i="3"/>
  <c r="R151" i="3"/>
  <c r="Q151" i="3"/>
  <c r="P151" i="3"/>
  <c r="O151" i="3"/>
  <c r="N151" i="3"/>
  <c r="M151" i="3"/>
  <c r="L151" i="3"/>
  <c r="K151" i="3"/>
  <c r="J151" i="3"/>
  <c r="I151" i="3"/>
  <c r="H151" i="3"/>
  <c r="G151" i="3"/>
  <c r="F151" i="3"/>
  <c r="AD150" i="3"/>
  <c r="V150" i="3"/>
  <c r="U150" i="3"/>
  <c r="T150" i="3"/>
  <c r="S150" i="3"/>
  <c r="R150" i="3"/>
  <c r="Q150" i="3"/>
  <c r="P150" i="3"/>
  <c r="O150" i="3"/>
  <c r="N150" i="3"/>
  <c r="M150" i="3"/>
  <c r="L150" i="3"/>
  <c r="K150" i="3"/>
  <c r="J150" i="3"/>
  <c r="I150" i="3"/>
  <c r="H150" i="3"/>
  <c r="G150" i="3"/>
  <c r="F150" i="3"/>
  <c r="AD149" i="3"/>
  <c r="AD148" i="3"/>
  <c r="C148" i="3"/>
  <c r="B148" i="3"/>
  <c r="D150" i="3" s="1"/>
  <c r="V147" i="3"/>
  <c r="U147" i="3"/>
  <c r="T147" i="3"/>
  <c r="S147" i="3"/>
  <c r="R147" i="3"/>
  <c r="Q147" i="3"/>
  <c r="P147" i="3"/>
  <c r="O147" i="3"/>
  <c r="N147" i="3"/>
  <c r="M147" i="3"/>
  <c r="L147" i="3"/>
  <c r="K147" i="3"/>
  <c r="J147" i="3"/>
  <c r="I147" i="3"/>
  <c r="H147" i="3"/>
  <c r="G147" i="3"/>
  <c r="F147" i="3"/>
  <c r="D147" i="3"/>
  <c r="AD146" i="3"/>
  <c r="V146" i="3"/>
  <c r="U146" i="3"/>
  <c r="T146" i="3"/>
  <c r="S146" i="3"/>
  <c r="R146" i="3"/>
  <c r="Q146" i="3"/>
  <c r="P146" i="3"/>
  <c r="O146" i="3"/>
  <c r="N146" i="3"/>
  <c r="M146" i="3"/>
  <c r="L146" i="3"/>
  <c r="K146" i="3"/>
  <c r="J146" i="3"/>
  <c r="I146" i="3"/>
  <c r="H146" i="3"/>
  <c r="G146" i="3"/>
  <c r="F146" i="3"/>
  <c r="AD145" i="3"/>
  <c r="AD144" i="3"/>
  <c r="C144" i="3"/>
  <c r="B144" i="3"/>
  <c r="D146" i="3" s="1"/>
  <c r="V143" i="3"/>
  <c r="U143" i="3"/>
  <c r="T143" i="3"/>
  <c r="S143" i="3"/>
  <c r="R143" i="3"/>
  <c r="Q143" i="3"/>
  <c r="P143" i="3"/>
  <c r="O143" i="3"/>
  <c r="N143" i="3"/>
  <c r="M143" i="3"/>
  <c r="L143" i="3"/>
  <c r="K143" i="3"/>
  <c r="J143" i="3"/>
  <c r="I143" i="3"/>
  <c r="H143" i="3"/>
  <c r="G143" i="3"/>
  <c r="F143" i="3"/>
  <c r="AD142" i="3"/>
  <c r="V142" i="3"/>
  <c r="U142" i="3"/>
  <c r="T142" i="3"/>
  <c r="S142" i="3"/>
  <c r="R142" i="3"/>
  <c r="Q142" i="3"/>
  <c r="P142" i="3"/>
  <c r="O142" i="3"/>
  <c r="N142" i="3"/>
  <c r="M142" i="3"/>
  <c r="L142" i="3"/>
  <c r="K142" i="3"/>
  <c r="J142" i="3"/>
  <c r="I142" i="3"/>
  <c r="H142" i="3"/>
  <c r="G142" i="3"/>
  <c r="F142" i="3"/>
  <c r="AD141" i="3"/>
  <c r="AD140" i="3"/>
  <c r="C140" i="3"/>
  <c r="B140" i="3"/>
  <c r="D142" i="3" s="1"/>
  <c r="V139" i="3"/>
  <c r="U139" i="3"/>
  <c r="T139" i="3"/>
  <c r="S139" i="3"/>
  <c r="R139" i="3"/>
  <c r="Q139" i="3"/>
  <c r="P139" i="3"/>
  <c r="O139" i="3"/>
  <c r="N139" i="3"/>
  <c r="M139" i="3"/>
  <c r="L139" i="3"/>
  <c r="K139" i="3"/>
  <c r="J139" i="3"/>
  <c r="I139" i="3"/>
  <c r="H139" i="3"/>
  <c r="G139" i="3"/>
  <c r="F139" i="3"/>
  <c r="D139" i="3"/>
  <c r="AD138" i="3"/>
  <c r="V138" i="3"/>
  <c r="U138" i="3"/>
  <c r="T138" i="3"/>
  <c r="S138" i="3"/>
  <c r="R138" i="3"/>
  <c r="Q138" i="3"/>
  <c r="P138" i="3"/>
  <c r="O138" i="3"/>
  <c r="N138" i="3"/>
  <c r="M138" i="3"/>
  <c r="L138" i="3"/>
  <c r="K138" i="3"/>
  <c r="J138" i="3"/>
  <c r="I138" i="3"/>
  <c r="H138" i="3"/>
  <c r="G138" i="3"/>
  <c r="F138" i="3"/>
  <c r="AD137" i="3"/>
  <c r="AD136" i="3"/>
  <c r="C136" i="3"/>
  <c r="B136" i="3"/>
  <c r="D138" i="3" s="1"/>
  <c r="V135" i="3"/>
  <c r="U135" i="3"/>
  <c r="T135" i="3"/>
  <c r="S135" i="3"/>
  <c r="R135" i="3"/>
  <c r="Q135" i="3"/>
  <c r="P135" i="3"/>
  <c r="O135" i="3"/>
  <c r="N135" i="3"/>
  <c r="M135" i="3"/>
  <c r="L135" i="3"/>
  <c r="K135" i="3"/>
  <c r="J135" i="3"/>
  <c r="I135" i="3"/>
  <c r="H135" i="3"/>
  <c r="G135" i="3"/>
  <c r="F135" i="3"/>
  <c r="AD134" i="3"/>
  <c r="V134" i="3"/>
  <c r="U134" i="3"/>
  <c r="T134" i="3"/>
  <c r="S134" i="3"/>
  <c r="R134" i="3"/>
  <c r="Q134" i="3"/>
  <c r="P134" i="3"/>
  <c r="O134" i="3"/>
  <c r="N134" i="3"/>
  <c r="M134" i="3"/>
  <c r="L134" i="3"/>
  <c r="K134" i="3"/>
  <c r="J134" i="3"/>
  <c r="I134" i="3"/>
  <c r="H134" i="3"/>
  <c r="G134" i="3"/>
  <c r="F134" i="3"/>
  <c r="AD133" i="3"/>
  <c r="AD132" i="3"/>
  <c r="C132" i="3"/>
  <c r="B132" i="3"/>
  <c r="D134" i="3" s="1"/>
  <c r="V131" i="3"/>
  <c r="U131" i="3"/>
  <c r="T131" i="3"/>
  <c r="S131" i="3"/>
  <c r="R131" i="3"/>
  <c r="Q131" i="3"/>
  <c r="P131" i="3"/>
  <c r="O131" i="3"/>
  <c r="N131" i="3"/>
  <c r="M131" i="3"/>
  <c r="L131" i="3"/>
  <c r="K131" i="3"/>
  <c r="J131" i="3"/>
  <c r="I131" i="3"/>
  <c r="H131" i="3"/>
  <c r="G131" i="3"/>
  <c r="F131" i="3"/>
  <c r="D131" i="3"/>
  <c r="AD130" i="3"/>
  <c r="V130" i="3"/>
  <c r="U130" i="3"/>
  <c r="T130" i="3"/>
  <c r="S130" i="3"/>
  <c r="R130" i="3"/>
  <c r="Q130" i="3"/>
  <c r="P130" i="3"/>
  <c r="O130" i="3"/>
  <c r="N130" i="3"/>
  <c r="M130" i="3"/>
  <c r="L130" i="3"/>
  <c r="K130" i="3"/>
  <c r="J130" i="3"/>
  <c r="I130" i="3"/>
  <c r="H130" i="3"/>
  <c r="G130" i="3"/>
  <c r="F130" i="3"/>
  <c r="AD129" i="3"/>
  <c r="AD128" i="3"/>
  <c r="C128" i="3"/>
  <c r="B128" i="3"/>
  <c r="D130" i="3" s="1"/>
  <c r="V127" i="3"/>
  <c r="U127" i="3"/>
  <c r="T127" i="3"/>
  <c r="S127" i="3"/>
  <c r="R127" i="3"/>
  <c r="Q127" i="3"/>
  <c r="P127" i="3"/>
  <c r="O127" i="3"/>
  <c r="N127" i="3"/>
  <c r="M127" i="3"/>
  <c r="L127" i="3"/>
  <c r="K127" i="3"/>
  <c r="J127" i="3"/>
  <c r="I127" i="3"/>
  <c r="H127" i="3"/>
  <c r="G127" i="3"/>
  <c r="F127" i="3"/>
  <c r="AD126" i="3"/>
  <c r="V126" i="3"/>
  <c r="U126" i="3"/>
  <c r="T126" i="3"/>
  <c r="S126" i="3"/>
  <c r="R126" i="3"/>
  <c r="Q126" i="3"/>
  <c r="P126" i="3"/>
  <c r="O126" i="3"/>
  <c r="N126" i="3"/>
  <c r="M126" i="3"/>
  <c r="L126" i="3"/>
  <c r="K126" i="3"/>
  <c r="J126" i="3"/>
  <c r="I126" i="3"/>
  <c r="H126" i="3"/>
  <c r="G126" i="3"/>
  <c r="F126" i="3"/>
  <c r="AD125" i="3"/>
  <c r="AD124" i="3"/>
  <c r="C124" i="3"/>
  <c r="B124" i="3"/>
  <c r="D126" i="3" s="1"/>
  <c r="V123" i="3"/>
  <c r="U123" i="3"/>
  <c r="T123" i="3"/>
  <c r="S123" i="3"/>
  <c r="R123" i="3"/>
  <c r="Q123" i="3"/>
  <c r="P123" i="3"/>
  <c r="O123" i="3"/>
  <c r="N123" i="3"/>
  <c r="M123" i="3"/>
  <c r="L123" i="3"/>
  <c r="K123" i="3"/>
  <c r="J123" i="3"/>
  <c r="I123" i="3"/>
  <c r="H123" i="3"/>
  <c r="G123" i="3"/>
  <c r="F123" i="3"/>
  <c r="D123" i="3"/>
  <c r="AD122" i="3"/>
  <c r="V122" i="3"/>
  <c r="U122" i="3"/>
  <c r="T122" i="3"/>
  <c r="S122" i="3"/>
  <c r="R122" i="3"/>
  <c r="Q122" i="3"/>
  <c r="P122" i="3"/>
  <c r="O122" i="3"/>
  <c r="N122" i="3"/>
  <c r="M122" i="3"/>
  <c r="L122" i="3"/>
  <c r="K122" i="3"/>
  <c r="J122" i="3"/>
  <c r="I122" i="3"/>
  <c r="H122" i="3"/>
  <c r="G122" i="3"/>
  <c r="F122" i="3"/>
  <c r="AD121" i="3"/>
  <c r="AD120" i="3"/>
  <c r="C120" i="3"/>
  <c r="B120" i="3"/>
  <c r="D122" i="3" s="1"/>
  <c r="V119" i="3"/>
  <c r="U119" i="3"/>
  <c r="T119" i="3"/>
  <c r="S119" i="3"/>
  <c r="R119" i="3"/>
  <c r="Q119" i="3"/>
  <c r="P119" i="3"/>
  <c r="O119" i="3"/>
  <c r="N119" i="3"/>
  <c r="M119" i="3"/>
  <c r="L119" i="3"/>
  <c r="K119" i="3"/>
  <c r="J119" i="3"/>
  <c r="I119" i="3"/>
  <c r="H119" i="3"/>
  <c r="G119" i="3"/>
  <c r="F119" i="3"/>
  <c r="AD118" i="3"/>
  <c r="V118" i="3"/>
  <c r="U118" i="3"/>
  <c r="T118" i="3"/>
  <c r="S118" i="3"/>
  <c r="R118" i="3"/>
  <c r="Q118" i="3"/>
  <c r="P118" i="3"/>
  <c r="O118" i="3"/>
  <c r="N118" i="3"/>
  <c r="M118" i="3"/>
  <c r="L118" i="3"/>
  <c r="K118" i="3"/>
  <c r="J118" i="3"/>
  <c r="I118" i="3"/>
  <c r="H118" i="3"/>
  <c r="G118" i="3"/>
  <c r="F118" i="3"/>
  <c r="AD117" i="3"/>
  <c r="AD116" i="3"/>
  <c r="C116" i="3"/>
  <c r="B116" i="3"/>
  <c r="D118" i="3" s="1"/>
  <c r="V115" i="3"/>
  <c r="U115" i="3"/>
  <c r="T115" i="3"/>
  <c r="S115" i="3"/>
  <c r="R115" i="3"/>
  <c r="Q115" i="3"/>
  <c r="P115" i="3"/>
  <c r="O115" i="3"/>
  <c r="N115" i="3"/>
  <c r="M115" i="3"/>
  <c r="L115" i="3"/>
  <c r="K115" i="3"/>
  <c r="J115" i="3"/>
  <c r="I115" i="3"/>
  <c r="H115" i="3"/>
  <c r="G115" i="3"/>
  <c r="F115" i="3"/>
  <c r="D115" i="3"/>
  <c r="AD114" i="3"/>
  <c r="V114" i="3"/>
  <c r="U114" i="3"/>
  <c r="T114" i="3"/>
  <c r="S114" i="3"/>
  <c r="R114" i="3"/>
  <c r="Q114" i="3"/>
  <c r="P114" i="3"/>
  <c r="O114" i="3"/>
  <c r="N114" i="3"/>
  <c r="M114" i="3"/>
  <c r="L114" i="3"/>
  <c r="K114" i="3"/>
  <c r="J114" i="3"/>
  <c r="I114" i="3"/>
  <c r="H114" i="3"/>
  <c r="G114" i="3"/>
  <c r="F114" i="3"/>
  <c r="AD113" i="3"/>
  <c r="AD112" i="3"/>
  <c r="C112" i="3"/>
  <c r="B112" i="3"/>
  <c r="D114" i="3" s="1"/>
  <c r="V111" i="3"/>
  <c r="U111" i="3"/>
  <c r="T111" i="3"/>
  <c r="S111" i="3"/>
  <c r="R111" i="3"/>
  <c r="Q111" i="3"/>
  <c r="P111" i="3"/>
  <c r="O111" i="3"/>
  <c r="N111" i="3"/>
  <c r="M111" i="3"/>
  <c r="L111" i="3"/>
  <c r="K111" i="3"/>
  <c r="J111" i="3"/>
  <c r="I111" i="3"/>
  <c r="H111" i="3"/>
  <c r="G111" i="3"/>
  <c r="F111" i="3"/>
  <c r="AD110" i="3"/>
  <c r="V110" i="3"/>
  <c r="U110" i="3"/>
  <c r="T110" i="3"/>
  <c r="S110" i="3"/>
  <c r="R110" i="3"/>
  <c r="Q110" i="3"/>
  <c r="P110" i="3"/>
  <c r="O110" i="3"/>
  <c r="N110" i="3"/>
  <c r="M110" i="3"/>
  <c r="L110" i="3"/>
  <c r="K110" i="3"/>
  <c r="J110" i="3"/>
  <c r="I110" i="3"/>
  <c r="H110" i="3"/>
  <c r="G110" i="3"/>
  <c r="F110" i="3"/>
  <c r="AD109" i="3"/>
  <c r="AD108" i="3"/>
  <c r="C108" i="3"/>
  <c r="B108" i="3"/>
  <c r="D110" i="3" s="1"/>
  <c r="V107" i="3"/>
  <c r="U107" i="3"/>
  <c r="T107" i="3"/>
  <c r="S107" i="3"/>
  <c r="R107" i="3"/>
  <c r="Q107" i="3"/>
  <c r="P107" i="3"/>
  <c r="O107" i="3"/>
  <c r="N107" i="3"/>
  <c r="M107" i="3"/>
  <c r="L107" i="3"/>
  <c r="K107" i="3"/>
  <c r="J107" i="3"/>
  <c r="I107" i="3"/>
  <c r="H107" i="3"/>
  <c r="G107" i="3"/>
  <c r="F107" i="3"/>
  <c r="D107" i="3"/>
  <c r="AD106" i="3"/>
  <c r="V106" i="3"/>
  <c r="U106" i="3"/>
  <c r="T106" i="3"/>
  <c r="S106" i="3"/>
  <c r="R106" i="3"/>
  <c r="Q106" i="3"/>
  <c r="P106" i="3"/>
  <c r="O106" i="3"/>
  <c r="N106" i="3"/>
  <c r="M106" i="3"/>
  <c r="L106" i="3"/>
  <c r="K106" i="3"/>
  <c r="J106" i="3"/>
  <c r="I106" i="3"/>
  <c r="H106" i="3"/>
  <c r="G106" i="3"/>
  <c r="F106" i="3"/>
  <c r="AD105" i="3"/>
  <c r="AD104" i="3"/>
  <c r="C104" i="3"/>
  <c r="B104" i="3"/>
  <c r="D106" i="3" s="1"/>
  <c r="V103" i="3"/>
  <c r="U103" i="3"/>
  <c r="T103" i="3"/>
  <c r="S103" i="3"/>
  <c r="R103" i="3"/>
  <c r="Q103" i="3"/>
  <c r="P103" i="3"/>
  <c r="O103" i="3"/>
  <c r="N103" i="3"/>
  <c r="M103" i="3"/>
  <c r="L103" i="3"/>
  <c r="K103" i="3"/>
  <c r="J103" i="3"/>
  <c r="I103" i="3"/>
  <c r="H103" i="3"/>
  <c r="G103" i="3"/>
  <c r="F103" i="3"/>
  <c r="AD102" i="3"/>
  <c r="V102" i="3"/>
  <c r="U102" i="3"/>
  <c r="T102" i="3"/>
  <c r="S102" i="3"/>
  <c r="R102" i="3"/>
  <c r="Q102" i="3"/>
  <c r="P102" i="3"/>
  <c r="O102" i="3"/>
  <c r="N102" i="3"/>
  <c r="M102" i="3"/>
  <c r="L102" i="3"/>
  <c r="K102" i="3"/>
  <c r="J102" i="3"/>
  <c r="I102" i="3"/>
  <c r="H102" i="3"/>
  <c r="G102" i="3"/>
  <c r="F102" i="3"/>
  <c r="AD101" i="3"/>
  <c r="AD100" i="3"/>
  <c r="C100" i="3"/>
  <c r="B100" i="3"/>
  <c r="D102" i="3" s="1"/>
  <c r="V99" i="3"/>
  <c r="U99" i="3"/>
  <c r="T99" i="3"/>
  <c r="S99" i="3"/>
  <c r="R99" i="3"/>
  <c r="Q99" i="3"/>
  <c r="P99" i="3"/>
  <c r="O99" i="3"/>
  <c r="N99" i="3"/>
  <c r="M99" i="3"/>
  <c r="L99" i="3"/>
  <c r="K99" i="3"/>
  <c r="J99" i="3"/>
  <c r="I99" i="3"/>
  <c r="H99" i="3"/>
  <c r="G99" i="3"/>
  <c r="F99" i="3"/>
  <c r="D99" i="3"/>
  <c r="AD98" i="3"/>
  <c r="V98" i="3"/>
  <c r="U98" i="3"/>
  <c r="T98" i="3"/>
  <c r="S98" i="3"/>
  <c r="R98" i="3"/>
  <c r="Q98" i="3"/>
  <c r="P98" i="3"/>
  <c r="O98" i="3"/>
  <c r="N98" i="3"/>
  <c r="M98" i="3"/>
  <c r="L98" i="3"/>
  <c r="K98" i="3"/>
  <c r="J98" i="3"/>
  <c r="I98" i="3"/>
  <c r="H98" i="3"/>
  <c r="G98" i="3"/>
  <c r="F98" i="3"/>
  <c r="AD97" i="3"/>
  <c r="AD96" i="3"/>
  <c r="C96" i="3"/>
  <c r="B96" i="3"/>
  <c r="D98" i="3" s="1"/>
  <c r="V95" i="3"/>
  <c r="U95" i="3"/>
  <c r="T95" i="3"/>
  <c r="S95" i="3"/>
  <c r="R95" i="3"/>
  <c r="Q95" i="3"/>
  <c r="P95" i="3"/>
  <c r="O95" i="3"/>
  <c r="N95" i="3"/>
  <c r="M95" i="3"/>
  <c r="L95" i="3"/>
  <c r="K95" i="3"/>
  <c r="J95" i="3"/>
  <c r="I95" i="3"/>
  <c r="H95" i="3"/>
  <c r="G95" i="3"/>
  <c r="F95" i="3"/>
  <c r="AD94" i="3"/>
  <c r="V94" i="3"/>
  <c r="U94" i="3"/>
  <c r="T94" i="3"/>
  <c r="S94" i="3"/>
  <c r="R94" i="3"/>
  <c r="Q94" i="3"/>
  <c r="P94" i="3"/>
  <c r="O94" i="3"/>
  <c r="N94" i="3"/>
  <c r="M94" i="3"/>
  <c r="L94" i="3"/>
  <c r="K94" i="3"/>
  <c r="J94" i="3"/>
  <c r="I94" i="3"/>
  <c r="H94" i="3"/>
  <c r="G94" i="3"/>
  <c r="F94" i="3"/>
  <c r="AD93" i="3"/>
  <c r="AD92" i="3"/>
  <c r="C92" i="3"/>
  <c r="B92" i="3"/>
  <c r="D94" i="3" s="1"/>
  <c r="V91" i="3"/>
  <c r="U91" i="3"/>
  <c r="T91" i="3"/>
  <c r="S91" i="3"/>
  <c r="R91" i="3"/>
  <c r="Q91" i="3"/>
  <c r="P91" i="3"/>
  <c r="O91" i="3"/>
  <c r="N91" i="3"/>
  <c r="M91" i="3"/>
  <c r="L91" i="3"/>
  <c r="K91" i="3"/>
  <c r="J91" i="3"/>
  <c r="I91" i="3"/>
  <c r="H91" i="3"/>
  <c r="G91" i="3"/>
  <c r="F91" i="3"/>
  <c r="D91" i="3"/>
  <c r="AD90" i="3"/>
  <c r="V90" i="3"/>
  <c r="U90" i="3"/>
  <c r="T90" i="3"/>
  <c r="S90" i="3"/>
  <c r="R90" i="3"/>
  <c r="Q90" i="3"/>
  <c r="P90" i="3"/>
  <c r="O90" i="3"/>
  <c r="N90" i="3"/>
  <c r="M90" i="3"/>
  <c r="L90" i="3"/>
  <c r="K90" i="3"/>
  <c r="J90" i="3"/>
  <c r="I90" i="3"/>
  <c r="H90" i="3"/>
  <c r="G90" i="3"/>
  <c r="F90" i="3"/>
  <c r="AD89" i="3"/>
  <c r="AD88" i="3"/>
  <c r="C88" i="3"/>
  <c r="B88" i="3"/>
  <c r="D90" i="3" s="1"/>
  <c r="V87" i="3"/>
  <c r="U87" i="3"/>
  <c r="T87" i="3"/>
  <c r="S87" i="3"/>
  <c r="R87" i="3"/>
  <c r="Q87" i="3"/>
  <c r="P87" i="3"/>
  <c r="O87" i="3"/>
  <c r="N87" i="3"/>
  <c r="M87" i="3"/>
  <c r="L87" i="3"/>
  <c r="K87" i="3"/>
  <c r="J87" i="3"/>
  <c r="I87" i="3"/>
  <c r="H87" i="3"/>
  <c r="G87" i="3"/>
  <c r="F87" i="3"/>
  <c r="AD86" i="3"/>
  <c r="V86" i="3"/>
  <c r="U86" i="3"/>
  <c r="T86" i="3"/>
  <c r="S86" i="3"/>
  <c r="R86" i="3"/>
  <c r="Q86" i="3"/>
  <c r="P86" i="3"/>
  <c r="O86" i="3"/>
  <c r="N86" i="3"/>
  <c r="M86" i="3"/>
  <c r="L86" i="3"/>
  <c r="K86" i="3"/>
  <c r="J86" i="3"/>
  <c r="I86" i="3"/>
  <c r="H86" i="3"/>
  <c r="G86" i="3"/>
  <c r="F86" i="3"/>
  <c r="AD85" i="3"/>
  <c r="AD84" i="3"/>
  <c r="C84" i="3"/>
  <c r="B84" i="3"/>
  <c r="D86" i="3" s="1"/>
  <c r="V83" i="3"/>
  <c r="U83" i="3"/>
  <c r="T83" i="3"/>
  <c r="S83" i="3"/>
  <c r="R83" i="3"/>
  <c r="Q83" i="3"/>
  <c r="P83" i="3"/>
  <c r="O83" i="3"/>
  <c r="N83" i="3"/>
  <c r="M83" i="3"/>
  <c r="L83" i="3"/>
  <c r="K83" i="3"/>
  <c r="J83" i="3"/>
  <c r="I83" i="3"/>
  <c r="H83" i="3"/>
  <c r="G83" i="3"/>
  <c r="F83" i="3"/>
  <c r="D83" i="3"/>
  <c r="AD82" i="3"/>
  <c r="V82" i="3"/>
  <c r="U82" i="3"/>
  <c r="T82" i="3"/>
  <c r="S82" i="3"/>
  <c r="R82" i="3"/>
  <c r="Q82" i="3"/>
  <c r="P82" i="3"/>
  <c r="O82" i="3"/>
  <c r="N82" i="3"/>
  <c r="M82" i="3"/>
  <c r="L82" i="3"/>
  <c r="K82" i="3"/>
  <c r="J82" i="3"/>
  <c r="I82" i="3"/>
  <c r="H82" i="3"/>
  <c r="G82" i="3"/>
  <c r="F82" i="3"/>
  <c r="AD81" i="3"/>
  <c r="AD80" i="3"/>
  <c r="C80" i="3"/>
  <c r="B80" i="3"/>
  <c r="D82" i="3" s="1"/>
  <c r="V79" i="3"/>
  <c r="U79" i="3"/>
  <c r="T79" i="3"/>
  <c r="S79" i="3"/>
  <c r="R79" i="3"/>
  <c r="Q79" i="3"/>
  <c r="P79" i="3"/>
  <c r="O79" i="3"/>
  <c r="N79" i="3"/>
  <c r="M79" i="3"/>
  <c r="L79" i="3"/>
  <c r="K79" i="3"/>
  <c r="J79" i="3"/>
  <c r="I79" i="3"/>
  <c r="H79" i="3"/>
  <c r="G79" i="3"/>
  <c r="F79" i="3"/>
  <c r="AD78" i="3"/>
  <c r="V78" i="3"/>
  <c r="U78" i="3"/>
  <c r="T78" i="3"/>
  <c r="S78" i="3"/>
  <c r="R78" i="3"/>
  <c r="Q78" i="3"/>
  <c r="P78" i="3"/>
  <c r="O78" i="3"/>
  <c r="N78" i="3"/>
  <c r="M78" i="3"/>
  <c r="L78" i="3"/>
  <c r="K78" i="3"/>
  <c r="J78" i="3"/>
  <c r="I78" i="3"/>
  <c r="H78" i="3"/>
  <c r="G78" i="3"/>
  <c r="F78" i="3"/>
  <c r="AD77" i="3"/>
  <c r="AD76" i="3"/>
  <c r="C76" i="3"/>
  <c r="B76" i="3"/>
  <c r="D78" i="3" s="1"/>
  <c r="V75" i="3"/>
  <c r="U75" i="3"/>
  <c r="T75" i="3"/>
  <c r="S75" i="3"/>
  <c r="R75" i="3"/>
  <c r="Q75" i="3"/>
  <c r="P75" i="3"/>
  <c r="O75" i="3"/>
  <c r="N75" i="3"/>
  <c r="M75" i="3"/>
  <c r="L75" i="3"/>
  <c r="K75" i="3"/>
  <c r="J75" i="3"/>
  <c r="I75" i="3"/>
  <c r="H75" i="3"/>
  <c r="G75" i="3"/>
  <c r="F75" i="3"/>
  <c r="D75" i="3"/>
  <c r="AD74" i="3"/>
  <c r="V74" i="3"/>
  <c r="U74" i="3"/>
  <c r="T74" i="3"/>
  <c r="S74" i="3"/>
  <c r="R74" i="3"/>
  <c r="Q74" i="3"/>
  <c r="P74" i="3"/>
  <c r="O74" i="3"/>
  <c r="N74" i="3"/>
  <c r="M74" i="3"/>
  <c r="L74" i="3"/>
  <c r="K74" i="3"/>
  <c r="J74" i="3"/>
  <c r="I74" i="3"/>
  <c r="H74" i="3"/>
  <c r="G74" i="3"/>
  <c r="F74" i="3"/>
  <c r="AD73" i="3"/>
  <c r="AD72" i="3"/>
  <c r="C72" i="3"/>
  <c r="B72" i="3"/>
  <c r="D74" i="3" s="1"/>
  <c r="V71" i="3"/>
  <c r="U71" i="3"/>
  <c r="T71" i="3"/>
  <c r="S71" i="3"/>
  <c r="R71" i="3"/>
  <c r="Q71" i="3"/>
  <c r="P71" i="3"/>
  <c r="O71" i="3"/>
  <c r="N71" i="3"/>
  <c r="M71" i="3"/>
  <c r="L71" i="3"/>
  <c r="K71" i="3"/>
  <c r="J71" i="3"/>
  <c r="I71" i="3"/>
  <c r="H71" i="3"/>
  <c r="G71" i="3"/>
  <c r="F71" i="3"/>
  <c r="AD70" i="3"/>
  <c r="V70" i="3"/>
  <c r="U70" i="3"/>
  <c r="T70" i="3"/>
  <c r="S70" i="3"/>
  <c r="R70" i="3"/>
  <c r="Q70" i="3"/>
  <c r="P70" i="3"/>
  <c r="O70" i="3"/>
  <c r="N70" i="3"/>
  <c r="M70" i="3"/>
  <c r="L70" i="3"/>
  <c r="K70" i="3"/>
  <c r="J70" i="3"/>
  <c r="I70" i="3"/>
  <c r="H70" i="3"/>
  <c r="G70" i="3"/>
  <c r="F70" i="3"/>
  <c r="AD69" i="3"/>
  <c r="AD68" i="3"/>
  <c r="C68" i="3"/>
  <c r="B68" i="3"/>
  <c r="D70" i="3" s="1"/>
  <c r="V67" i="3"/>
  <c r="U67" i="3"/>
  <c r="T67" i="3"/>
  <c r="S67" i="3"/>
  <c r="R67" i="3"/>
  <c r="Q67" i="3"/>
  <c r="P67" i="3"/>
  <c r="O67" i="3"/>
  <c r="N67" i="3"/>
  <c r="M67" i="3"/>
  <c r="L67" i="3"/>
  <c r="K67" i="3"/>
  <c r="J67" i="3"/>
  <c r="I67" i="3"/>
  <c r="H67" i="3"/>
  <c r="G67" i="3"/>
  <c r="F67" i="3"/>
  <c r="D67" i="3"/>
  <c r="AD66" i="3"/>
  <c r="V66" i="3"/>
  <c r="U66" i="3"/>
  <c r="T66" i="3"/>
  <c r="S66" i="3"/>
  <c r="R66" i="3"/>
  <c r="Q66" i="3"/>
  <c r="P66" i="3"/>
  <c r="O66" i="3"/>
  <c r="N66" i="3"/>
  <c r="M66" i="3"/>
  <c r="L66" i="3"/>
  <c r="K66" i="3"/>
  <c r="J66" i="3"/>
  <c r="I66" i="3"/>
  <c r="H66" i="3"/>
  <c r="G66" i="3"/>
  <c r="F66" i="3"/>
  <c r="AD65" i="3"/>
  <c r="AD64" i="3"/>
  <c r="C64" i="3"/>
  <c r="B64" i="3"/>
  <c r="D66" i="3" s="1"/>
  <c r="V63" i="3"/>
  <c r="U63" i="3"/>
  <c r="T63" i="3"/>
  <c r="S63" i="3"/>
  <c r="R63" i="3"/>
  <c r="Q63" i="3"/>
  <c r="P63" i="3"/>
  <c r="O63" i="3"/>
  <c r="N63" i="3"/>
  <c r="M63" i="3"/>
  <c r="L63" i="3"/>
  <c r="K63" i="3"/>
  <c r="J63" i="3"/>
  <c r="I63" i="3"/>
  <c r="H63" i="3"/>
  <c r="G63" i="3"/>
  <c r="F63" i="3"/>
  <c r="AD62" i="3"/>
  <c r="V62" i="3"/>
  <c r="U62" i="3"/>
  <c r="T62" i="3"/>
  <c r="S62" i="3"/>
  <c r="R62" i="3"/>
  <c r="Q62" i="3"/>
  <c r="P62" i="3"/>
  <c r="O62" i="3"/>
  <c r="N62" i="3"/>
  <c r="M62" i="3"/>
  <c r="L62" i="3"/>
  <c r="K62" i="3"/>
  <c r="J62" i="3"/>
  <c r="I62" i="3"/>
  <c r="H62" i="3"/>
  <c r="G62" i="3"/>
  <c r="F62" i="3"/>
  <c r="AD61" i="3"/>
  <c r="AD60" i="3"/>
  <c r="C60" i="3"/>
  <c r="B60" i="3"/>
  <c r="D62" i="3" s="1"/>
  <c r="V59" i="3"/>
  <c r="U59" i="3"/>
  <c r="T59" i="3"/>
  <c r="S59" i="3"/>
  <c r="R59" i="3"/>
  <c r="Q59" i="3"/>
  <c r="P59" i="3"/>
  <c r="O59" i="3"/>
  <c r="N59" i="3"/>
  <c r="M59" i="3"/>
  <c r="L59" i="3"/>
  <c r="K59" i="3"/>
  <c r="J59" i="3"/>
  <c r="I59" i="3"/>
  <c r="H59" i="3"/>
  <c r="G59" i="3"/>
  <c r="F59" i="3"/>
  <c r="D59" i="3"/>
  <c r="AD58" i="3"/>
  <c r="V58" i="3"/>
  <c r="U58" i="3"/>
  <c r="T58" i="3"/>
  <c r="S58" i="3"/>
  <c r="R58" i="3"/>
  <c r="Q58" i="3"/>
  <c r="P58" i="3"/>
  <c r="O58" i="3"/>
  <c r="N58" i="3"/>
  <c r="M58" i="3"/>
  <c r="L58" i="3"/>
  <c r="K58" i="3"/>
  <c r="J58" i="3"/>
  <c r="I58" i="3"/>
  <c r="H58" i="3"/>
  <c r="G58" i="3"/>
  <c r="F58" i="3"/>
  <c r="AD57" i="3"/>
  <c r="AD56" i="3"/>
  <c r="C56" i="3"/>
  <c r="B56" i="3"/>
  <c r="D58" i="3" s="1"/>
  <c r="V55" i="3"/>
  <c r="U55" i="3"/>
  <c r="T55" i="3"/>
  <c r="S55" i="3"/>
  <c r="R55" i="3"/>
  <c r="Q55" i="3"/>
  <c r="P55" i="3"/>
  <c r="O55" i="3"/>
  <c r="N55" i="3"/>
  <c r="M55" i="3"/>
  <c r="L55" i="3"/>
  <c r="K55" i="3"/>
  <c r="J55" i="3"/>
  <c r="I55" i="3"/>
  <c r="H55" i="3"/>
  <c r="G55" i="3"/>
  <c r="F55" i="3"/>
  <c r="AD54" i="3"/>
  <c r="V54" i="3"/>
  <c r="U54" i="3"/>
  <c r="T54" i="3"/>
  <c r="S54" i="3"/>
  <c r="R54" i="3"/>
  <c r="Q54" i="3"/>
  <c r="P54" i="3"/>
  <c r="O54" i="3"/>
  <c r="N54" i="3"/>
  <c r="M54" i="3"/>
  <c r="L54" i="3"/>
  <c r="K54" i="3"/>
  <c r="J54" i="3"/>
  <c r="I54" i="3"/>
  <c r="H54" i="3"/>
  <c r="G54" i="3"/>
  <c r="F54" i="3"/>
  <c r="AD53" i="3"/>
  <c r="AD52" i="3"/>
  <c r="C52" i="3"/>
  <c r="B52" i="3"/>
  <c r="D54" i="3" s="1"/>
  <c r="V51" i="3"/>
  <c r="U51" i="3"/>
  <c r="T51" i="3"/>
  <c r="S51" i="3"/>
  <c r="R51" i="3"/>
  <c r="Q51" i="3"/>
  <c r="P51" i="3"/>
  <c r="O51" i="3"/>
  <c r="N51" i="3"/>
  <c r="M51" i="3"/>
  <c r="L51" i="3"/>
  <c r="K51" i="3"/>
  <c r="J51" i="3"/>
  <c r="I51" i="3"/>
  <c r="H51" i="3"/>
  <c r="G51" i="3"/>
  <c r="F51" i="3"/>
  <c r="D51" i="3"/>
  <c r="AD50" i="3"/>
  <c r="V50" i="3"/>
  <c r="U50" i="3"/>
  <c r="T50" i="3"/>
  <c r="S50" i="3"/>
  <c r="R50" i="3"/>
  <c r="Q50" i="3"/>
  <c r="P50" i="3"/>
  <c r="O50" i="3"/>
  <c r="N50" i="3"/>
  <c r="M50" i="3"/>
  <c r="L50" i="3"/>
  <c r="K50" i="3"/>
  <c r="J50" i="3"/>
  <c r="I50" i="3"/>
  <c r="H50" i="3"/>
  <c r="G50" i="3"/>
  <c r="F50" i="3"/>
  <c r="AD49" i="3"/>
  <c r="AD48" i="3"/>
  <c r="C48" i="3"/>
  <c r="B48" i="3"/>
  <c r="D50" i="3" s="1"/>
  <c r="V47" i="3"/>
  <c r="U47" i="3"/>
  <c r="T47" i="3"/>
  <c r="S47" i="3"/>
  <c r="R47" i="3"/>
  <c r="Q47" i="3"/>
  <c r="P47" i="3"/>
  <c r="O47" i="3"/>
  <c r="N47" i="3"/>
  <c r="M47" i="3"/>
  <c r="L47" i="3"/>
  <c r="K47" i="3"/>
  <c r="J47" i="3"/>
  <c r="I47" i="3"/>
  <c r="H47" i="3"/>
  <c r="G47" i="3"/>
  <c r="F47" i="3"/>
  <c r="AD46" i="3"/>
  <c r="V46" i="3"/>
  <c r="U46" i="3"/>
  <c r="T46" i="3"/>
  <c r="S46" i="3"/>
  <c r="R46" i="3"/>
  <c r="Q46" i="3"/>
  <c r="P46" i="3"/>
  <c r="O46" i="3"/>
  <c r="N46" i="3"/>
  <c r="M46" i="3"/>
  <c r="L46" i="3"/>
  <c r="K46" i="3"/>
  <c r="J46" i="3"/>
  <c r="I46" i="3"/>
  <c r="H46" i="3"/>
  <c r="G46" i="3"/>
  <c r="F46" i="3"/>
  <c r="AD45" i="3"/>
  <c r="AD44" i="3"/>
  <c r="C44" i="3"/>
  <c r="B44" i="3"/>
  <c r="D46" i="3" s="1"/>
  <c r="V43" i="3"/>
  <c r="U43" i="3"/>
  <c r="T43" i="3"/>
  <c r="S43" i="3"/>
  <c r="R43" i="3"/>
  <c r="Q43" i="3"/>
  <c r="P43" i="3"/>
  <c r="O43" i="3"/>
  <c r="N43" i="3"/>
  <c r="M43" i="3"/>
  <c r="L43" i="3"/>
  <c r="K43" i="3"/>
  <c r="J43" i="3"/>
  <c r="I43" i="3"/>
  <c r="H43" i="3"/>
  <c r="G43" i="3"/>
  <c r="F43" i="3"/>
  <c r="D43" i="3"/>
  <c r="AD42" i="3"/>
  <c r="V42" i="3"/>
  <c r="U42" i="3"/>
  <c r="T42" i="3"/>
  <c r="S42" i="3"/>
  <c r="R42" i="3"/>
  <c r="Q42" i="3"/>
  <c r="P42" i="3"/>
  <c r="O42" i="3"/>
  <c r="N42" i="3"/>
  <c r="M42" i="3"/>
  <c r="L42" i="3"/>
  <c r="K42" i="3"/>
  <c r="J42" i="3"/>
  <c r="I42" i="3"/>
  <c r="H42" i="3"/>
  <c r="G42" i="3"/>
  <c r="F42" i="3"/>
  <c r="AD41" i="3"/>
  <c r="AD40" i="3"/>
  <c r="C40" i="3"/>
  <c r="B40" i="3"/>
  <c r="D42" i="3" s="1"/>
  <c r="V39" i="3"/>
  <c r="U39" i="3"/>
  <c r="T39" i="3"/>
  <c r="S39" i="3"/>
  <c r="R39" i="3"/>
  <c r="Q39" i="3"/>
  <c r="P39" i="3"/>
  <c r="O39" i="3"/>
  <c r="N39" i="3"/>
  <c r="M39" i="3"/>
  <c r="L39" i="3"/>
  <c r="K39" i="3"/>
  <c r="J39" i="3"/>
  <c r="I39" i="3"/>
  <c r="H39" i="3"/>
  <c r="G39" i="3"/>
  <c r="F39" i="3"/>
  <c r="AD38" i="3"/>
  <c r="V38" i="3"/>
  <c r="U38" i="3"/>
  <c r="T38" i="3"/>
  <c r="S38" i="3"/>
  <c r="R38" i="3"/>
  <c r="Q38" i="3"/>
  <c r="P38" i="3"/>
  <c r="O38" i="3"/>
  <c r="N38" i="3"/>
  <c r="M38" i="3"/>
  <c r="L38" i="3"/>
  <c r="K38" i="3"/>
  <c r="J38" i="3"/>
  <c r="I38" i="3"/>
  <c r="H38" i="3"/>
  <c r="G38" i="3"/>
  <c r="F38" i="3"/>
  <c r="AD37" i="3"/>
  <c r="AD36" i="3"/>
  <c r="C36" i="3"/>
  <c r="B36" i="3"/>
  <c r="D38" i="3" s="1"/>
  <c r="V35" i="3"/>
  <c r="U35" i="3"/>
  <c r="T35" i="3"/>
  <c r="S35" i="3"/>
  <c r="R35" i="3"/>
  <c r="Q35" i="3"/>
  <c r="P35" i="3"/>
  <c r="O35" i="3"/>
  <c r="N35" i="3"/>
  <c r="M35" i="3"/>
  <c r="L35" i="3"/>
  <c r="K35" i="3"/>
  <c r="J35" i="3"/>
  <c r="I35" i="3"/>
  <c r="H35" i="3"/>
  <c r="G35" i="3"/>
  <c r="F35" i="3"/>
  <c r="D35" i="3"/>
  <c r="AD34" i="3"/>
  <c r="V34" i="3"/>
  <c r="U34" i="3"/>
  <c r="T34" i="3"/>
  <c r="S34" i="3"/>
  <c r="R34" i="3"/>
  <c r="Q34" i="3"/>
  <c r="P34" i="3"/>
  <c r="O34" i="3"/>
  <c r="N34" i="3"/>
  <c r="M34" i="3"/>
  <c r="L34" i="3"/>
  <c r="K34" i="3"/>
  <c r="J34" i="3"/>
  <c r="I34" i="3"/>
  <c r="H34" i="3"/>
  <c r="G34" i="3"/>
  <c r="F34" i="3"/>
  <c r="AD33" i="3"/>
  <c r="AD32" i="3"/>
  <c r="C32" i="3"/>
  <c r="B32" i="3"/>
  <c r="D34" i="3" s="1"/>
  <c r="V31" i="3"/>
  <c r="U31" i="3"/>
  <c r="T31" i="3"/>
  <c r="S31" i="3"/>
  <c r="R31" i="3"/>
  <c r="Q31" i="3"/>
  <c r="P31" i="3"/>
  <c r="O31" i="3"/>
  <c r="N31" i="3"/>
  <c r="M31" i="3"/>
  <c r="L31" i="3"/>
  <c r="K31" i="3"/>
  <c r="J31" i="3"/>
  <c r="I31" i="3"/>
  <c r="H31" i="3"/>
  <c r="G31" i="3"/>
  <c r="F31" i="3"/>
  <c r="AD30" i="3"/>
  <c r="V30" i="3"/>
  <c r="U30" i="3"/>
  <c r="T30" i="3"/>
  <c r="S30" i="3"/>
  <c r="R30" i="3"/>
  <c r="Q30" i="3"/>
  <c r="P30" i="3"/>
  <c r="O30" i="3"/>
  <c r="N30" i="3"/>
  <c r="M30" i="3"/>
  <c r="L30" i="3"/>
  <c r="K30" i="3"/>
  <c r="J30" i="3"/>
  <c r="I30" i="3"/>
  <c r="H30" i="3"/>
  <c r="G30" i="3"/>
  <c r="F30" i="3"/>
  <c r="AD29" i="3"/>
  <c r="AD28" i="3"/>
  <c r="C28" i="3"/>
  <c r="B28" i="3"/>
  <c r="D30" i="3" s="1"/>
  <c r="V27" i="3"/>
  <c r="U27" i="3"/>
  <c r="T27" i="3"/>
  <c r="S27" i="3"/>
  <c r="R27" i="3"/>
  <c r="Q27" i="3"/>
  <c r="P27" i="3"/>
  <c r="O27" i="3"/>
  <c r="N27" i="3"/>
  <c r="M27" i="3"/>
  <c r="L27" i="3"/>
  <c r="K27" i="3"/>
  <c r="J27" i="3"/>
  <c r="I27" i="3"/>
  <c r="H27" i="3"/>
  <c r="G27" i="3"/>
  <c r="F27" i="3"/>
  <c r="D27" i="3"/>
  <c r="AD26" i="3"/>
  <c r="V26" i="3"/>
  <c r="U26" i="3"/>
  <c r="T26" i="3"/>
  <c r="S26" i="3"/>
  <c r="R26" i="3"/>
  <c r="Q26" i="3"/>
  <c r="P26" i="3"/>
  <c r="O26" i="3"/>
  <c r="N26" i="3"/>
  <c r="M26" i="3"/>
  <c r="L26" i="3"/>
  <c r="K26" i="3"/>
  <c r="J26" i="3"/>
  <c r="I26" i="3"/>
  <c r="H26" i="3"/>
  <c r="G26" i="3"/>
  <c r="F26" i="3"/>
  <c r="AD25" i="3"/>
  <c r="AD24" i="3"/>
  <c r="C24" i="3"/>
  <c r="B24" i="3"/>
  <c r="D26" i="3" s="1"/>
  <c r="V23" i="3"/>
  <c r="U23" i="3"/>
  <c r="T23" i="3"/>
  <c r="S23" i="3"/>
  <c r="R23" i="3"/>
  <c r="Q23" i="3"/>
  <c r="P23" i="3"/>
  <c r="O23" i="3"/>
  <c r="N23" i="3"/>
  <c r="M23" i="3"/>
  <c r="L23" i="3"/>
  <c r="K23" i="3"/>
  <c r="J23" i="3"/>
  <c r="I23" i="3"/>
  <c r="H23" i="3"/>
  <c r="G23" i="3"/>
  <c r="F23" i="3"/>
  <c r="AD22" i="3"/>
  <c r="V22" i="3"/>
  <c r="U22" i="3"/>
  <c r="T22" i="3"/>
  <c r="S22" i="3"/>
  <c r="R22" i="3"/>
  <c r="Q22" i="3"/>
  <c r="P22" i="3"/>
  <c r="O22" i="3"/>
  <c r="N22" i="3"/>
  <c r="M22" i="3"/>
  <c r="L22" i="3"/>
  <c r="K22" i="3"/>
  <c r="J22" i="3"/>
  <c r="I22" i="3"/>
  <c r="H22" i="3"/>
  <c r="G22" i="3"/>
  <c r="F22" i="3"/>
  <c r="AD21" i="3"/>
  <c r="AD20" i="3"/>
  <c r="C20" i="3"/>
  <c r="B20" i="3"/>
  <c r="D20" i="3" s="1"/>
  <c r="V19" i="3"/>
  <c r="U19" i="3"/>
  <c r="T19" i="3"/>
  <c r="S19" i="3"/>
  <c r="R19" i="3"/>
  <c r="Q19" i="3"/>
  <c r="P19" i="3"/>
  <c r="O19" i="3"/>
  <c r="N19" i="3"/>
  <c r="M19" i="3"/>
  <c r="L19" i="3"/>
  <c r="K19" i="3"/>
  <c r="J19" i="3"/>
  <c r="I19" i="3"/>
  <c r="H19" i="3"/>
  <c r="G19" i="3"/>
  <c r="F19" i="3"/>
  <c r="D19" i="3"/>
  <c r="AD18" i="3"/>
  <c r="V18" i="3"/>
  <c r="U18" i="3"/>
  <c r="T18" i="3"/>
  <c r="S18" i="3"/>
  <c r="R18" i="3"/>
  <c r="Q18" i="3"/>
  <c r="P18" i="3"/>
  <c r="O18" i="3"/>
  <c r="N18" i="3"/>
  <c r="M18" i="3"/>
  <c r="L18" i="3"/>
  <c r="K18" i="3"/>
  <c r="J18" i="3"/>
  <c r="I18" i="3"/>
  <c r="H18" i="3"/>
  <c r="G18" i="3"/>
  <c r="F18" i="3"/>
  <c r="AD17" i="3"/>
  <c r="AD16" i="3"/>
  <c r="C16" i="3"/>
  <c r="B16" i="3"/>
  <c r="D18" i="3" s="1"/>
  <c r="V15" i="3"/>
  <c r="U15" i="3"/>
  <c r="T15" i="3"/>
  <c r="S15" i="3"/>
  <c r="R15" i="3"/>
  <c r="Q15" i="3"/>
  <c r="P15" i="3"/>
  <c r="O15" i="3"/>
  <c r="N15" i="3"/>
  <c r="M15" i="3"/>
  <c r="L15" i="3"/>
  <c r="K15" i="3"/>
  <c r="J15" i="3"/>
  <c r="I15" i="3"/>
  <c r="H15" i="3"/>
  <c r="G15" i="3"/>
  <c r="F15" i="3"/>
  <c r="AD14" i="3"/>
  <c r="V14" i="3"/>
  <c r="U14" i="3"/>
  <c r="T14" i="3"/>
  <c r="S14" i="3"/>
  <c r="R14" i="3"/>
  <c r="Q14" i="3"/>
  <c r="P14" i="3"/>
  <c r="O14" i="3"/>
  <c r="N14" i="3"/>
  <c r="M14" i="3"/>
  <c r="L14" i="3"/>
  <c r="K14" i="3"/>
  <c r="J14" i="3"/>
  <c r="I14" i="3"/>
  <c r="H14" i="3"/>
  <c r="G14" i="3"/>
  <c r="F14" i="3"/>
  <c r="AD13" i="3"/>
  <c r="AD12" i="3"/>
  <c r="C12" i="3"/>
  <c r="B12" i="3"/>
  <c r="D12" i="3" s="1"/>
  <c r="V11" i="3"/>
  <c r="U11" i="3"/>
  <c r="T11" i="3"/>
  <c r="S11" i="3"/>
  <c r="R11" i="3"/>
  <c r="Q11" i="3"/>
  <c r="P11" i="3"/>
  <c r="O11" i="3"/>
  <c r="N11" i="3"/>
  <c r="M11" i="3"/>
  <c r="L11" i="3"/>
  <c r="K11" i="3"/>
  <c r="J11" i="3"/>
  <c r="I11" i="3"/>
  <c r="H11" i="3"/>
  <c r="G11" i="3"/>
  <c r="F11" i="3"/>
  <c r="D11" i="3"/>
  <c r="AD10" i="3"/>
  <c r="V10" i="3"/>
  <c r="U10" i="3"/>
  <c r="T10" i="3"/>
  <c r="S10" i="3"/>
  <c r="R10" i="3"/>
  <c r="Q10" i="3"/>
  <c r="P10" i="3"/>
  <c r="O10" i="3"/>
  <c r="N10" i="3"/>
  <c r="M10" i="3"/>
  <c r="L10" i="3"/>
  <c r="K10" i="3"/>
  <c r="J10" i="3"/>
  <c r="I10" i="3"/>
  <c r="H10" i="3"/>
  <c r="G10" i="3"/>
  <c r="F10" i="3"/>
  <c r="AD9" i="3"/>
  <c r="AD8" i="3"/>
  <c r="C8" i="3"/>
  <c r="B8" i="3"/>
  <c r="D10" i="3" s="1"/>
  <c r="N3" i="3"/>
  <c r="N2" i="3"/>
  <c r="N1" i="3"/>
  <c r="N11" i="2"/>
  <c r="N12" i="2" s="1"/>
  <c r="N13" i="2" s="1"/>
  <c r="N14" i="2" s="1"/>
  <c r="N15" i="2" s="1"/>
  <c r="N16" i="2" s="1"/>
  <c r="N17" i="2" s="1"/>
  <c r="N18" i="2" s="1"/>
  <c r="N19" i="2" s="1"/>
  <c r="N20" i="2" s="1"/>
  <c r="N21" i="2" s="1"/>
  <c r="N22" i="2" s="1"/>
  <c r="N23" i="2" s="1"/>
  <c r="N24" i="2" s="1"/>
  <c r="N25" i="2" s="1"/>
  <c r="N26" i="2" s="1"/>
  <c r="N27" i="2" s="1"/>
  <c r="N28" i="2" s="1"/>
  <c r="N29" i="2" s="1"/>
  <c r="N30" i="2" s="1"/>
  <c r="N31" i="2" s="1"/>
  <c r="N32" i="2" s="1"/>
  <c r="N33" i="2" s="1"/>
  <c r="N34" i="2" s="1"/>
  <c r="N35" i="2" s="1"/>
  <c r="N36" i="2" s="1"/>
  <c r="N37" i="2" s="1"/>
  <c r="N38" i="2" s="1"/>
  <c r="N39" i="2" s="1"/>
  <c r="N40" i="2" s="1"/>
  <c r="N41" i="2" s="1"/>
  <c r="N42" i="2" s="1"/>
  <c r="N43" i="2" s="1"/>
  <c r="N44" i="2" s="1"/>
  <c r="N45" i="2" s="1"/>
  <c r="N46" i="2" s="1"/>
  <c r="N47" i="2" s="1"/>
  <c r="N48" i="2" s="1"/>
  <c r="N10" i="2"/>
  <c r="AE148" i="3" l="1"/>
  <c r="AE116" i="3"/>
  <c r="AE100" i="3"/>
  <c r="AE140" i="3"/>
  <c r="AE132" i="3"/>
  <c r="AE124" i="3"/>
  <c r="AE108" i="3"/>
  <c r="AE92" i="3"/>
  <c r="AE84" i="3"/>
  <c r="AE76" i="3"/>
  <c r="AE20" i="3"/>
  <c r="AE68" i="3"/>
  <c r="AE60" i="3"/>
  <c r="AE52" i="3"/>
  <c r="AE44" i="3"/>
  <c r="AE36" i="3"/>
  <c r="AE28" i="3"/>
  <c r="AE12" i="3"/>
  <c r="AE144" i="3"/>
  <c r="AE136" i="3"/>
  <c r="AE128" i="3"/>
  <c r="AE120" i="3"/>
  <c r="AE112" i="3"/>
  <c r="AE104" i="3"/>
  <c r="AE96" i="3"/>
  <c r="AE88" i="3"/>
  <c r="AE80" i="3"/>
  <c r="AE72" i="3"/>
  <c r="AE64" i="3"/>
  <c r="AE56" i="3"/>
  <c r="AE48" i="3"/>
  <c r="AE40" i="3"/>
  <c r="AE32" i="3"/>
  <c r="AE24" i="3"/>
  <c r="AE16" i="3"/>
  <c r="AE8" i="3"/>
  <c r="L3" i="7"/>
  <c r="L3" i="5"/>
  <c r="D13" i="3"/>
  <c r="D14" i="3"/>
  <c r="D21" i="3"/>
  <c r="D22" i="3"/>
  <c r="L2" i="7"/>
  <c r="L2" i="5"/>
  <c r="D8" i="3"/>
  <c r="D9" i="3"/>
  <c r="D15" i="3"/>
  <c r="D16" i="3"/>
  <c r="D17" i="3"/>
  <c r="D23" i="3"/>
  <c r="D24" i="3"/>
  <c r="D25" i="3"/>
  <c r="D31" i="3"/>
  <c r="D32" i="3"/>
  <c r="D33" i="3"/>
  <c r="D39" i="3"/>
  <c r="D40" i="3"/>
  <c r="D41" i="3"/>
  <c r="D47" i="3"/>
  <c r="D48" i="3"/>
  <c r="D49" i="3"/>
  <c r="D55" i="3"/>
  <c r="D56" i="3"/>
  <c r="D57" i="3"/>
  <c r="D63" i="3"/>
  <c r="D64" i="3"/>
  <c r="D65" i="3"/>
  <c r="D71" i="3"/>
  <c r="D72" i="3"/>
  <c r="D73" i="3"/>
  <c r="D79" i="3"/>
  <c r="D80" i="3"/>
  <c r="D81" i="3"/>
  <c r="D87" i="3"/>
  <c r="D88" i="3"/>
  <c r="D89" i="3"/>
  <c r="D95" i="3"/>
  <c r="D96" i="3"/>
  <c r="D97" i="3"/>
  <c r="D103" i="3"/>
  <c r="D104" i="3"/>
  <c r="D105" i="3"/>
  <c r="D111" i="3"/>
  <c r="D112" i="3"/>
  <c r="D113" i="3"/>
  <c r="D119" i="3"/>
  <c r="D120" i="3"/>
  <c r="D121" i="3"/>
  <c r="D127" i="3"/>
  <c r="D128" i="3"/>
  <c r="D129" i="3"/>
  <c r="D135" i="3"/>
  <c r="D136" i="3"/>
  <c r="D137" i="3"/>
  <c r="D143" i="3"/>
  <c r="D144" i="3"/>
  <c r="D145" i="3"/>
  <c r="D151" i="3"/>
  <c r="D152" i="3"/>
  <c r="D153" i="3"/>
  <c r="D159" i="3"/>
  <c r="D160" i="3"/>
  <c r="D161" i="3"/>
  <c r="D167" i="3"/>
  <c r="D5" i="4"/>
  <c r="D9" i="4"/>
  <c r="D13" i="4"/>
  <c r="D17" i="4"/>
  <c r="D21" i="4"/>
  <c r="D25" i="4"/>
  <c r="D29" i="4"/>
  <c r="D33" i="4"/>
  <c r="D37" i="4"/>
  <c r="D41" i="4"/>
  <c r="D45" i="4"/>
  <c r="D49" i="4"/>
  <c r="D53" i="4"/>
  <c r="D57" i="4"/>
  <c r="D61" i="4"/>
  <c r="D65" i="4"/>
  <c r="D69" i="4"/>
  <c r="D71" i="4"/>
  <c r="D80" i="4"/>
  <c r="D78" i="4"/>
  <c r="D77" i="4"/>
  <c r="D79" i="4"/>
  <c r="D88" i="4"/>
  <c r="D86" i="4"/>
  <c r="D85" i="4"/>
  <c r="D87" i="4"/>
  <c r="D96" i="4"/>
  <c r="D94" i="4"/>
  <c r="D93" i="4"/>
  <c r="D95" i="4"/>
  <c r="D104" i="4"/>
  <c r="D102" i="4"/>
  <c r="D101" i="4"/>
  <c r="D103" i="4"/>
  <c r="D112" i="4"/>
  <c r="D110" i="4"/>
  <c r="D109" i="4"/>
  <c r="D111" i="4"/>
  <c r="D120" i="4"/>
  <c r="D118" i="4"/>
  <c r="D117" i="4"/>
  <c r="D119" i="4"/>
  <c r="D128" i="4"/>
  <c r="D126" i="4"/>
  <c r="D125" i="4"/>
  <c r="D127" i="4"/>
  <c r="D136" i="4"/>
  <c r="D134" i="4"/>
  <c r="D133" i="4"/>
  <c r="D135" i="4"/>
  <c r="D144" i="4"/>
  <c r="D142" i="4"/>
  <c r="D141" i="4"/>
  <c r="D143" i="4"/>
  <c r="D152" i="4"/>
  <c r="D150" i="4"/>
  <c r="D149" i="4"/>
  <c r="D151" i="4"/>
  <c r="D160" i="4"/>
  <c r="D158" i="4"/>
  <c r="D157" i="4"/>
  <c r="D159" i="4"/>
  <c r="D4" i="11"/>
  <c r="F103" i="5"/>
  <c r="F101" i="5"/>
  <c r="C98" i="5"/>
  <c r="C97" i="5"/>
  <c r="C96" i="5"/>
  <c r="C95" i="5"/>
  <c r="F91" i="5"/>
  <c r="G91" i="5" s="1"/>
  <c r="C90" i="5"/>
  <c r="F89" i="5"/>
  <c r="G89" i="5" s="1"/>
  <c r="C88" i="5"/>
  <c r="I79" i="5"/>
  <c r="J79" i="5" s="1"/>
  <c r="I78" i="5"/>
  <c r="J78" i="5" s="1"/>
  <c r="I77" i="5"/>
  <c r="J77" i="5" s="1"/>
  <c r="I76" i="5"/>
  <c r="J76" i="5" s="1"/>
  <c r="I75" i="5"/>
  <c r="J75" i="5" s="1"/>
  <c r="H74" i="5"/>
  <c r="H73" i="5"/>
  <c r="H71" i="5"/>
  <c r="I70" i="5"/>
  <c r="J70" i="5" s="1"/>
  <c r="I69" i="5"/>
  <c r="J69" i="5" s="1"/>
  <c r="I68" i="5"/>
  <c r="J68" i="5" s="1"/>
  <c r="H66" i="5"/>
  <c r="H65" i="5"/>
  <c r="H64" i="5"/>
  <c r="H63" i="5"/>
  <c r="I62" i="5"/>
  <c r="J62" i="5" s="1"/>
  <c r="I61" i="5"/>
  <c r="J61" i="5" s="1"/>
  <c r="I53" i="5"/>
  <c r="J53" i="5" s="1"/>
  <c r="I52" i="5"/>
  <c r="J52" i="5" s="1"/>
  <c r="I51" i="5"/>
  <c r="J51" i="5" s="1"/>
  <c r="H50" i="5"/>
  <c r="H49" i="5"/>
  <c r="H48" i="5"/>
  <c r="H47" i="5"/>
  <c r="I45" i="5"/>
  <c r="J45" i="5" s="1"/>
  <c r="I44" i="5"/>
  <c r="J44" i="5" s="1"/>
  <c r="I43" i="5"/>
  <c r="J43" i="5" s="1"/>
  <c r="H42" i="5"/>
  <c r="H40" i="5"/>
  <c r="H39" i="5"/>
  <c r="I38" i="5"/>
  <c r="J38" i="5" s="1"/>
  <c r="I37" i="5"/>
  <c r="J37" i="5" s="1"/>
  <c r="I36" i="5"/>
  <c r="J36" i="5" s="1"/>
  <c r="I35" i="5"/>
  <c r="J35" i="5" s="1"/>
  <c r="B10" i="5"/>
  <c r="E10" i="5" s="1"/>
  <c r="H36" i="5"/>
  <c r="H38" i="5"/>
  <c r="I39" i="5"/>
  <c r="J39" i="5" s="1"/>
  <c r="I40" i="5"/>
  <c r="J40" i="5" s="1"/>
  <c r="I42" i="5"/>
  <c r="J42" i="5" s="1"/>
  <c r="H44" i="5"/>
  <c r="I47" i="5"/>
  <c r="J47" i="5" s="1"/>
  <c r="I48" i="5"/>
  <c r="J48" i="5" s="1"/>
  <c r="I49" i="5"/>
  <c r="J49" i="5" s="1"/>
  <c r="I50" i="5"/>
  <c r="J50" i="5" s="1"/>
  <c r="H52" i="5"/>
  <c r="H62" i="5"/>
  <c r="H68" i="5"/>
  <c r="H70" i="5"/>
  <c r="H75" i="5"/>
  <c r="H77" i="5"/>
  <c r="H79" i="5"/>
  <c r="F88" i="5"/>
  <c r="G88" i="5" s="1"/>
  <c r="C91" i="5"/>
  <c r="G95" i="5"/>
  <c r="G97" i="5"/>
  <c r="F102" i="5"/>
  <c r="B61" i="7"/>
  <c r="F57" i="7"/>
  <c r="G52" i="7"/>
  <c r="G51" i="7"/>
  <c r="G50" i="7"/>
  <c r="G49" i="7"/>
  <c r="C45" i="7"/>
  <c r="F44" i="7"/>
  <c r="G44" i="7" s="1"/>
  <c r="C43" i="7"/>
  <c r="F42" i="7"/>
  <c r="G42" i="7" s="1"/>
  <c r="J38" i="7"/>
  <c r="H38" i="7"/>
  <c r="J37" i="7"/>
  <c r="H37" i="7"/>
  <c r="J36" i="7"/>
  <c r="H36" i="7"/>
  <c r="J35" i="7"/>
  <c r="H35" i="7"/>
  <c r="J34" i="7"/>
  <c r="H34" i="7"/>
  <c r="J33" i="7"/>
  <c r="H33" i="7"/>
  <c r="J32" i="7"/>
  <c r="H32" i="7"/>
  <c r="J30" i="7"/>
  <c r="H30" i="7"/>
  <c r="J29" i="7"/>
  <c r="H29" i="7"/>
  <c r="J28" i="7"/>
  <c r="H28" i="7"/>
  <c r="J27" i="7"/>
  <c r="H27" i="7"/>
  <c r="J25" i="7"/>
  <c r="H25" i="7"/>
  <c r="J24" i="7"/>
  <c r="H24" i="7"/>
  <c r="J23" i="7"/>
  <c r="H23" i="7"/>
  <c r="J22" i="7"/>
  <c r="H22" i="7"/>
  <c r="J21" i="7"/>
  <c r="H21" i="7"/>
  <c r="J20" i="7"/>
  <c r="H20" i="7"/>
  <c r="C9" i="7"/>
  <c r="D9" i="7" s="1"/>
  <c r="K20" i="7"/>
  <c r="I21" i="7"/>
  <c r="K22" i="7"/>
  <c r="I23" i="7"/>
  <c r="K24" i="7"/>
  <c r="I25" i="7"/>
  <c r="K27" i="7"/>
  <c r="I28" i="7"/>
  <c r="K29" i="7"/>
  <c r="I30" i="7"/>
  <c r="K32" i="7"/>
  <c r="I33" i="7"/>
  <c r="K34" i="7"/>
  <c r="I35" i="7"/>
  <c r="K36" i="7"/>
  <c r="I37" i="7"/>
  <c r="K38" i="7"/>
  <c r="C44" i="7"/>
  <c r="F45" i="7"/>
  <c r="G45" i="7" s="1"/>
  <c r="C50" i="7"/>
  <c r="C52" i="7"/>
  <c r="F58" i="7"/>
  <c r="I8" i="12"/>
  <c r="I10" i="12"/>
  <c r="D28" i="3"/>
  <c r="D29" i="3"/>
  <c r="D36" i="3"/>
  <c r="D37" i="3"/>
  <c r="D44" i="3"/>
  <c r="D45" i="3"/>
  <c r="D52" i="3"/>
  <c r="D53" i="3"/>
  <c r="D60" i="3"/>
  <c r="D61" i="3"/>
  <c r="D68" i="3"/>
  <c r="D69" i="3"/>
  <c r="D76" i="3"/>
  <c r="D77" i="3"/>
  <c r="D84" i="3"/>
  <c r="D85" i="3"/>
  <c r="D92" i="3"/>
  <c r="D93" i="3"/>
  <c r="D100" i="3"/>
  <c r="D101" i="3"/>
  <c r="D108" i="3"/>
  <c r="D109" i="3"/>
  <c r="D116" i="3"/>
  <c r="D117" i="3"/>
  <c r="D124" i="3"/>
  <c r="D125" i="3"/>
  <c r="D132" i="3"/>
  <c r="D133" i="3"/>
  <c r="D140" i="3"/>
  <c r="D141" i="3"/>
  <c r="D148" i="3"/>
  <c r="D149" i="3"/>
  <c r="D156" i="3"/>
  <c r="D157" i="3"/>
  <c r="D164" i="3"/>
  <c r="D165" i="3"/>
  <c r="D76" i="4"/>
  <c r="D74" i="4"/>
  <c r="D73" i="4"/>
  <c r="D75" i="4"/>
  <c r="D84" i="4"/>
  <c r="D82" i="4"/>
  <c r="D81" i="4"/>
  <c r="D83" i="4"/>
  <c r="D92" i="4"/>
  <c r="D90" i="4"/>
  <c r="D89" i="4"/>
  <c r="D91" i="4"/>
  <c r="D100" i="4"/>
  <c r="D98" i="4"/>
  <c r="D97" i="4"/>
  <c r="D99" i="4"/>
  <c r="D108" i="4"/>
  <c r="D106" i="4"/>
  <c r="D105" i="4"/>
  <c r="D107" i="4"/>
  <c r="D116" i="4"/>
  <c r="D114" i="4"/>
  <c r="D113" i="4"/>
  <c r="D115" i="4"/>
  <c r="D124" i="4"/>
  <c r="D122" i="4"/>
  <c r="D121" i="4"/>
  <c r="D123" i="4"/>
  <c r="D132" i="4"/>
  <c r="D130" i="4"/>
  <c r="D129" i="4"/>
  <c r="D131" i="4"/>
  <c r="D140" i="4"/>
  <c r="D138" i="4"/>
  <c r="D137" i="4"/>
  <c r="D139" i="4"/>
  <c r="D148" i="4"/>
  <c r="D146" i="4"/>
  <c r="D145" i="4"/>
  <c r="D147" i="4"/>
  <c r="D156" i="4"/>
  <c r="D154" i="4"/>
  <c r="D153" i="4"/>
  <c r="D155" i="4"/>
  <c r="D164" i="4"/>
  <c r="D162" i="4"/>
  <c r="D161" i="4"/>
  <c r="D163" i="4"/>
  <c r="K37" i="7"/>
  <c r="I38" i="7"/>
  <c r="C42" i="7"/>
  <c r="F43" i="7"/>
  <c r="G43" i="7" s="1"/>
  <c r="C49" i="7"/>
  <c r="C51" i="7"/>
  <c r="F56" i="7"/>
  <c r="J7" i="12"/>
  <c r="K7" i="12" s="1"/>
  <c r="K8" i="12"/>
  <c r="K9" i="12"/>
  <c r="K10" i="12"/>
  <c r="K11" i="12"/>
  <c r="K12" i="12"/>
  <c r="K13" i="12"/>
  <c r="K15" i="12"/>
  <c r="K17" i="12"/>
  <c r="K19" i="12"/>
  <c r="K21" i="12"/>
  <c r="K23" i="12"/>
  <c r="K25" i="12"/>
  <c r="K27" i="12"/>
  <c r="K29" i="12"/>
  <c r="K31" i="12"/>
  <c r="K33" i="12"/>
  <c r="K35" i="12"/>
  <c r="K37" i="12"/>
  <c r="K39" i="12"/>
  <c r="K41" i="12"/>
  <c r="J43" i="12"/>
  <c r="K43" i="12" s="1"/>
  <c r="J45" i="12"/>
  <c r="K45" i="12" s="1"/>
  <c r="J7" i="13"/>
  <c r="K7" i="13" s="1"/>
  <c r="K9" i="13"/>
  <c r="K11" i="13"/>
  <c r="K13" i="13"/>
  <c r="K15" i="13"/>
  <c r="I14" i="12"/>
  <c r="K14" i="12"/>
  <c r="I16" i="12"/>
  <c r="K16" i="12"/>
  <c r="I18" i="12"/>
  <c r="K18" i="12"/>
  <c r="I20" i="12"/>
  <c r="K20" i="12"/>
  <c r="I22" i="12"/>
  <c r="K22" i="12"/>
  <c r="I24" i="12"/>
  <c r="K24" i="12"/>
  <c r="I26" i="12"/>
  <c r="K26" i="12"/>
  <c r="I28" i="12"/>
  <c r="K28" i="12"/>
  <c r="I30" i="12"/>
  <c r="K30" i="12"/>
  <c r="I32" i="12"/>
  <c r="K32" i="12"/>
  <c r="I34" i="12"/>
  <c r="K34" i="12"/>
  <c r="I36" i="12"/>
  <c r="K36" i="12"/>
  <c r="I38" i="12"/>
  <c r="K38" i="12"/>
  <c r="I40" i="12"/>
  <c r="K40" i="12"/>
  <c r="I42" i="12"/>
  <c r="K42" i="12"/>
  <c r="D44" i="12"/>
  <c r="F44" i="12"/>
  <c r="H44" i="12"/>
  <c r="I44" i="12" s="1"/>
  <c r="J44" i="12"/>
  <c r="K44" i="12" s="1"/>
  <c r="D46" i="12"/>
  <c r="F46" i="12"/>
  <c r="H46" i="12"/>
  <c r="I46" i="12" s="1"/>
  <c r="J46" i="12"/>
  <c r="K46" i="12" s="1"/>
  <c r="I8" i="13"/>
  <c r="K8" i="13"/>
  <c r="I10" i="13"/>
  <c r="K10" i="13"/>
  <c r="I12" i="13"/>
  <c r="K12" i="13"/>
  <c r="I14" i="13"/>
  <c r="K14" i="13"/>
  <c r="I16" i="13"/>
  <c r="K16" i="13"/>
  <c r="K18" i="13"/>
  <c r="K20" i="13"/>
  <c r="K22" i="13"/>
  <c r="K24" i="13"/>
  <c r="K26" i="13"/>
  <c r="K28" i="13"/>
  <c r="K30" i="13"/>
  <c r="K32" i="13"/>
  <c r="K34" i="13"/>
  <c r="K36" i="13"/>
  <c r="K38" i="13"/>
  <c r="K40" i="13"/>
  <c r="K42" i="13"/>
  <c r="J44" i="13"/>
  <c r="K44" i="13" s="1"/>
  <c r="J46" i="13"/>
  <c r="K46" i="13" s="1"/>
  <c r="J8" i="14"/>
  <c r="K8" i="14" s="1"/>
  <c r="J10" i="14"/>
  <c r="K10" i="14" s="1"/>
  <c r="J12" i="14"/>
  <c r="K12" i="14" s="1"/>
  <c r="J14" i="14"/>
  <c r="K14" i="14" s="1"/>
  <c r="J16" i="14"/>
  <c r="K16" i="14" s="1"/>
  <c r="J18" i="14"/>
  <c r="K18" i="14" s="1"/>
  <c r="J20" i="14"/>
  <c r="K20" i="14" s="1"/>
  <c r="J22" i="14"/>
  <c r="K22" i="14" s="1"/>
  <c r="J24" i="14"/>
  <c r="K24" i="14" s="1"/>
  <c r="J26" i="14"/>
  <c r="K26" i="14" s="1"/>
  <c r="J28" i="14"/>
  <c r="K28" i="14" s="1"/>
  <c r="J30" i="14"/>
  <c r="K30" i="14" s="1"/>
  <c r="J32" i="14"/>
  <c r="K32" i="14" s="1"/>
  <c r="J34" i="14"/>
  <c r="K34" i="14" s="1"/>
  <c r="J36" i="14"/>
  <c r="K36" i="14" s="1"/>
  <c r="J38" i="14"/>
  <c r="K38" i="14" s="1"/>
  <c r="J40" i="14"/>
  <c r="K40" i="14" s="1"/>
  <c r="J42" i="14"/>
  <c r="K42" i="14" s="1"/>
  <c r="J44" i="14"/>
  <c r="K44" i="14" s="1"/>
  <c r="J46" i="14"/>
  <c r="K46" i="14" s="1"/>
  <c r="F44" i="15"/>
  <c r="F46" i="15"/>
  <c r="F32" i="16"/>
  <c r="F44" i="16"/>
  <c r="F46" i="16"/>
  <c r="F16" i="17"/>
  <c r="F44" i="17"/>
  <c r="F46" i="17"/>
  <c r="F44" i="18"/>
  <c r="F46" i="18"/>
  <c r="F44" i="19"/>
  <c r="F46" i="19"/>
  <c r="F8" i="20"/>
  <c r="F10" i="20"/>
  <c r="F12" i="20"/>
  <c r="I7" i="12"/>
  <c r="I9" i="12"/>
  <c r="I11" i="12"/>
  <c r="I13" i="12"/>
  <c r="I15" i="12"/>
  <c r="I17" i="12"/>
  <c r="I19" i="12"/>
  <c r="I21" i="12"/>
  <c r="I23" i="12"/>
  <c r="I25" i="12"/>
  <c r="I27" i="12"/>
  <c r="I29" i="12"/>
  <c r="I31" i="12"/>
  <c r="I33" i="12"/>
  <c r="D35" i="12"/>
  <c r="I35" i="12"/>
  <c r="I37" i="12"/>
  <c r="I39" i="12"/>
  <c r="I41" i="12"/>
  <c r="D43" i="12"/>
  <c r="F43" i="12"/>
  <c r="H43" i="12"/>
  <c r="I43" i="12" s="1"/>
  <c r="E44" i="12"/>
  <c r="D45" i="12"/>
  <c r="F45" i="12"/>
  <c r="H45" i="12"/>
  <c r="I45" i="12" s="1"/>
  <c r="E46" i="12"/>
  <c r="I7" i="13"/>
  <c r="I9" i="13"/>
  <c r="I11" i="13"/>
  <c r="I13" i="13"/>
  <c r="I15" i="13"/>
  <c r="I17" i="13"/>
  <c r="I19" i="13"/>
  <c r="I21" i="13"/>
  <c r="I23" i="13"/>
  <c r="I25" i="13"/>
  <c r="I27" i="13"/>
  <c r="I29" i="13"/>
  <c r="I31" i="13"/>
  <c r="I33" i="13"/>
  <c r="I35" i="13"/>
  <c r="I37" i="13"/>
  <c r="I39" i="13"/>
  <c r="I41" i="13"/>
  <c r="G43" i="13"/>
  <c r="E43" i="13"/>
  <c r="D43" i="13"/>
  <c r="H43" i="13"/>
  <c r="I43" i="13" s="1"/>
  <c r="G45" i="13"/>
  <c r="E45" i="13"/>
  <c r="D45" i="13"/>
  <c r="H45" i="13"/>
  <c r="I45" i="13" s="1"/>
  <c r="I7" i="14"/>
  <c r="I9" i="14"/>
  <c r="I11" i="14"/>
  <c r="I13" i="14"/>
  <c r="I15" i="14"/>
  <c r="I17" i="14"/>
  <c r="I19" i="14"/>
  <c r="I21" i="14"/>
  <c r="I23" i="14"/>
  <c r="I25" i="14"/>
  <c r="I27" i="14"/>
  <c r="I29" i="14"/>
  <c r="I31" i="14"/>
  <c r="I33" i="14"/>
  <c r="G35" i="14"/>
  <c r="E35" i="14"/>
  <c r="H35" i="14"/>
  <c r="I35" i="14" s="1"/>
  <c r="I37" i="14"/>
  <c r="I39" i="14"/>
  <c r="I41" i="14"/>
  <c r="G43" i="14"/>
  <c r="E43" i="14"/>
  <c r="H43" i="14"/>
  <c r="I43" i="14" s="1"/>
  <c r="G45" i="14"/>
  <c r="E45" i="14"/>
  <c r="D45" i="14"/>
  <c r="H45" i="14"/>
  <c r="I45" i="14" s="1"/>
  <c r="G43" i="15"/>
  <c r="E43" i="15"/>
  <c r="D43" i="15"/>
  <c r="G45" i="15"/>
  <c r="E45" i="15"/>
  <c r="D45" i="15"/>
  <c r="G15" i="16"/>
  <c r="E15" i="16"/>
  <c r="D15" i="16"/>
  <c r="G19" i="16"/>
  <c r="E19" i="16"/>
  <c r="D19" i="16"/>
  <c r="G35" i="16"/>
  <c r="E35" i="16"/>
  <c r="D35" i="16"/>
  <c r="G43" i="16"/>
  <c r="E43" i="16"/>
  <c r="D43" i="16"/>
  <c r="F45" i="16"/>
  <c r="F31" i="17"/>
  <c r="F35" i="17"/>
  <c r="F43" i="17"/>
  <c r="F45" i="17"/>
  <c r="I18" i="13"/>
  <c r="I20" i="13"/>
  <c r="I22" i="13"/>
  <c r="I24" i="13"/>
  <c r="I26" i="13"/>
  <c r="I28" i="13"/>
  <c r="I30" i="13"/>
  <c r="I32" i="13"/>
  <c r="I34" i="13"/>
  <c r="I36" i="13"/>
  <c r="I38" i="13"/>
  <c r="I40" i="13"/>
  <c r="I42" i="13"/>
  <c r="D44" i="13"/>
  <c r="H44" i="13"/>
  <c r="I44" i="13" s="1"/>
  <c r="D46" i="13"/>
  <c r="F46" i="13"/>
  <c r="H46" i="13"/>
  <c r="I46" i="13" s="1"/>
  <c r="I8" i="14"/>
  <c r="I10" i="14"/>
  <c r="I12" i="14"/>
  <c r="I14" i="14"/>
  <c r="I16" i="14"/>
  <c r="I18" i="14"/>
  <c r="I20" i="14"/>
  <c r="I22" i="14"/>
  <c r="I24" i="14"/>
  <c r="I26" i="14"/>
  <c r="I28" i="14"/>
  <c r="I30" i="14"/>
  <c r="I32" i="14"/>
  <c r="I34" i="14"/>
  <c r="I36" i="14"/>
  <c r="I38" i="14"/>
  <c r="I40" i="14"/>
  <c r="I42" i="14"/>
  <c r="F44" i="14"/>
  <c r="H44" i="14"/>
  <c r="I44" i="14" s="1"/>
  <c r="D46" i="14"/>
  <c r="F46" i="14"/>
  <c r="H46" i="14"/>
  <c r="I46" i="14" s="1"/>
  <c r="D44" i="15"/>
  <c r="D46" i="15"/>
  <c r="D32" i="16"/>
  <c r="D44" i="16"/>
  <c r="E45" i="16"/>
  <c r="G45" i="16"/>
  <c r="D46" i="16"/>
  <c r="E31" i="17"/>
  <c r="G31" i="17"/>
  <c r="E35" i="17"/>
  <c r="G35" i="17"/>
  <c r="E37" i="17"/>
  <c r="G37" i="17"/>
  <c r="E39" i="17"/>
  <c r="G39" i="17"/>
  <c r="E41" i="17"/>
  <c r="G41" i="17"/>
  <c r="E43" i="17"/>
  <c r="G43" i="17"/>
  <c r="D44" i="17"/>
  <c r="E45" i="17"/>
  <c r="G45" i="17"/>
  <c r="D46" i="17"/>
  <c r="F43" i="18"/>
  <c r="F45" i="18"/>
  <c r="F35" i="19"/>
  <c r="F43" i="19"/>
  <c r="F45" i="19"/>
  <c r="F7" i="20"/>
  <c r="F9" i="20"/>
  <c r="F11" i="20"/>
  <c r="F13" i="20"/>
  <c r="F14" i="20"/>
  <c r="F16" i="20"/>
  <c r="F18" i="20"/>
  <c r="F20" i="20"/>
  <c r="F22" i="20"/>
  <c r="F24" i="20"/>
  <c r="F26" i="20"/>
  <c r="F28" i="20"/>
  <c r="F30" i="20"/>
  <c r="F32" i="20"/>
  <c r="F34" i="20"/>
  <c r="F36" i="20"/>
  <c r="F38" i="20"/>
  <c r="F40" i="20"/>
  <c r="F42" i="20"/>
  <c r="F44" i="20"/>
  <c r="F46" i="20"/>
  <c r="D45" i="16"/>
  <c r="D35" i="17"/>
  <c r="D43" i="17"/>
  <c r="D45" i="17"/>
  <c r="G44" i="18"/>
  <c r="E44" i="18"/>
  <c r="D44" i="18"/>
  <c r="G46" i="18"/>
  <c r="E46" i="18"/>
  <c r="D46" i="18"/>
  <c r="G44" i="19"/>
  <c r="E44" i="19"/>
  <c r="D44" i="19"/>
  <c r="G46" i="19"/>
  <c r="E46" i="19"/>
  <c r="D46" i="19"/>
  <c r="G8" i="20"/>
  <c r="E8" i="20"/>
  <c r="D8" i="20"/>
  <c r="G10" i="20"/>
  <c r="E10" i="20"/>
  <c r="D10" i="20"/>
  <c r="G12" i="20"/>
  <c r="E12" i="20"/>
  <c r="D12" i="20"/>
  <c r="F15" i="20"/>
  <c r="F17" i="20"/>
  <c r="F19" i="20"/>
  <c r="F21" i="20"/>
  <c r="F23" i="20"/>
  <c r="F25" i="20"/>
  <c r="F27" i="20"/>
  <c r="F29" i="20"/>
  <c r="F31" i="20"/>
  <c r="F33" i="20"/>
  <c r="F35" i="20"/>
  <c r="F37" i="20"/>
  <c r="F39" i="20"/>
  <c r="F41" i="20"/>
  <c r="F43" i="20"/>
  <c r="F45" i="20"/>
  <c r="F15" i="21"/>
  <c r="D43" i="18"/>
  <c r="D45" i="18"/>
  <c r="D35" i="19"/>
  <c r="D43" i="19"/>
  <c r="D45" i="19"/>
  <c r="D7" i="20"/>
  <c r="D9" i="20"/>
  <c r="D11" i="20"/>
  <c r="D13" i="20"/>
  <c r="E14" i="20"/>
  <c r="G14" i="20"/>
  <c r="D15" i="20"/>
  <c r="E16" i="20"/>
  <c r="G16" i="20"/>
  <c r="D17" i="20"/>
  <c r="E18" i="20"/>
  <c r="G18" i="20"/>
  <c r="D19" i="20"/>
  <c r="E20" i="20"/>
  <c r="G20" i="20"/>
  <c r="D21" i="20"/>
  <c r="E22" i="20"/>
  <c r="G22" i="20"/>
  <c r="D23" i="20"/>
  <c r="E24" i="20"/>
  <c r="G24" i="20"/>
  <c r="D25" i="20"/>
  <c r="E26" i="20"/>
  <c r="G26" i="20"/>
  <c r="D27" i="20"/>
  <c r="E28" i="20"/>
  <c r="G28" i="20"/>
  <c r="D29" i="20"/>
  <c r="E30" i="20"/>
  <c r="G30" i="20"/>
  <c r="D31" i="20"/>
  <c r="E32" i="20"/>
  <c r="G32" i="20"/>
  <c r="D33" i="20"/>
  <c r="E34" i="20"/>
  <c r="G34" i="20"/>
  <c r="D35" i="20"/>
  <c r="E36" i="20"/>
  <c r="G36" i="20"/>
  <c r="D37" i="20"/>
  <c r="E38" i="20"/>
  <c r="G38" i="20"/>
  <c r="D39" i="20"/>
  <c r="E40" i="20"/>
  <c r="G40" i="20"/>
  <c r="D41" i="20"/>
  <c r="E42" i="20"/>
  <c r="G42" i="20"/>
  <c r="D43" i="20"/>
  <c r="E44" i="20"/>
  <c r="G44" i="20"/>
  <c r="D45" i="20"/>
  <c r="E46" i="20"/>
  <c r="G46" i="20"/>
  <c r="G43" i="21"/>
  <c r="E43" i="21"/>
  <c r="D43" i="21"/>
  <c r="G45" i="21"/>
  <c r="E45" i="21"/>
  <c r="D45" i="21"/>
  <c r="G7" i="22"/>
  <c r="E7" i="22"/>
  <c r="D7" i="22"/>
  <c r="G9" i="22"/>
  <c r="E9" i="22"/>
  <c r="D9" i="22"/>
  <c r="G11" i="22"/>
  <c r="E11" i="22"/>
  <c r="D11" i="22"/>
  <c r="G13" i="22"/>
  <c r="E13" i="22"/>
  <c r="D13" i="22"/>
  <c r="G15" i="22"/>
  <c r="E15" i="22"/>
  <c r="D15" i="22"/>
  <c r="G17" i="22"/>
  <c r="E17" i="22"/>
  <c r="D17" i="22"/>
  <c r="G19" i="22"/>
  <c r="E19" i="22"/>
  <c r="D19" i="22"/>
  <c r="G21" i="22"/>
  <c r="E21" i="22"/>
  <c r="D21" i="22"/>
  <c r="G23" i="22"/>
  <c r="E23" i="22"/>
  <c r="D23" i="22"/>
  <c r="G25" i="22"/>
  <c r="E25" i="22"/>
  <c r="D25" i="22"/>
  <c r="G27" i="22"/>
  <c r="E27" i="22"/>
  <c r="D27" i="22"/>
  <c r="G29" i="22"/>
  <c r="E29" i="22"/>
  <c r="D29" i="22"/>
  <c r="G31" i="22"/>
  <c r="E31" i="22"/>
  <c r="D31" i="22"/>
  <c r="G33" i="22"/>
  <c r="E33" i="22"/>
  <c r="D33" i="22"/>
  <c r="G35" i="22"/>
  <c r="E35" i="22"/>
  <c r="D35" i="22"/>
  <c r="G37" i="22"/>
  <c r="E37" i="22"/>
  <c r="D37" i="22"/>
  <c r="G39" i="22"/>
  <c r="E39" i="22"/>
  <c r="D39" i="22"/>
  <c r="G41" i="22"/>
  <c r="E41" i="22"/>
  <c r="D41" i="22"/>
  <c r="G43" i="22"/>
  <c r="E43" i="22"/>
  <c r="D43" i="22"/>
  <c r="G45" i="22"/>
  <c r="E45" i="22"/>
  <c r="D45" i="22"/>
  <c r="F44" i="23"/>
  <c r="F46" i="23"/>
  <c r="D14" i="20"/>
  <c r="D16" i="20"/>
  <c r="D18" i="20"/>
  <c r="D20" i="20"/>
  <c r="D22" i="20"/>
  <c r="D24" i="20"/>
  <c r="D26" i="20"/>
  <c r="D28" i="20"/>
  <c r="D30" i="20"/>
  <c r="D32" i="20"/>
  <c r="D34" i="20"/>
  <c r="D36" i="20"/>
  <c r="D38" i="20"/>
  <c r="D40" i="20"/>
  <c r="D42" i="20"/>
  <c r="D44" i="20"/>
  <c r="D46" i="20"/>
  <c r="F44" i="21"/>
  <c r="F46" i="21"/>
  <c r="F8" i="22"/>
  <c r="F10" i="22"/>
  <c r="F12" i="22"/>
  <c r="F14" i="22"/>
  <c r="F16" i="22"/>
  <c r="F18" i="22"/>
  <c r="F20" i="22"/>
  <c r="F22" i="22"/>
  <c r="F24" i="22"/>
  <c r="F26" i="22"/>
  <c r="F28" i="22"/>
  <c r="F30" i="22"/>
  <c r="F32" i="22"/>
  <c r="F34" i="22"/>
  <c r="F36" i="22"/>
  <c r="F38" i="22"/>
  <c r="F40" i="22"/>
  <c r="F42" i="22"/>
  <c r="F44" i="22"/>
  <c r="F46" i="22"/>
  <c r="F8" i="23"/>
  <c r="F12" i="23"/>
  <c r="G43" i="23"/>
  <c r="G45" i="23"/>
  <c r="F21" i="23"/>
  <c r="F35" i="23"/>
  <c r="D43" i="23"/>
  <c r="F43" i="23"/>
  <c r="D45" i="23"/>
  <c r="F45" i="23"/>
  <c r="G35" i="24"/>
  <c r="G43" i="24"/>
  <c r="E43" i="24"/>
  <c r="G45" i="24"/>
  <c r="E45" i="24"/>
  <c r="D45" i="24"/>
  <c r="F44" i="25"/>
  <c r="F46" i="25"/>
  <c r="D44" i="21"/>
  <c r="D46" i="21"/>
  <c r="D8" i="22"/>
  <c r="D10" i="22"/>
  <c r="D12" i="22"/>
  <c r="D14" i="22"/>
  <c r="D16" i="22"/>
  <c r="D18" i="22"/>
  <c r="D20" i="22"/>
  <c r="D22" i="22"/>
  <c r="D24" i="22"/>
  <c r="D26" i="22"/>
  <c r="D28" i="22"/>
  <c r="D30" i="22"/>
  <c r="D32" i="22"/>
  <c r="D34" i="22"/>
  <c r="D36" i="22"/>
  <c r="D38" i="22"/>
  <c r="D40" i="22"/>
  <c r="D42" i="22"/>
  <c r="D44" i="22"/>
  <c r="D46" i="22"/>
  <c r="E43" i="23"/>
  <c r="D44" i="23"/>
  <c r="E45" i="23"/>
  <c r="D46" i="23"/>
  <c r="F35" i="24"/>
  <c r="F43" i="24"/>
  <c r="F44" i="24"/>
  <c r="F45" i="24"/>
  <c r="F46" i="24"/>
  <c r="F43" i="25"/>
  <c r="F45" i="25"/>
  <c r="D36" i="24"/>
  <c r="D44" i="24"/>
  <c r="D46" i="24"/>
  <c r="G43" i="25"/>
  <c r="E45" i="25"/>
  <c r="G45" i="25"/>
  <c r="D46" i="25"/>
  <c r="D45" i="25"/>
  <c r="F43" i="26"/>
  <c r="F45" i="26"/>
  <c r="F44" i="26"/>
  <c r="F46" i="26"/>
  <c r="G43" i="26"/>
  <c r="E43" i="26"/>
  <c r="D43" i="26"/>
  <c r="G45" i="26"/>
  <c r="E45" i="26"/>
  <c r="D45" i="26"/>
  <c r="G43" i="27"/>
  <c r="D43" i="27"/>
  <c r="F43" i="27"/>
  <c r="G46" i="27"/>
  <c r="E46" i="27"/>
  <c r="D46" i="27"/>
  <c r="G44" i="28"/>
  <c r="E44" i="28"/>
  <c r="D44" i="28"/>
  <c r="G46" i="28"/>
  <c r="E46" i="28"/>
  <c r="D46" i="28"/>
  <c r="D44" i="26"/>
  <c r="D46" i="26"/>
  <c r="E43" i="27"/>
  <c r="G44" i="27"/>
  <c r="D44" i="27"/>
  <c r="F44" i="27"/>
  <c r="F45" i="27"/>
  <c r="F46" i="27"/>
  <c r="F43" i="28"/>
  <c r="F44" i="28"/>
  <c r="F45" i="28"/>
  <c r="F46" i="28"/>
  <c r="D45" i="27"/>
  <c r="D43" i="28"/>
  <c r="D45" i="28"/>
  <c r="AF140" i="3" l="1"/>
  <c r="G137" i="4" s="1"/>
  <c r="AF24" i="3"/>
  <c r="G21" i="4" s="1"/>
  <c r="AF40" i="3"/>
  <c r="G37" i="4" s="1"/>
  <c r="AF44" i="3"/>
  <c r="G41" i="4" s="1"/>
  <c r="AF52" i="3"/>
  <c r="G49" i="4" s="1"/>
  <c r="AF60" i="3"/>
  <c r="G57" i="4" s="1"/>
  <c r="AF72" i="3"/>
  <c r="G69" i="4" s="1"/>
  <c r="AF80" i="3"/>
  <c r="G77" i="4" s="1"/>
  <c r="AF88" i="3"/>
  <c r="G85" i="4" s="1"/>
  <c r="AF96" i="3"/>
  <c r="G93" i="4" s="1"/>
  <c r="AF104" i="3"/>
  <c r="G101" i="4" s="1"/>
  <c r="AF112" i="3"/>
  <c r="G109" i="4" s="1"/>
  <c r="AF120" i="3"/>
  <c r="G117" i="4" s="1"/>
  <c r="AF128" i="3"/>
  <c r="G125" i="4" s="1"/>
  <c r="AF136" i="3"/>
  <c r="G133" i="4" s="1"/>
  <c r="AF144" i="3"/>
  <c r="G141" i="4" s="1"/>
  <c r="AF148" i="3"/>
  <c r="G145" i="4" s="1"/>
  <c r="AF16" i="3"/>
  <c r="G13" i="4" s="1"/>
  <c r="AF32" i="3"/>
  <c r="G29" i="4" s="1"/>
  <c r="AF36" i="3"/>
  <c r="G33" i="4" s="1"/>
  <c r="AF48" i="3"/>
  <c r="G45" i="4" s="1"/>
  <c r="AF56" i="3"/>
  <c r="G53" i="4" s="1"/>
  <c r="AF64" i="3"/>
  <c r="G61" i="4" s="1"/>
  <c r="AF68" i="3"/>
  <c r="G65" i="4" s="1"/>
  <c r="AF76" i="3"/>
  <c r="G73" i="4" s="1"/>
  <c r="AF84" i="3"/>
  <c r="G81" i="4" s="1"/>
  <c r="AF92" i="3"/>
  <c r="G89" i="4" s="1"/>
  <c r="AF100" i="3"/>
  <c r="G97" i="4" s="1"/>
  <c r="AF108" i="3"/>
  <c r="G105" i="4" s="1"/>
  <c r="AF116" i="3"/>
  <c r="G113" i="4" s="1"/>
  <c r="AF124" i="3"/>
  <c r="G121" i="4" s="1"/>
  <c r="AF132" i="3"/>
  <c r="G129" i="4" s="1"/>
  <c r="AF8" i="3"/>
  <c r="AF20" i="3"/>
  <c r="G17" i="4" s="1"/>
  <c r="AF28" i="3"/>
  <c r="G25" i="4" s="1"/>
  <c r="AF12" i="3"/>
  <c r="L20" i="7"/>
  <c r="L21" i="7"/>
  <c r="L22" i="7"/>
  <c r="L23" i="7"/>
  <c r="L24" i="7"/>
  <c r="L25" i="7"/>
  <c r="L27" i="7"/>
  <c r="L28" i="7"/>
  <c r="L29" i="7"/>
  <c r="L30" i="7"/>
  <c r="L32" i="7"/>
  <c r="L33" i="7"/>
  <c r="L34" i="7"/>
  <c r="L35" i="7"/>
  <c r="L36" i="7"/>
  <c r="L37" i="7"/>
  <c r="L38" i="7"/>
  <c r="G44" i="12"/>
  <c r="I12" i="12"/>
  <c r="G46" i="12"/>
  <c r="D8" i="11"/>
  <c r="D12" i="11"/>
  <c r="D11" i="11"/>
  <c r="F7" i="11" s="1"/>
  <c r="G98" i="5"/>
  <c r="G96" i="5"/>
  <c r="E45" i="28"/>
  <c r="E43" i="28"/>
  <c r="E45" i="27"/>
  <c r="G45" i="28"/>
  <c r="G43" i="28"/>
  <c r="G45" i="27"/>
  <c r="E44" i="27"/>
  <c r="G46" i="26"/>
  <c r="G44" i="26"/>
  <c r="E46" i="26"/>
  <c r="E44" i="26"/>
  <c r="G46" i="25"/>
  <c r="E46" i="25"/>
  <c r="G44" i="25"/>
  <c r="E44" i="25"/>
  <c r="E46" i="24"/>
  <c r="E44" i="24"/>
  <c r="E36" i="24"/>
  <c r="G46" i="24"/>
  <c r="G44" i="24"/>
  <c r="G46" i="23"/>
  <c r="E46" i="23"/>
  <c r="G44" i="23"/>
  <c r="E44" i="23"/>
  <c r="E46" i="22"/>
  <c r="F45" i="22"/>
  <c r="E44" i="22"/>
  <c r="F43" i="22"/>
  <c r="E42" i="22"/>
  <c r="F41" i="22"/>
  <c r="E40" i="22"/>
  <c r="F39" i="22"/>
  <c r="E38" i="22"/>
  <c r="F37" i="22"/>
  <c r="E36" i="22"/>
  <c r="F35" i="22"/>
  <c r="E34" i="22"/>
  <c r="F33" i="22"/>
  <c r="E32" i="22"/>
  <c r="F31" i="22"/>
  <c r="E30" i="22"/>
  <c r="F29" i="22"/>
  <c r="E28" i="22"/>
  <c r="F27" i="22"/>
  <c r="E26" i="22"/>
  <c r="F25" i="22"/>
  <c r="E24" i="22"/>
  <c r="F23" i="22"/>
  <c r="E22" i="22"/>
  <c r="F21" i="22"/>
  <c r="E20" i="22"/>
  <c r="F19" i="22"/>
  <c r="E18" i="22"/>
  <c r="F17" i="22"/>
  <c r="E16" i="22"/>
  <c r="F15" i="22"/>
  <c r="E14" i="22"/>
  <c r="F13" i="22"/>
  <c r="E12" i="22"/>
  <c r="F11" i="22"/>
  <c r="E10" i="22"/>
  <c r="F9" i="22"/>
  <c r="E8" i="22"/>
  <c r="F7" i="22"/>
  <c r="E46" i="21"/>
  <c r="F45" i="21"/>
  <c r="E44" i="21"/>
  <c r="F43" i="21"/>
  <c r="G15" i="21"/>
  <c r="G45" i="20"/>
  <c r="E45" i="20"/>
  <c r="G43" i="20"/>
  <c r="E43" i="20"/>
  <c r="G41" i="20"/>
  <c r="E41" i="20"/>
  <c r="G39" i="20"/>
  <c r="E39" i="20"/>
  <c r="G37" i="20"/>
  <c r="E37" i="20"/>
  <c r="G35" i="20"/>
  <c r="E35" i="20"/>
  <c r="G33" i="20"/>
  <c r="E33" i="20"/>
  <c r="G31" i="20"/>
  <c r="E31" i="20"/>
  <c r="G29" i="20"/>
  <c r="E29" i="20"/>
  <c r="G27" i="20"/>
  <c r="E27" i="20"/>
  <c r="G25" i="20"/>
  <c r="E25" i="20"/>
  <c r="G23" i="20"/>
  <c r="E23" i="20"/>
  <c r="G21" i="20"/>
  <c r="E21" i="20"/>
  <c r="G19" i="20"/>
  <c r="E19" i="20"/>
  <c r="G17" i="20"/>
  <c r="E17" i="20"/>
  <c r="G15" i="20"/>
  <c r="E15" i="20"/>
  <c r="G13" i="20"/>
  <c r="G46" i="22"/>
  <c r="G44" i="22"/>
  <c r="G42" i="22"/>
  <c r="G40" i="22"/>
  <c r="G38" i="22"/>
  <c r="G36" i="22"/>
  <c r="G34" i="22"/>
  <c r="G32" i="22"/>
  <c r="G30" i="22"/>
  <c r="G28" i="22"/>
  <c r="G26" i="22"/>
  <c r="G24" i="22"/>
  <c r="G22" i="22"/>
  <c r="G20" i="22"/>
  <c r="G18" i="22"/>
  <c r="G16" i="22"/>
  <c r="G14" i="22"/>
  <c r="G12" i="22"/>
  <c r="G10" i="22"/>
  <c r="G8" i="22"/>
  <c r="G46" i="21"/>
  <c r="G44" i="21"/>
  <c r="G30" i="21"/>
  <c r="G11" i="20"/>
  <c r="G9" i="20"/>
  <c r="G7" i="20"/>
  <c r="G45" i="19"/>
  <c r="G43" i="19"/>
  <c r="G35" i="19"/>
  <c r="G45" i="18"/>
  <c r="G43" i="18"/>
  <c r="G46" i="17"/>
  <c r="E46" i="17"/>
  <c r="G44" i="17"/>
  <c r="E44" i="17"/>
  <c r="G42" i="17"/>
  <c r="E42" i="17"/>
  <c r="G40" i="17"/>
  <c r="E40" i="17"/>
  <c r="G38" i="17"/>
  <c r="E38" i="17"/>
  <c r="G36" i="17"/>
  <c r="E36" i="17"/>
  <c r="G16" i="17"/>
  <c r="E16" i="17"/>
  <c r="G46" i="16"/>
  <c r="E46" i="16"/>
  <c r="G44" i="16"/>
  <c r="E44" i="16"/>
  <c r="E13" i="20"/>
  <c r="E11" i="20"/>
  <c r="E9" i="20"/>
  <c r="E7" i="20"/>
  <c r="E45" i="19"/>
  <c r="E43" i="19"/>
  <c r="E35" i="19"/>
  <c r="E45" i="18"/>
  <c r="E43" i="18"/>
  <c r="G32" i="16"/>
  <c r="G46" i="15"/>
  <c r="G44" i="15"/>
  <c r="G46" i="14"/>
  <c r="G44" i="14"/>
  <c r="G46" i="13"/>
  <c r="G44" i="13"/>
  <c r="F43" i="16"/>
  <c r="F35" i="16"/>
  <c r="E32" i="16"/>
  <c r="F19" i="16"/>
  <c r="F15" i="16"/>
  <c r="E46" i="15"/>
  <c r="F45" i="15"/>
  <c r="E44" i="15"/>
  <c r="F43" i="15"/>
  <c r="E46" i="14"/>
  <c r="J45" i="14"/>
  <c r="K45" i="14" s="1"/>
  <c r="F45" i="14"/>
  <c r="E44" i="14"/>
  <c r="J43" i="14"/>
  <c r="K43" i="14" s="1"/>
  <c r="J41" i="14"/>
  <c r="K41" i="14" s="1"/>
  <c r="J39" i="14"/>
  <c r="K39" i="14" s="1"/>
  <c r="J37" i="14"/>
  <c r="K37" i="14" s="1"/>
  <c r="J35" i="14"/>
  <c r="K35" i="14" s="1"/>
  <c r="J33" i="14"/>
  <c r="K33" i="14" s="1"/>
  <c r="J31" i="14"/>
  <c r="K31" i="14" s="1"/>
  <c r="J29" i="14"/>
  <c r="K29" i="14" s="1"/>
  <c r="J27" i="14"/>
  <c r="K27" i="14" s="1"/>
  <c r="J25" i="14"/>
  <c r="K25" i="14" s="1"/>
  <c r="J23" i="14"/>
  <c r="K23" i="14" s="1"/>
  <c r="J21" i="14"/>
  <c r="K21" i="14" s="1"/>
  <c r="J19" i="14"/>
  <c r="K19" i="14" s="1"/>
  <c r="J17" i="14"/>
  <c r="K17" i="14" s="1"/>
  <c r="J15" i="14"/>
  <c r="K15" i="14" s="1"/>
  <c r="J13" i="14"/>
  <c r="K13" i="14" s="1"/>
  <c r="J11" i="14"/>
  <c r="K11" i="14" s="1"/>
  <c r="J9" i="14"/>
  <c r="K9" i="14" s="1"/>
  <c r="J7" i="14"/>
  <c r="K7" i="14" s="1"/>
  <c r="E46" i="13"/>
  <c r="J45" i="13"/>
  <c r="K45" i="13" s="1"/>
  <c r="F45" i="13"/>
  <c r="E44" i="13"/>
  <c r="K43" i="13"/>
  <c r="K41" i="13"/>
  <c r="K39" i="13"/>
  <c r="K37" i="13"/>
  <c r="K35" i="13"/>
  <c r="K33" i="13"/>
  <c r="K31" i="13"/>
  <c r="K29" i="13"/>
  <c r="K27" i="13"/>
  <c r="K25" i="13"/>
  <c r="K23" i="13"/>
  <c r="K21" i="13"/>
  <c r="K19" i="13"/>
  <c r="K17" i="13"/>
  <c r="G45" i="12"/>
  <c r="E45" i="12"/>
  <c r="G43" i="12"/>
  <c r="E43" i="12"/>
  <c r="E35" i="12"/>
  <c r="I36" i="7"/>
  <c r="K35" i="7"/>
  <c r="I34" i="7"/>
  <c r="K33" i="7"/>
  <c r="I32" i="7"/>
  <c r="K30" i="7"/>
  <c r="I29" i="7"/>
  <c r="K28" i="7"/>
  <c r="I27" i="7"/>
  <c r="K25" i="7"/>
  <c r="I24" i="7"/>
  <c r="K23" i="7"/>
  <c r="I22" i="7"/>
  <c r="K21" i="7"/>
  <c r="I20" i="7"/>
  <c r="C13" i="7"/>
  <c r="D13" i="7" s="1"/>
  <c r="B106" i="5"/>
  <c r="F90" i="5"/>
  <c r="G90" i="5" s="1"/>
  <c r="C89" i="5"/>
  <c r="H78" i="5"/>
  <c r="H76" i="5"/>
  <c r="I74" i="5"/>
  <c r="J74" i="5" s="1"/>
  <c r="I73" i="5"/>
  <c r="J73" i="5" s="1"/>
  <c r="I71" i="5"/>
  <c r="J71" i="5" s="1"/>
  <c r="H69" i="5"/>
  <c r="I66" i="5"/>
  <c r="J66" i="5" s="1"/>
  <c r="I65" i="5"/>
  <c r="J65" i="5" s="1"/>
  <c r="I64" i="5"/>
  <c r="J64" i="5" s="1"/>
  <c r="I63" i="5"/>
  <c r="J63" i="5" s="1"/>
  <c r="H61" i="5"/>
  <c r="H53" i="5"/>
  <c r="H51" i="5"/>
  <c r="H45" i="5"/>
  <c r="H43" i="5"/>
  <c r="H37" i="5"/>
  <c r="H35" i="5"/>
  <c r="B16" i="5"/>
  <c r="E16" i="5" s="1"/>
  <c r="G5" i="4" l="1"/>
  <c r="D66" i="7"/>
  <c r="G9" i="4"/>
  <c r="L106" i="5"/>
</calcChain>
</file>

<file path=xl/comments1.xml><?xml version="1.0" encoding="utf-8"?>
<comments xmlns="http://schemas.openxmlformats.org/spreadsheetml/2006/main">
  <authors>
    <author>Din</author>
  </authors>
  <commentList>
    <comment ref="E5" authorId="0">
      <text>
        <r>
          <rPr>
            <b/>
            <sz val="9"/>
            <color indexed="81"/>
            <rFont val="Tahoma"/>
            <family val="2"/>
          </rPr>
          <t xml:space="preserve">Din: </t>
        </r>
        <r>
          <rPr>
            <sz val="9"/>
            <color indexed="81"/>
            <rFont val="Tahoma"/>
            <family val="2"/>
          </rPr>
          <t>diisi nip atau nup wali kelas jika tidak ada beri tanda - (strip)</t>
        </r>
      </text>
    </comment>
  </commentList>
</comments>
</file>

<file path=xl/comments2.xml><?xml version="1.0" encoding="utf-8"?>
<comments xmlns="http://schemas.openxmlformats.org/spreadsheetml/2006/main">
  <authors>
    <author>user</author>
  </authors>
  <commentList>
    <comment ref="F8" authorId="0">
      <text>
        <r>
          <rPr>
            <sz val="9"/>
            <color indexed="81"/>
            <rFont val="Tahoma"/>
            <family val="2"/>
          </rPr>
          <t>Diisi nilai dengan angka 10 -100</t>
        </r>
      </text>
    </comment>
    <comment ref="W8" authorId="0">
      <text>
        <r>
          <rPr>
            <sz val="9"/>
            <color indexed="81"/>
            <rFont val="Tahoma"/>
            <family val="2"/>
          </rPr>
          <t xml:space="preserve">Diisi dengan huruf Kapital
</t>
        </r>
      </text>
    </comment>
    <comment ref="X8" authorId="0">
      <text>
        <r>
          <rPr>
            <sz val="9"/>
            <color indexed="81"/>
            <rFont val="Tahoma"/>
            <family val="2"/>
          </rPr>
          <t xml:space="preserve">Diisi dengan huruf Kapital
</t>
        </r>
      </text>
    </comment>
    <comment ref="AC8" authorId="0">
      <text>
        <r>
          <rPr>
            <sz val="8"/>
            <color indexed="81"/>
            <rFont val="Calibri"/>
            <family val="2"/>
          </rPr>
          <t>diisi predikat</t>
        </r>
      </text>
    </comment>
    <comment ref="F9" authorId="0">
      <text>
        <r>
          <rPr>
            <sz val="9"/>
            <color indexed="81"/>
            <rFont val="Tahoma"/>
            <family val="2"/>
          </rPr>
          <t>Diisi nilai dengan angka 10 -100</t>
        </r>
      </text>
    </comment>
    <comment ref="W12" authorId="0">
      <text>
        <r>
          <rPr>
            <sz val="9"/>
            <color indexed="81"/>
            <rFont val="Tahoma"/>
            <family val="2"/>
          </rPr>
          <t xml:space="preserve">Diisi dengan huruf Kapital
</t>
        </r>
      </text>
    </comment>
    <comment ref="X12" authorId="0">
      <text>
        <r>
          <rPr>
            <sz val="9"/>
            <color indexed="81"/>
            <rFont val="Tahoma"/>
            <family val="2"/>
          </rPr>
          <t xml:space="preserve">Diisi dengan huruf Kapital
</t>
        </r>
      </text>
    </comment>
    <comment ref="AC12" authorId="0">
      <text>
        <r>
          <rPr>
            <sz val="8"/>
            <color indexed="81"/>
            <rFont val="Calibri"/>
            <family val="2"/>
          </rPr>
          <t>diisi predikat</t>
        </r>
      </text>
    </comment>
    <comment ref="W16" authorId="0">
      <text>
        <r>
          <rPr>
            <sz val="9"/>
            <color indexed="81"/>
            <rFont val="Tahoma"/>
            <family val="2"/>
          </rPr>
          <t xml:space="preserve">Diisi dengan huruf Kapital
</t>
        </r>
      </text>
    </comment>
    <comment ref="X16" authorId="0">
      <text>
        <r>
          <rPr>
            <sz val="9"/>
            <color indexed="81"/>
            <rFont val="Tahoma"/>
            <family val="2"/>
          </rPr>
          <t xml:space="preserve">Diisi dengan huruf Kapital
</t>
        </r>
      </text>
    </comment>
    <comment ref="AC16" authorId="0">
      <text>
        <r>
          <rPr>
            <sz val="8"/>
            <color indexed="81"/>
            <rFont val="Calibri"/>
            <family val="2"/>
          </rPr>
          <t>diisi predikat</t>
        </r>
      </text>
    </comment>
    <comment ref="W20" authorId="0">
      <text>
        <r>
          <rPr>
            <sz val="9"/>
            <color indexed="81"/>
            <rFont val="Tahoma"/>
            <family val="2"/>
          </rPr>
          <t xml:space="preserve">Diisi dengan huruf Kapital
</t>
        </r>
      </text>
    </comment>
    <comment ref="X20" authorId="0">
      <text>
        <r>
          <rPr>
            <sz val="9"/>
            <color indexed="81"/>
            <rFont val="Tahoma"/>
            <family val="2"/>
          </rPr>
          <t xml:space="preserve">Diisi dengan huruf Kapital
</t>
        </r>
      </text>
    </comment>
    <comment ref="AC20" authorId="0">
      <text>
        <r>
          <rPr>
            <sz val="8"/>
            <color indexed="81"/>
            <rFont val="Calibri"/>
            <family val="2"/>
          </rPr>
          <t>diisi predikat</t>
        </r>
      </text>
    </comment>
    <comment ref="W24" authorId="0">
      <text>
        <r>
          <rPr>
            <sz val="9"/>
            <color indexed="81"/>
            <rFont val="Tahoma"/>
            <family val="2"/>
          </rPr>
          <t xml:space="preserve">Diisi dengan huruf Kapital
</t>
        </r>
      </text>
    </comment>
    <comment ref="X24" authorId="0">
      <text>
        <r>
          <rPr>
            <sz val="9"/>
            <color indexed="81"/>
            <rFont val="Tahoma"/>
            <family val="2"/>
          </rPr>
          <t xml:space="preserve">Diisi dengan huruf Kapital
</t>
        </r>
      </text>
    </comment>
    <comment ref="AC24" authorId="0">
      <text>
        <r>
          <rPr>
            <sz val="8"/>
            <color indexed="81"/>
            <rFont val="Calibri"/>
            <family val="2"/>
          </rPr>
          <t>diisi predikat</t>
        </r>
      </text>
    </comment>
    <comment ref="W28" authorId="0">
      <text>
        <r>
          <rPr>
            <sz val="9"/>
            <color indexed="81"/>
            <rFont val="Tahoma"/>
            <family val="2"/>
          </rPr>
          <t xml:space="preserve">Diisi dengan huruf Kapital
</t>
        </r>
      </text>
    </comment>
    <comment ref="X28" authorId="0">
      <text>
        <r>
          <rPr>
            <sz val="9"/>
            <color indexed="81"/>
            <rFont val="Tahoma"/>
            <family val="2"/>
          </rPr>
          <t xml:space="preserve">Diisi dengan huruf Kapital
</t>
        </r>
      </text>
    </comment>
    <comment ref="AC28" authorId="0">
      <text>
        <r>
          <rPr>
            <sz val="8"/>
            <color indexed="81"/>
            <rFont val="Calibri"/>
            <family val="2"/>
          </rPr>
          <t>diisi predikat</t>
        </r>
      </text>
    </comment>
    <comment ref="W32" authorId="0">
      <text>
        <r>
          <rPr>
            <sz val="9"/>
            <color indexed="81"/>
            <rFont val="Tahoma"/>
            <family val="2"/>
          </rPr>
          <t xml:space="preserve">Diisi dengan huruf Kapital
</t>
        </r>
      </text>
    </comment>
    <comment ref="X32" authorId="0">
      <text>
        <r>
          <rPr>
            <sz val="9"/>
            <color indexed="81"/>
            <rFont val="Tahoma"/>
            <family val="2"/>
          </rPr>
          <t xml:space="preserve">Diisi dengan huruf Kapital
</t>
        </r>
      </text>
    </comment>
    <comment ref="AC32" authorId="0">
      <text>
        <r>
          <rPr>
            <sz val="8"/>
            <color indexed="81"/>
            <rFont val="Calibri"/>
            <family val="2"/>
          </rPr>
          <t>diisi predikat</t>
        </r>
      </text>
    </comment>
    <comment ref="W36" authorId="0">
      <text>
        <r>
          <rPr>
            <sz val="9"/>
            <color indexed="81"/>
            <rFont val="Tahoma"/>
            <family val="2"/>
          </rPr>
          <t xml:space="preserve">Diisi dengan huruf Kapital
</t>
        </r>
      </text>
    </comment>
    <comment ref="X36" authorId="0">
      <text>
        <r>
          <rPr>
            <sz val="9"/>
            <color indexed="81"/>
            <rFont val="Tahoma"/>
            <family val="2"/>
          </rPr>
          <t xml:space="preserve">Diisi dengan huruf Kapital
</t>
        </r>
      </text>
    </comment>
    <comment ref="AC36" authorId="0">
      <text>
        <r>
          <rPr>
            <sz val="8"/>
            <color indexed="81"/>
            <rFont val="Calibri"/>
            <family val="2"/>
          </rPr>
          <t>diisi predikat</t>
        </r>
      </text>
    </comment>
    <comment ref="W40" authorId="0">
      <text>
        <r>
          <rPr>
            <sz val="9"/>
            <color indexed="81"/>
            <rFont val="Tahoma"/>
            <family val="2"/>
          </rPr>
          <t xml:space="preserve">Diisi dengan huruf Kapital
</t>
        </r>
      </text>
    </comment>
    <comment ref="X40" authorId="0">
      <text>
        <r>
          <rPr>
            <sz val="9"/>
            <color indexed="81"/>
            <rFont val="Tahoma"/>
            <family val="2"/>
          </rPr>
          <t xml:space="preserve">Diisi dengan huruf Kapital
</t>
        </r>
      </text>
    </comment>
    <comment ref="AC40" authorId="0">
      <text>
        <r>
          <rPr>
            <sz val="8"/>
            <color indexed="81"/>
            <rFont val="Calibri"/>
            <family val="2"/>
          </rPr>
          <t>diisi predikat</t>
        </r>
      </text>
    </comment>
    <comment ref="W44" authorId="0">
      <text>
        <r>
          <rPr>
            <sz val="9"/>
            <color indexed="81"/>
            <rFont val="Tahoma"/>
            <family val="2"/>
          </rPr>
          <t xml:space="preserve">Diisi dengan huruf Kapital
</t>
        </r>
      </text>
    </comment>
    <comment ref="X44" authorId="0">
      <text>
        <r>
          <rPr>
            <sz val="9"/>
            <color indexed="81"/>
            <rFont val="Tahoma"/>
            <family val="2"/>
          </rPr>
          <t xml:space="preserve">Diisi dengan huruf Kapital
</t>
        </r>
      </text>
    </comment>
    <comment ref="AC44" authorId="0">
      <text>
        <r>
          <rPr>
            <sz val="8"/>
            <color indexed="81"/>
            <rFont val="Calibri"/>
            <family val="2"/>
          </rPr>
          <t>diisi predikat</t>
        </r>
      </text>
    </comment>
    <comment ref="W48" authorId="0">
      <text>
        <r>
          <rPr>
            <sz val="9"/>
            <color indexed="81"/>
            <rFont val="Tahoma"/>
            <family val="2"/>
          </rPr>
          <t xml:space="preserve">Diisi dengan huruf Kapital
</t>
        </r>
      </text>
    </comment>
    <comment ref="X48" authorId="0">
      <text>
        <r>
          <rPr>
            <sz val="9"/>
            <color indexed="81"/>
            <rFont val="Tahoma"/>
            <family val="2"/>
          </rPr>
          <t xml:space="preserve">Diisi dengan huruf Kapital
</t>
        </r>
      </text>
    </comment>
    <comment ref="AC48" authorId="0">
      <text>
        <r>
          <rPr>
            <sz val="8"/>
            <color indexed="81"/>
            <rFont val="Calibri"/>
            <family val="2"/>
          </rPr>
          <t>diisi predikat</t>
        </r>
      </text>
    </comment>
    <comment ref="W52" authorId="0">
      <text>
        <r>
          <rPr>
            <sz val="9"/>
            <color indexed="81"/>
            <rFont val="Tahoma"/>
            <family val="2"/>
          </rPr>
          <t xml:space="preserve">Diisi dengan huruf Kapital
</t>
        </r>
      </text>
    </comment>
    <comment ref="X52" authorId="0">
      <text>
        <r>
          <rPr>
            <sz val="9"/>
            <color indexed="81"/>
            <rFont val="Tahoma"/>
            <family val="2"/>
          </rPr>
          <t xml:space="preserve">Diisi dengan huruf Kapital
</t>
        </r>
      </text>
    </comment>
    <comment ref="AC52" authorId="0">
      <text>
        <r>
          <rPr>
            <sz val="8"/>
            <color indexed="81"/>
            <rFont val="Calibri"/>
            <family val="2"/>
          </rPr>
          <t>diisi predikat</t>
        </r>
      </text>
    </comment>
    <comment ref="W56" authorId="0">
      <text>
        <r>
          <rPr>
            <sz val="9"/>
            <color indexed="81"/>
            <rFont val="Tahoma"/>
            <family val="2"/>
          </rPr>
          <t xml:space="preserve">Diisi dengan huruf Kapital
</t>
        </r>
      </text>
    </comment>
    <comment ref="X56" authorId="0">
      <text>
        <r>
          <rPr>
            <sz val="9"/>
            <color indexed="81"/>
            <rFont val="Tahoma"/>
            <family val="2"/>
          </rPr>
          <t xml:space="preserve">Diisi dengan huruf Kapital
</t>
        </r>
      </text>
    </comment>
    <comment ref="AC56" authorId="0">
      <text>
        <r>
          <rPr>
            <sz val="8"/>
            <color indexed="81"/>
            <rFont val="Calibri"/>
            <family val="2"/>
          </rPr>
          <t>diisi predikat</t>
        </r>
      </text>
    </comment>
    <comment ref="W60" authorId="0">
      <text>
        <r>
          <rPr>
            <sz val="9"/>
            <color indexed="81"/>
            <rFont val="Tahoma"/>
            <family val="2"/>
          </rPr>
          <t xml:space="preserve">Diisi dengan huruf Kapital
</t>
        </r>
      </text>
    </comment>
    <comment ref="X60" authorId="0">
      <text>
        <r>
          <rPr>
            <sz val="9"/>
            <color indexed="81"/>
            <rFont val="Tahoma"/>
            <family val="2"/>
          </rPr>
          <t xml:space="preserve">Diisi dengan huruf Kapital
</t>
        </r>
      </text>
    </comment>
    <comment ref="AC60" authorId="0">
      <text>
        <r>
          <rPr>
            <sz val="8"/>
            <color indexed="81"/>
            <rFont val="Calibri"/>
            <family val="2"/>
          </rPr>
          <t>diisi predikat</t>
        </r>
      </text>
    </comment>
    <comment ref="W64" authorId="0">
      <text>
        <r>
          <rPr>
            <sz val="9"/>
            <color indexed="81"/>
            <rFont val="Tahoma"/>
            <family val="2"/>
          </rPr>
          <t xml:space="preserve">Diisi dengan huruf Kapital
</t>
        </r>
      </text>
    </comment>
    <comment ref="X64" authorId="0">
      <text>
        <r>
          <rPr>
            <sz val="9"/>
            <color indexed="81"/>
            <rFont val="Tahoma"/>
            <family val="2"/>
          </rPr>
          <t xml:space="preserve">Diisi dengan huruf Kapital
</t>
        </r>
      </text>
    </comment>
    <comment ref="AC64" authorId="0">
      <text>
        <r>
          <rPr>
            <sz val="8"/>
            <color indexed="81"/>
            <rFont val="Calibri"/>
            <family val="2"/>
          </rPr>
          <t>diisi predikat</t>
        </r>
      </text>
    </comment>
    <comment ref="W68" authorId="0">
      <text>
        <r>
          <rPr>
            <sz val="9"/>
            <color indexed="81"/>
            <rFont val="Tahoma"/>
            <family val="2"/>
          </rPr>
          <t xml:space="preserve">Diisi dengan huruf Kapital
</t>
        </r>
      </text>
    </comment>
    <comment ref="X68" authorId="0">
      <text>
        <r>
          <rPr>
            <sz val="9"/>
            <color indexed="81"/>
            <rFont val="Tahoma"/>
            <family val="2"/>
          </rPr>
          <t xml:space="preserve">Diisi dengan huruf Kapital
</t>
        </r>
      </text>
    </comment>
    <comment ref="AC68" authorId="0">
      <text>
        <r>
          <rPr>
            <sz val="8"/>
            <color indexed="81"/>
            <rFont val="Calibri"/>
            <family val="2"/>
          </rPr>
          <t>diisi predikat</t>
        </r>
      </text>
    </comment>
    <comment ref="W72" authorId="0">
      <text>
        <r>
          <rPr>
            <sz val="9"/>
            <color indexed="81"/>
            <rFont val="Tahoma"/>
            <family val="2"/>
          </rPr>
          <t xml:space="preserve">Diisi dengan huruf Kapital
</t>
        </r>
      </text>
    </comment>
    <comment ref="X72" authorId="0">
      <text>
        <r>
          <rPr>
            <sz val="9"/>
            <color indexed="81"/>
            <rFont val="Tahoma"/>
            <family val="2"/>
          </rPr>
          <t xml:space="preserve">Diisi dengan huruf Kapital
</t>
        </r>
      </text>
    </comment>
    <comment ref="AC72" authorId="0">
      <text>
        <r>
          <rPr>
            <sz val="8"/>
            <color indexed="81"/>
            <rFont val="Calibri"/>
            <family val="2"/>
          </rPr>
          <t>diisi predikat</t>
        </r>
      </text>
    </comment>
    <comment ref="W76" authorId="0">
      <text>
        <r>
          <rPr>
            <sz val="9"/>
            <color indexed="81"/>
            <rFont val="Tahoma"/>
            <family val="2"/>
          </rPr>
          <t xml:space="preserve">Diisi dengan huruf Kapital
</t>
        </r>
      </text>
    </comment>
    <comment ref="X76" authorId="0">
      <text>
        <r>
          <rPr>
            <sz val="9"/>
            <color indexed="81"/>
            <rFont val="Tahoma"/>
            <family val="2"/>
          </rPr>
          <t xml:space="preserve">Diisi dengan huruf Kapital
</t>
        </r>
      </text>
    </comment>
    <comment ref="AC76" authorId="0">
      <text>
        <r>
          <rPr>
            <sz val="8"/>
            <color indexed="81"/>
            <rFont val="Calibri"/>
            <family val="2"/>
          </rPr>
          <t>diisi predikat</t>
        </r>
      </text>
    </comment>
    <comment ref="W80" authorId="0">
      <text>
        <r>
          <rPr>
            <sz val="9"/>
            <color indexed="81"/>
            <rFont val="Tahoma"/>
            <family val="2"/>
          </rPr>
          <t xml:space="preserve">Diisi dengan huruf Kapital
</t>
        </r>
      </text>
    </comment>
    <comment ref="X80" authorId="0">
      <text>
        <r>
          <rPr>
            <sz val="9"/>
            <color indexed="81"/>
            <rFont val="Tahoma"/>
            <family val="2"/>
          </rPr>
          <t xml:space="preserve">Diisi dengan huruf Kapital
</t>
        </r>
      </text>
    </comment>
    <comment ref="AC80" authorId="0">
      <text>
        <r>
          <rPr>
            <sz val="8"/>
            <color indexed="81"/>
            <rFont val="Calibri"/>
            <family val="2"/>
          </rPr>
          <t>diisi predikat</t>
        </r>
      </text>
    </comment>
    <comment ref="W84" authorId="0">
      <text>
        <r>
          <rPr>
            <sz val="9"/>
            <color indexed="81"/>
            <rFont val="Tahoma"/>
            <family val="2"/>
          </rPr>
          <t xml:space="preserve">Diisi dengan huruf Kapital
</t>
        </r>
      </text>
    </comment>
    <comment ref="X84" authorId="0">
      <text>
        <r>
          <rPr>
            <sz val="9"/>
            <color indexed="81"/>
            <rFont val="Tahoma"/>
            <family val="2"/>
          </rPr>
          <t xml:space="preserve">Diisi dengan huruf Kapital
</t>
        </r>
      </text>
    </comment>
    <comment ref="AC84" authorId="0">
      <text>
        <r>
          <rPr>
            <sz val="8"/>
            <color indexed="81"/>
            <rFont val="Calibri"/>
            <family val="2"/>
          </rPr>
          <t>diisi predikat</t>
        </r>
      </text>
    </comment>
    <comment ref="W88" authorId="0">
      <text>
        <r>
          <rPr>
            <sz val="9"/>
            <color indexed="81"/>
            <rFont val="Tahoma"/>
            <family val="2"/>
          </rPr>
          <t xml:space="preserve">Diisi dengan huruf Kapital
</t>
        </r>
      </text>
    </comment>
    <comment ref="X88" authorId="0">
      <text>
        <r>
          <rPr>
            <sz val="9"/>
            <color indexed="81"/>
            <rFont val="Tahoma"/>
            <family val="2"/>
          </rPr>
          <t xml:space="preserve">Diisi dengan huruf Kapital
</t>
        </r>
      </text>
    </comment>
    <comment ref="AC88" authorId="0">
      <text>
        <r>
          <rPr>
            <sz val="8"/>
            <color indexed="81"/>
            <rFont val="Calibri"/>
            <family val="2"/>
          </rPr>
          <t>diisi predikat</t>
        </r>
      </text>
    </comment>
    <comment ref="W92" authorId="0">
      <text>
        <r>
          <rPr>
            <sz val="9"/>
            <color indexed="81"/>
            <rFont val="Tahoma"/>
            <family val="2"/>
          </rPr>
          <t xml:space="preserve">Diisi dengan huruf Kapital
</t>
        </r>
      </text>
    </comment>
    <comment ref="X92" authorId="0">
      <text>
        <r>
          <rPr>
            <sz val="9"/>
            <color indexed="81"/>
            <rFont val="Tahoma"/>
            <family val="2"/>
          </rPr>
          <t xml:space="preserve">Diisi dengan huruf Kapital
</t>
        </r>
      </text>
    </comment>
    <comment ref="AC92" authorId="0">
      <text>
        <r>
          <rPr>
            <sz val="8"/>
            <color indexed="81"/>
            <rFont val="Calibri"/>
            <family val="2"/>
          </rPr>
          <t>diisi predikat</t>
        </r>
      </text>
    </comment>
    <comment ref="W96" authorId="0">
      <text>
        <r>
          <rPr>
            <sz val="9"/>
            <color indexed="81"/>
            <rFont val="Tahoma"/>
            <family val="2"/>
          </rPr>
          <t xml:space="preserve">Diisi dengan huruf Kapital
</t>
        </r>
      </text>
    </comment>
    <comment ref="X96" authorId="0">
      <text>
        <r>
          <rPr>
            <sz val="9"/>
            <color indexed="81"/>
            <rFont val="Tahoma"/>
            <family val="2"/>
          </rPr>
          <t xml:space="preserve">Diisi dengan huruf Kapital
</t>
        </r>
      </text>
    </comment>
    <comment ref="AC96" authorId="0">
      <text>
        <r>
          <rPr>
            <sz val="8"/>
            <color indexed="81"/>
            <rFont val="Calibri"/>
            <family val="2"/>
          </rPr>
          <t>diisi predikat</t>
        </r>
      </text>
    </comment>
    <comment ref="W100" authorId="0">
      <text>
        <r>
          <rPr>
            <sz val="9"/>
            <color indexed="81"/>
            <rFont val="Tahoma"/>
            <family val="2"/>
          </rPr>
          <t xml:space="preserve">Diisi dengan huruf Kapital
</t>
        </r>
      </text>
    </comment>
    <comment ref="X100" authorId="0">
      <text>
        <r>
          <rPr>
            <sz val="9"/>
            <color indexed="81"/>
            <rFont val="Tahoma"/>
            <family val="2"/>
          </rPr>
          <t xml:space="preserve">Diisi dengan huruf Kapital
</t>
        </r>
      </text>
    </comment>
    <comment ref="AC100" authorId="0">
      <text>
        <r>
          <rPr>
            <sz val="8"/>
            <color indexed="81"/>
            <rFont val="Calibri"/>
            <family val="2"/>
          </rPr>
          <t>diisi predikat</t>
        </r>
      </text>
    </comment>
    <comment ref="W104" authorId="0">
      <text>
        <r>
          <rPr>
            <sz val="9"/>
            <color indexed="81"/>
            <rFont val="Tahoma"/>
            <family val="2"/>
          </rPr>
          <t xml:space="preserve">Diisi dengan huruf Kapital
</t>
        </r>
      </text>
    </comment>
    <comment ref="X104" authorId="0">
      <text>
        <r>
          <rPr>
            <sz val="9"/>
            <color indexed="81"/>
            <rFont val="Tahoma"/>
            <family val="2"/>
          </rPr>
          <t xml:space="preserve">Diisi dengan huruf Kapital
</t>
        </r>
      </text>
    </comment>
    <comment ref="AC104" authorId="0">
      <text>
        <r>
          <rPr>
            <sz val="8"/>
            <color indexed="81"/>
            <rFont val="Calibri"/>
            <family val="2"/>
          </rPr>
          <t>diisi predikat</t>
        </r>
      </text>
    </comment>
    <comment ref="W108" authorId="0">
      <text>
        <r>
          <rPr>
            <sz val="9"/>
            <color indexed="81"/>
            <rFont val="Tahoma"/>
            <family val="2"/>
          </rPr>
          <t xml:space="preserve">Diisi dengan huruf Kapital
</t>
        </r>
      </text>
    </comment>
    <comment ref="X108" authorId="0">
      <text>
        <r>
          <rPr>
            <sz val="9"/>
            <color indexed="81"/>
            <rFont val="Tahoma"/>
            <family val="2"/>
          </rPr>
          <t xml:space="preserve">Diisi dengan huruf Kapital
</t>
        </r>
      </text>
    </comment>
    <comment ref="AC108" authorId="0">
      <text>
        <r>
          <rPr>
            <sz val="8"/>
            <color indexed="81"/>
            <rFont val="Calibri"/>
            <family val="2"/>
          </rPr>
          <t>diisi predikat</t>
        </r>
      </text>
    </comment>
    <comment ref="W112" authorId="0">
      <text>
        <r>
          <rPr>
            <sz val="9"/>
            <color indexed="81"/>
            <rFont val="Tahoma"/>
            <family val="2"/>
          </rPr>
          <t xml:space="preserve">Diisi dengan huruf Kapital
</t>
        </r>
      </text>
    </comment>
    <comment ref="X112" authorId="0">
      <text>
        <r>
          <rPr>
            <sz val="9"/>
            <color indexed="81"/>
            <rFont val="Tahoma"/>
            <family val="2"/>
          </rPr>
          <t xml:space="preserve">Diisi dengan huruf Kapital
</t>
        </r>
      </text>
    </comment>
    <comment ref="AC112" authorId="0">
      <text>
        <r>
          <rPr>
            <sz val="8"/>
            <color indexed="81"/>
            <rFont val="Calibri"/>
            <family val="2"/>
          </rPr>
          <t>diisi predikat</t>
        </r>
      </text>
    </comment>
    <comment ref="W116" authorId="0">
      <text>
        <r>
          <rPr>
            <sz val="9"/>
            <color indexed="81"/>
            <rFont val="Tahoma"/>
            <family val="2"/>
          </rPr>
          <t xml:space="preserve">Diisi dengan huruf Kapital
</t>
        </r>
      </text>
    </comment>
    <comment ref="X116" authorId="0">
      <text>
        <r>
          <rPr>
            <sz val="9"/>
            <color indexed="81"/>
            <rFont val="Tahoma"/>
            <family val="2"/>
          </rPr>
          <t xml:space="preserve">Diisi dengan huruf Kapital
</t>
        </r>
      </text>
    </comment>
    <comment ref="AC116" authorId="0">
      <text>
        <r>
          <rPr>
            <sz val="8"/>
            <color indexed="81"/>
            <rFont val="Calibri"/>
            <family val="2"/>
          </rPr>
          <t>diisi predikat</t>
        </r>
      </text>
    </comment>
    <comment ref="W120" authorId="0">
      <text>
        <r>
          <rPr>
            <sz val="9"/>
            <color indexed="81"/>
            <rFont val="Tahoma"/>
            <family val="2"/>
          </rPr>
          <t xml:space="preserve">Diisi dengan huruf Kapital
</t>
        </r>
      </text>
    </comment>
    <comment ref="X120" authorId="0">
      <text>
        <r>
          <rPr>
            <sz val="9"/>
            <color indexed="81"/>
            <rFont val="Tahoma"/>
            <family val="2"/>
          </rPr>
          <t xml:space="preserve">Diisi dengan huruf Kapital
</t>
        </r>
      </text>
    </comment>
    <comment ref="AC120" authorId="0">
      <text>
        <r>
          <rPr>
            <sz val="8"/>
            <color indexed="81"/>
            <rFont val="Calibri"/>
            <family val="2"/>
          </rPr>
          <t>diisi predikat</t>
        </r>
      </text>
    </comment>
    <comment ref="W124" authorId="0">
      <text>
        <r>
          <rPr>
            <sz val="9"/>
            <color indexed="81"/>
            <rFont val="Tahoma"/>
            <family val="2"/>
          </rPr>
          <t xml:space="preserve">Diisi dengan huruf Kapital
</t>
        </r>
      </text>
    </comment>
    <comment ref="X124" authorId="0">
      <text>
        <r>
          <rPr>
            <sz val="9"/>
            <color indexed="81"/>
            <rFont val="Tahoma"/>
            <family val="2"/>
          </rPr>
          <t xml:space="preserve">Diisi dengan huruf Kapital
</t>
        </r>
      </text>
    </comment>
    <comment ref="AC124" authorId="0">
      <text>
        <r>
          <rPr>
            <sz val="8"/>
            <color indexed="81"/>
            <rFont val="Calibri"/>
            <family val="2"/>
          </rPr>
          <t>diisi predikat</t>
        </r>
      </text>
    </comment>
    <comment ref="W128" authorId="0">
      <text>
        <r>
          <rPr>
            <sz val="9"/>
            <color indexed="81"/>
            <rFont val="Tahoma"/>
            <family val="2"/>
          </rPr>
          <t xml:space="preserve">Diisi dengan huruf Kapital
</t>
        </r>
      </text>
    </comment>
    <comment ref="X128" authorId="0">
      <text>
        <r>
          <rPr>
            <sz val="9"/>
            <color indexed="81"/>
            <rFont val="Tahoma"/>
            <family val="2"/>
          </rPr>
          <t xml:space="preserve">Diisi dengan huruf Kapital
</t>
        </r>
      </text>
    </comment>
    <comment ref="AC128" authorId="0">
      <text>
        <r>
          <rPr>
            <sz val="8"/>
            <color indexed="81"/>
            <rFont val="Calibri"/>
            <family val="2"/>
          </rPr>
          <t>diisi predikat</t>
        </r>
      </text>
    </comment>
    <comment ref="W132" authorId="0">
      <text>
        <r>
          <rPr>
            <sz val="9"/>
            <color indexed="81"/>
            <rFont val="Tahoma"/>
            <family val="2"/>
          </rPr>
          <t xml:space="preserve">Diisi dengan huruf Kapital
</t>
        </r>
      </text>
    </comment>
    <comment ref="X132" authorId="0">
      <text>
        <r>
          <rPr>
            <sz val="9"/>
            <color indexed="81"/>
            <rFont val="Tahoma"/>
            <family val="2"/>
          </rPr>
          <t xml:space="preserve">Diisi dengan huruf Kapital
</t>
        </r>
      </text>
    </comment>
    <comment ref="AC132" authorId="0">
      <text>
        <r>
          <rPr>
            <sz val="8"/>
            <color indexed="81"/>
            <rFont val="Calibri"/>
            <family val="2"/>
          </rPr>
          <t>diisi predikat</t>
        </r>
      </text>
    </comment>
    <comment ref="W136" authorId="0">
      <text>
        <r>
          <rPr>
            <sz val="9"/>
            <color indexed="81"/>
            <rFont val="Tahoma"/>
            <family val="2"/>
          </rPr>
          <t xml:space="preserve">Diisi dengan huruf Kapital
</t>
        </r>
      </text>
    </comment>
    <comment ref="X136" authorId="0">
      <text>
        <r>
          <rPr>
            <sz val="9"/>
            <color indexed="81"/>
            <rFont val="Tahoma"/>
            <family val="2"/>
          </rPr>
          <t xml:space="preserve">Diisi dengan huruf Kapital
</t>
        </r>
      </text>
    </comment>
    <comment ref="AC136" authorId="0">
      <text>
        <r>
          <rPr>
            <sz val="8"/>
            <color indexed="81"/>
            <rFont val="Calibri"/>
            <family val="2"/>
          </rPr>
          <t>diisi predikat</t>
        </r>
      </text>
    </comment>
    <comment ref="W140" authorId="0">
      <text>
        <r>
          <rPr>
            <sz val="9"/>
            <color indexed="81"/>
            <rFont val="Tahoma"/>
            <family val="2"/>
          </rPr>
          <t xml:space="preserve">Diisi dengan huruf Kapital
</t>
        </r>
      </text>
    </comment>
    <comment ref="X140" authorId="0">
      <text>
        <r>
          <rPr>
            <sz val="9"/>
            <color indexed="81"/>
            <rFont val="Tahoma"/>
            <family val="2"/>
          </rPr>
          <t xml:space="preserve">Diisi dengan huruf Kapital
</t>
        </r>
      </text>
    </comment>
    <comment ref="AC140" authorId="0">
      <text>
        <r>
          <rPr>
            <sz val="8"/>
            <color indexed="81"/>
            <rFont val="Calibri"/>
            <family val="2"/>
          </rPr>
          <t>diisi predikat</t>
        </r>
      </text>
    </comment>
    <comment ref="W144" authorId="0">
      <text>
        <r>
          <rPr>
            <sz val="9"/>
            <color indexed="81"/>
            <rFont val="Tahoma"/>
            <family val="2"/>
          </rPr>
          <t xml:space="preserve">Diisi dengan huruf Kapital
</t>
        </r>
      </text>
    </comment>
    <comment ref="X144" authorId="0">
      <text>
        <r>
          <rPr>
            <sz val="9"/>
            <color indexed="81"/>
            <rFont val="Tahoma"/>
            <family val="2"/>
          </rPr>
          <t xml:space="preserve">Diisi dengan huruf Kapital
</t>
        </r>
      </text>
    </comment>
    <comment ref="AC144" authorId="0">
      <text>
        <r>
          <rPr>
            <sz val="8"/>
            <color indexed="81"/>
            <rFont val="Calibri"/>
            <family val="2"/>
          </rPr>
          <t>diisi predikat</t>
        </r>
      </text>
    </comment>
    <comment ref="W148" authorId="0">
      <text>
        <r>
          <rPr>
            <sz val="9"/>
            <color indexed="81"/>
            <rFont val="Tahoma"/>
            <family val="2"/>
          </rPr>
          <t xml:space="preserve">Diisi dengan huruf Kapital
</t>
        </r>
      </text>
    </comment>
    <comment ref="X148" authorId="0">
      <text>
        <r>
          <rPr>
            <sz val="9"/>
            <color indexed="81"/>
            <rFont val="Tahoma"/>
            <family val="2"/>
          </rPr>
          <t xml:space="preserve">Diisi dengan huruf Kapital
</t>
        </r>
      </text>
    </comment>
    <comment ref="AC148" authorId="0">
      <text>
        <r>
          <rPr>
            <sz val="8"/>
            <color indexed="81"/>
            <rFont val="Calibri"/>
            <family val="2"/>
          </rPr>
          <t>diisi predikat</t>
        </r>
      </text>
    </comment>
    <comment ref="W152" authorId="0">
      <text>
        <r>
          <rPr>
            <sz val="9"/>
            <color indexed="81"/>
            <rFont val="Tahoma"/>
            <family val="2"/>
          </rPr>
          <t xml:space="preserve">Diisi dengan huruf Kapital
</t>
        </r>
      </text>
    </comment>
    <comment ref="X152" authorId="0">
      <text>
        <r>
          <rPr>
            <sz val="9"/>
            <color indexed="81"/>
            <rFont val="Tahoma"/>
            <family val="2"/>
          </rPr>
          <t xml:space="preserve">Diisi dengan huruf Kapital
</t>
        </r>
      </text>
    </comment>
    <comment ref="AC152" authorId="0">
      <text>
        <r>
          <rPr>
            <sz val="8"/>
            <color indexed="81"/>
            <rFont val="Calibri"/>
            <family val="2"/>
          </rPr>
          <t>diisi predikat</t>
        </r>
      </text>
    </comment>
    <comment ref="W156" authorId="0">
      <text>
        <r>
          <rPr>
            <sz val="9"/>
            <color indexed="81"/>
            <rFont val="Tahoma"/>
            <family val="2"/>
          </rPr>
          <t xml:space="preserve">Diisi dengan huruf Kapital
</t>
        </r>
      </text>
    </comment>
    <comment ref="X156" authorId="0">
      <text>
        <r>
          <rPr>
            <sz val="9"/>
            <color indexed="81"/>
            <rFont val="Tahoma"/>
            <family val="2"/>
          </rPr>
          <t xml:space="preserve">Diisi dengan huruf Kapital
</t>
        </r>
      </text>
    </comment>
    <comment ref="AC156" authorId="0">
      <text>
        <r>
          <rPr>
            <sz val="8"/>
            <color indexed="81"/>
            <rFont val="Calibri"/>
            <family val="2"/>
          </rPr>
          <t>diisi predikat</t>
        </r>
      </text>
    </comment>
    <comment ref="W160" authorId="0">
      <text>
        <r>
          <rPr>
            <sz val="9"/>
            <color indexed="81"/>
            <rFont val="Tahoma"/>
            <family val="2"/>
          </rPr>
          <t xml:space="preserve">Diisi dengan huruf Kapital
</t>
        </r>
      </text>
    </comment>
    <comment ref="X160" authorId="0">
      <text>
        <r>
          <rPr>
            <sz val="9"/>
            <color indexed="81"/>
            <rFont val="Tahoma"/>
            <family val="2"/>
          </rPr>
          <t xml:space="preserve">Diisi dengan huruf Kapital
</t>
        </r>
      </text>
    </comment>
    <comment ref="AC160" authorId="0">
      <text>
        <r>
          <rPr>
            <sz val="8"/>
            <color indexed="81"/>
            <rFont val="Calibri"/>
            <family val="2"/>
          </rPr>
          <t>diisi predikat</t>
        </r>
      </text>
    </comment>
    <comment ref="W164" authorId="0">
      <text>
        <r>
          <rPr>
            <sz val="9"/>
            <color indexed="81"/>
            <rFont val="Tahoma"/>
            <family val="2"/>
          </rPr>
          <t xml:space="preserve">Diisi dengan huruf Kapital
</t>
        </r>
      </text>
    </comment>
    <comment ref="X164" authorId="0">
      <text>
        <r>
          <rPr>
            <sz val="9"/>
            <color indexed="81"/>
            <rFont val="Tahoma"/>
            <family val="2"/>
          </rPr>
          <t xml:space="preserve">Diisi dengan huruf Kapital
</t>
        </r>
      </text>
    </comment>
    <comment ref="AC164" authorId="0">
      <text>
        <r>
          <rPr>
            <sz val="8"/>
            <color indexed="81"/>
            <rFont val="Calibri"/>
            <family val="2"/>
          </rPr>
          <t>diisi predikat</t>
        </r>
      </text>
    </comment>
  </commentList>
</comments>
</file>

<file path=xl/comments3.xml><?xml version="1.0" encoding="utf-8"?>
<comments xmlns="http://schemas.openxmlformats.org/spreadsheetml/2006/main">
  <authors>
    <author>user</author>
  </authors>
  <commentList>
    <comment ref="D31" authorId="0">
      <text>
        <r>
          <rPr>
            <b/>
            <sz val="9"/>
            <color indexed="81"/>
            <rFont val="Tahoma"/>
            <family val="2"/>
          </rPr>
          <t>Diisi manual</t>
        </r>
        <r>
          <rPr>
            <sz val="9"/>
            <color indexed="81"/>
            <rFont val="Tahoma"/>
            <family val="2"/>
          </rPr>
          <t xml:space="preserve">
</t>
        </r>
      </text>
    </comment>
  </commentList>
</comments>
</file>

<file path=xl/sharedStrings.xml><?xml version="1.0" encoding="utf-8"?>
<sst xmlns="http://schemas.openxmlformats.org/spreadsheetml/2006/main" count="4147" uniqueCount="438">
  <si>
    <t>Sakit</t>
  </si>
  <si>
    <t>Kepala Sekolah,</t>
  </si>
  <si>
    <t>Wali Kelas,</t>
  </si>
  <si>
    <t>:</t>
  </si>
  <si>
    <t>Predikat</t>
  </si>
  <si>
    <t>Matematika</t>
  </si>
  <si>
    <t>B</t>
  </si>
  <si>
    <t>A</t>
  </si>
  <si>
    <t>Pengetahuan</t>
  </si>
  <si>
    <t>NO.</t>
  </si>
  <si>
    <t>NIS</t>
  </si>
  <si>
    <t>Bahasa Inggris</t>
  </si>
  <si>
    <t>Seni Budaya</t>
  </si>
  <si>
    <t>Semester</t>
  </si>
  <si>
    <t>Nama Peserta Didik</t>
  </si>
  <si>
    <t>Pendidikan Agama dan Budi Pekerti</t>
  </si>
  <si>
    <t>Prakarya dan Kewirausahaan</t>
  </si>
  <si>
    <t>Izin</t>
  </si>
  <si>
    <t>C</t>
  </si>
  <si>
    <t>D</t>
  </si>
  <si>
    <t>Pendidikan Pancasila dan Kewarganegaraan</t>
  </si>
  <si>
    <t>Bahasa Indonesia</t>
  </si>
  <si>
    <t>Score Nilai</t>
  </si>
  <si>
    <t>Predik</t>
  </si>
  <si>
    <t>Nilai Kompetensi</t>
  </si>
  <si>
    <t>Keterampilan</t>
  </si>
  <si>
    <t>D+</t>
  </si>
  <si>
    <t>C-</t>
  </si>
  <si>
    <t>C+</t>
  </si>
  <si>
    <t>B-</t>
  </si>
  <si>
    <t>B+</t>
  </si>
  <si>
    <t>A-</t>
  </si>
  <si>
    <t>DON'T TOUCH &amp; DELETE</t>
  </si>
  <si>
    <t>by Fathur Rachim</t>
  </si>
  <si>
    <t>fr.rachim@gmail.com</t>
  </si>
  <si>
    <t>BIODATA SISWA</t>
  </si>
  <si>
    <t>-</t>
  </si>
  <si>
    <t>Dra. Hj. Happy Mariana, M.Si</t>
  </si>
  <si>
    <t>SMA PASUNDAN BANJARAN</t>
  </si>
  <si>
    <t>Mengetahui;</t>
  </si>
  <si>
    <t>LAPORAN HASIL BELAJAR PESERTA DIDIK</t>
  </si>
  <si>
    <t>NAMA PESERTA DIDIK</t>
  </si>
  <si>
    <t>Semester :</t>
  </si>
  <si>
    <t>Tahun Pelajaran :</t>
  </si>
  <si>
    <t>Sekolah :</t>
  </si>
  <si>
    <t>Semester  :</t>
  </si>
  <si>
    <t>Orang Tua / Wali,</t>
  </si>
  <si>
    <t>Tahun Pelajaran</t>
  </si>
  <si>
    <t>Pendidikan Jasmani, Olah Raga dan Kesehatan</t>
  </si>
  <si>
    <t>Bahasa Sunda</t>
  </si>
  <si>
    <t>Kelas / Peminatan :</t>
  </si>
  <si>
    <t>Baca Tulis Qur'an</t>
  </si>
  <si>
    <t>Leggerx1</t>
  </si>
  <si>
    <t>Alpa</t>
  </si>
  <si>
    <t>KODE</t>
  </si>
  <si>
    <t>JANGAN DIRUBAH</t>
  </si>
  <si>
    <t>NAMA WALI KELAS:</t>
  </si>
  <si>
    <t>RATAAN AKHIR</t>
  </si>
  <si>
    <t>RATAAN ( P &amp; K )</t>
  </si>
  <si>
    <t>Kelas</t>
  </si>
  <si>
    <t>NISN</t>
  </si>
  <si>
    <t>CAPAIAN HASIL BELAJAR</t>
  </si>
  <si>
    <t>1. Sikap Spiritual</t>
  </si>
  <si>
    <t>2. Sikap Sosial</t>
  </si>
  <si>
    <t>Deskripsi</t>
  </si>
  <si>
    <t>Nilai</t>
  </si>
  <si>
    <t>Umum A</t>
  </si>
  <si>
    <t>Umum B</t>
  </si>
  <si>
    <t>Peminatan</t>
  </si>
  <si>
    <t>Ciri K</t>
  </si>
  <si>
    <t>Lintas Minat</t>
  </si>
  <si>
    <t>PREDIKAT</t>
  </si>
  <si>
    <t>URUTAN / RANK</t>
  </si>
  <si>
    <t>Sikap SOSIAL</t>
  </si>
  <si>
    <t>Sikap SPIRITUAL</t>
  </si>
  <si>
    <t>PENGETAHUAN</t>
  </si>
  <si>
    <t>NIP/NUP/NUPTK:</t>
  </si>
  <si>
    <t>NO. URT</t>
  </si>
  <si>
    <t>TEMPAT, TGL LAHIR</t>
  </si>
  <si>
    <t>Jenis Kelamin</t>
  </si>
  <si>
    <t>AGAMA</t>
  </si>
  <si>
    <t>STATUS DI KELUARGA</t>
  </si>
  <si>
    <t>ANAK KE-</t>
  </si>
  <si>
    <t>ALAMAT PESERTA DIDIK</t>
  </si>
  <si>
    <t>NO TLP RUMAH</t>
  </si>
  <si>
    <t>ASAL SEKOLAH</t>
  </si>
  <si>
    <t>DITERIMA</t>
  </si>
  <si>
    <t>DATA ORANG TUA PESERTA DIDIK</t>
  </si>
  <si>
    <t>PEKERJAAN ORANGTUA</t>
  </si>
  <si>
    <t>WALI PESERTA DIDIK</t>
  </si>
  <si>
    <t>PADA TGL</t>
  </si>
  <si>
    <t>NM AYAH</t>
  </si>
  <si>
    <t>NM IBU</t>
  </si>
  <si>
    <t>ALAMAT</t>
  </si>
  <si>
    <t>NO. TLP/HP</t>
  </si>
  <si>
    <t>AYAH</t>
  </si>
  <si>
    <t>IBU</t>
  </si>
  <si>
    <t>NM WALI</t>
  </si>
  <si>
    <t>PEKERJAAN</t>
  </si>
  <si>
    <t>Laki-laki</t>
  </si>
  <si>
    <t xml:space="preserve">Banjaran </t>
  </si>
  <si>
    <t>022</t>
  </si>
  <si>
    <t>081</t>
  </si>
  <si>
    <t>PNS</t>
  </si>
  <si>
    <t>085</t>
  </si>
  <si>
    <t>1.</t>
  </si>
  <si>
    <t>Nama Lengkap Peserta Didik</t>
  </si>
  <si>
    <t>2.</t>
  </si>
  <si>
    <t>a. N I S</t>
  </si>
  <si>
    <t>b. N I S N</t>
  </si>
  <si>
    <t>3.</t>
  </si>
  <si>
    <t>Tempat, Tanggal Lahir</t>
  </si>
  <si>
    <t>4.</t>
  </si>
  <si>
    <t>5.</t>
  </si>
  <si>
    <t>Agama</t>
  </si>
  <si>
    <t>6.</t>
  </si>
  <si>
    <t>Status dalam Keluarga</t>
  </si>
  <si>
    <t>7.</t>
  </si>
  <si>
    <t>Anak ke-</t>
  </si>
  <si>
    <t>8.</t>
  </si>
  <si>
    <t>Alamat Peserta Didik</t>
  </si>
  <si>
    <t>9.</t>
  </si>
  <si>
    <t>Nomor Telepon Rumah</t>
  </si>
  <si>
    <t>10.</t>
  </si>
  <si>
    <t>Sekolah Asal (SLTP)</t>
  </si>
  <si>
    <t>11.</t>
  </si>
  <si>
    <t>Diterima di sekolah ini;</t>
  </si>
  <si>
    <t>a. Di Kelas</t>
  </si>
  <si>
    <t>12.</t>
  </si>
  <si>
    <t>Orang tua;</t>
  </si>
  <si>
    <t>a. Nama Ayah</t>
  </si>
  <si>
    <t>b. Nama Ibu</t>
  </si>
  <si>
    <t>c. Alamat</t>
  </si>
  <si>
    <t>d. Nomor Telepon/HP</t>
  </si>
  <si>
    <t>13.</t>
  </si>
  <si>
    <t>Pekerjaan Orang tua;</t>
  </si>
  <si>
    <t>a. Ayah</t>
  </si>
  <si>
    <t>b. Ibu</t>
  </si>
  <si>
    <t>14.</t>
  </si>
  <si>
    <t>Wali Peserta Didik;</t>
  </si>
  <si>
    <t>a. Nama Wali</t>
  </si>
  <si>
    <t>b. Nomor Telepon/HP</t>
  </si>
  <si>
    <t>d. Pekerjaan</t>
  </si>
  <si>
    <t>Dra. Hj Happy Mariana, M.Si</t>
  </si>
  <si>
    <t>NIP. 19580515 198603 2 008</t>
  </si>
  <si>
    <t>Nama Kegiatan</t>
  </si>
  <si>
    <t>Jenis Kegiatan</t>
  </si>
  <si>
    <t>KETERAMPILAN</t>
  </si>
  <si>
    <t>MAPEL</t>
  </si>
  <si>
    <t>Rapor merupakan ringkasan hasil penilaian terhadap seluruh aktivitas pembelajaran yang dilakukan peserta didik dalam satu semester. Rapor dipergunakan selama peserta didik mengikuti seluruh program pembelajaran di Sekolah Menengah Atas yang bersangkutan. Berikut ini petunjuk untuk mengisi rapor:</t>
  </si>
  <si>
    <t>PETUNJUK UMUM PENGISIAN RAPOR</t>
  </si>
  <si>
    <t>Pred_P</t>
  </si>
  <si>
    <t>Pred_K</t>
  </si>
  <si>
    <t>Spiritual</t>
  </si>
  <si>
    <t>Sosial</t>
  </si>
  <si>
    <t>DESKRIPSI ( DI TIK ULANG SESUAI DARI GURU MAPEL MASING2 )</t>
  </si>
  <si>
    <t>DESKRIPSI WALI KELAS (Boleh diganti / disesuaikan)</t>
  </si>
  <si>
    <t>...............................................</t>
  </si>
  <si>
    <t>DESKRIPSI EKSTRAKURIKULER</t>
  </si>
  <si>
    <t>Absensi</t>
  </si>
  <si>
    <t>Ekstrakurikuler</t>
  </si>
  <si>
    <t>Indeks Nilai</t>
  </si>
  <si>
    <t>Sejarah Indonesia</t>
  </si>
  <si>
    <t>DATA PRESTASI - CATATAN WALI KELAS</t>
  </si>
  <si>
    <t>Juara I Tingkat Propinsi</t>
  </si>
  <si>
    <t>PRESTASI</t>
  </si>
  <si>
    <t>Keterangan</t>
  </si>
  <si>
    <t>Catatan Wali Kelas</t>
  </si>
  <si>
    <t>Pencak Silat</t>
  </si>
  <si>
    <t>Selalu bersyukur dan selalu berdoa sebelum melakukan kegiatan, memiliki toleran pada agama yang berbeda, serta memiliki ketaatan beribadah.</t>
  </si>
  <si>
    <t>Selalu bersyukur dan selalu berdoa sebelum melakukan kegiatan, memiliki toleran pada agama yang berbeda, ketaatan beribadah mulai berkembang.</t>
  </si>
  <si>
    <t>Selalu bersyukur dan selalu berdoa sebelum melakukan kegiatan, memiliki toleran pada agama yang berbeda, ketaatan beribadah perlu ditingkatkan.</t>
  </si>
  <si>
    <t>Memiliki sikap santun, disiplin, tanggung jawab, dan kepedulian yang sangat baik.</t>
  </si>
  <si>
    <t>Memiliki sikap santun, disiplin, tanggung jawab yang baik, sikap kepedulian mulai meningkat.</t>
  </si>
  <si>
    <t>Memiliki sikap santun, disiplin, dan tanggung jawab yang baik, sikap kepedulian perlu ditingkatkan.</t>
  </si>
  <si>
    <t xml:space="preserve">  Sakit</t>
  </si>
  <si>
    <t xml:space="preserve">  Izin</t>
  </si>
  <si>
    <t xml:space="preserve">  Tanpa Keterangan</t>
  </si>
  <si>
    <t>hari</t>
  </si>
  <si>
    <t>--</t>
  </si>
  <si>
    <t>Pend. Kepramukaan</t>
  </si>
  <si>
    <t>Selalu bersyukur dan selalu berdoa sebelum melakukan kegiatan, memiliki toleran pada agama yang berbeda, namun ketaatan beribadah perlu ditingkatkan lagi.</t>
  </si>
  <si>
    <t>Memiliki sikap santun, disiplin, dan tanggung jawab cukup baik, namun sikap kepedulian perlu ditingkatkan.</t>
  </si>
  <si>
    <t>Predikat P_K</t>
  </si>
  <si>
    <t>Mata Pelajaran</t>
  </si>
  <si>
    <t>Kegiatan Ekstrakurikuler</t>
  </si>
  <si>
    <t>Nama Sekolah</t>
  </si>
  <si>
    <t>Alamat</t>
  </si>
  <si>
    <t>SMA Pasundan Banjaran</t>
  </si>
  <si>
    <t>Jl. Stasiun Timur No. 63 Banjaran</t>
  </si>
  <si>
    <t>Nomor Induk / NISN</t>
  </si>
  <si>
    <t>1 / Ganjil</t>
  </si>
  <si>
    <t>No.</t>
  </si>
  <si>
    <t>KETERANGAN PINDAH SEKOLAH</t>
  </si>
  <si>
    <t>Nomor Induk</t>
  </si>
  <si>
    <t>K e l u a r</t>
  </si>
  <si>
    <t>Tanggal</t>
  </si>
  <si>
    <t>Kelas yang Ditinggalkan</t>
  </si>
  <si>
    <t>Sebab - sebab Keluar atau Atas Permintaan (Tertulis)</t>
  </si>
  <si>
    <t>Tanda tangan Kepala Sekolah, Stempel Sekolah dan Tanda Tangan Orang Tua / Wali</t>
  </si>
  <si>
    <t>.......................,...........</t>
  </si>
  <si>
    <t>...............................</t>
  </si>
  <si>
    <t>NIP</t>
  </si>
  <si>
    <t>Orang Tua/ Wali</t>
  </si>
  <si>
    <t>................................</t>
  </si>
  <si>
    <t>M a s u k</t>
  </si>
  <si>
    <t>Nama Peserta didik</t>
  </si>
  <si>
    <t>.................,...........</t>
  </si>
  <si>
    <t>Kepala Sekolah</t>
  </si>
  <si>
    <t>a. Tanggal</t>
  </si>
  <si>
    <t>..................................</t>
  </si>
  <si>
    <t>b. Di Kelas</t>
  </si>
  <si>
    <t>NIP.</t>
  </si>
  <si>
    <t>c. Tanggal</t>
  </si>
  <si>
    <t>d. Di Kelas</t>
  </si>
  <si>
    <t>e. Tanggal</t>
  </si>
  <si>
    <t>f. Di Kelas</t>
  </si>
  <si>
    <t>Keterangan :</t>
  </si>
  <si>
    <t>NISN = Nomor Induk Siswa Nasional</t>
  </si>
  <si>
    <t>NIS    = Nomor Induk Siswa</t>
  </si>
  <si>
    <t>IDENTITAS PESERTA DIDIK</t>
  </si>
  <si>
    <t>Nama Peserta didik :</t>
  </si>
  <si>
    <t>Nomor Induk Peserta didik:</t>
  </si>
  <si>
    <t>Nomor Induk Peserta didik Nasional:</t>
  </si>
  <si>
    <t>Anak Kandung</t>
  </si>
  <si>
    <t>Islam</t>
  </si>
  <si>
    <t>SMP N X Banjaran</t>
  </si>
  <si>
    <t>X</t>
  </si>
  <si>
    <t>OON</t>
  </si>
  <si>
    <t>IIN</t>
  </si>
  <si>
    <t>Banjarnegra</t>
  </si>
  <si>
    <t>IRT</t>
  </si>
  <si>
    <t>UUN</t>
  </si>
  <si>
    <t>Babakan Pasundan</t>
  </si>
  <si>
    <t>Dagang</t>
  </si>
  <si>
    <t>Banjarnegara, 8 Mei 1999</t>
  </si>
  <si>
    <t>b. Pada tanggal</t>
  </si>
  <si>
    <r>
      <t>Memasukan data prestasi, catatan wali kelas untuk peserta didik pada Sheet</t>
    </r>
    <r>
      <rPr>
        <b/>
        <sz val="11"/>
        <rFont val="Times New Roman"/>
      </rPr>
      <t xml:space="preserve"> CatatPrestasi</t>
    </r>
  </si>
  <si>
    <t>Rapor sudak link dengan Biodata, Leger, dan CatatPrestasi</t>
  </si>
  <si>
    <t>Identitas Sekolah diisi dengan data yang sesuai dengan keberadaan Sekolah Menengah Atas.</t>
  </si>
  <si>
    <t>Keterangan tentang diri Peserta didik diisi lengkap.</t>
  </si>
  <si>
    <t>Rapor harus dilengkapi dengan pas foto berwarna (3 x 4).</t>
  </si>
  <si>
    <t>Deskripsi sikap spiritual dan sikap sosial ditulis menggunakan kalimat positif yang memotivasi untuk butir-butir nilai sikap yang sangat baik dan/atau kurang baik.</t>
  </si>
  <si>
    <t>Kolom KKM diisi dengan KKM mata pelajaran untuk pengetahuan dan keterampilan.</t>
  </si>
  <si>
    <t>Kolom predikat pada pengetahuan dan keterampilan diisi berdasarkan interval predikat (D – A).</t>
  </si>
  <si>
    <t>Kolom deskripsi pada pengetahuan dan keterampilan ditulis dengan singkat menggunakan kalimat positif untuk capaian tertinggi dan kalimat yang memotivasi untuk capaian terendah.</t>
  </si>
  <si>
    <t>Kolom nilai pada ekstrakurikuler diisi dengan sangat baik, baik, cukup, kurang, yang kriterianya ditetapkan oleh satuan pendidikan. Kolom deskripsi diisi dengan penjelasan sikap dan kecakapan yang dicapai.</t>
  </si>
  <si>
    <t>Kolom jenis kegiatan diisi dengan kegiatan yang diikuti oleh peserta didik dalam bidang akademik dan non akademik pada kegiatan yang berkaitan dengan satuan pendidikan pada semester berjalan. Contoh: Olimpiade Biologi, Paduan Suara, Paskibra.</t>
  </si>
  <si>
    <t>Kolom keterangan pada prestasi diisi dengan tingkat wilayah. Contoh: Juara II Tingkat Kabupaten Subang, Juara I Tingkat Provinsi Jawa Barat, Anggota Pasukan Pengibar Bendera tingkat Nasional.</t>
  </si>
  <si>
    <t>Ketidakhadiran diisi dengan data akumulasi ketidakhadiran peserta didik karena sakit, izin, atau tanpa keterangan selama satu semester.</t>
  </si>
  <si>
    <t>Catatan wali kelas diisi dengan saran-saran bagi peserta didik dan orang tua untuk diperhatikan.</t>
  </si>
  <si>
    <t>Tanggapan orang tua/wali adalah komentar atas pencapaian hasil belajar peserta didik.</t>
  </si>
  <si>
    <r>
      <t>Memasukan /</t>
    </r>
    <r>
      <rPr>
        <b/>
        <sz val="11"/>
        <rFont val="Times New Roman"/>
      </rPr>
      <t xml:space="preserve"> entri</t>
    </r>
    <r>
      <rPr>
        <sz val="11"/>
        <rFont val="Times New Roman"/>
      </rPr>
      <t xml:space="preserve"> / memperbaiki data Kelas, nama_nip Wali Kelas, serta </t>
    </r>
    <r>
      <rPr>
        <b/>
        <sz val="11"/>
        <rFont val="Times New Roman"/>
      </rPr>
      <t>data</t>
    </r>
    <r>
      <rPr>
        <sz val="11"/>
        <rFont val="Times New Roman"/>
      </rPr>
      <t xml:space="preserve"> </t>
    </r>
    <r>
      <rPr>
        <b/>
        <sz val="11"/>
        <rFont val="Times New Roman"/>
      </rPr>
      <t>Peserta didik selengkap mungkin</t>
    </r>
    <r>
      <rPr>
        <sz val="11"/>
        <rFont val="Times New Roman"/>
      </rPr>
      <t xml:space="preserve"> pada Sheet </t>
    </r>
    <r>
      <rPr>
        <b/>
        <sz val="11"/>
        <rFont val="Times New Roman"/>
      </rPr>
      <t>Biodata</t>
    </r>
  </si>
  <si>
    <r>
      <t xml:space="preserve">Memasukan </t>
    </r>
    <r>
      <rPr>
        <b/>
        <sz val="11"/>
        <rFont val="Times New Roman"/>
      </rPr>
      <t>Nilai</t>
    </r>
    <r>
      <rPr>
        <sz val="11"/>
        <rFont val="Times New Roman"/>
      </rPr>
      <t xml:space="preserve"> Pengetahuan, Keterampilan, </t>
    </r>
    <r>
      <rPr>
        <b/>
        <sz val="11"/>
        <rFont val="Times New Roman"/>
      </rPr>
      <t>Predikat</t>
    </r>
    <r>
      <rPr>
        <sz val="11"/>
        <rFont val="Times New Roman"/>
      </rPr>
      <t xml:space="preserve"> Sikap, </t>
    </r>
    <r>
      <rPr>
        <b/>
        <sz val="11"/>
        <rFont val="Times New Roman"/>
      </rPr>
      <t>Absensi</t>
    </r>
    <r>
      <rPr>
        <sz val="11"/>
        <rFont val="Times New Roman"/>
      </rPr>
      <t xml:space="preserve">, dan </t>
    </r>
    <r>
      <rPr>
        <b/>
        <sz val="11"/>
        <rFont val="Times New Roman"/>
      </rPr>
      <t>Nama</t>
    </r>
    <r>
      <rPr>
        <sz val="11"/>
        <rFont val="Times New Roman"/>
      </rPr>
      <t xml:space="preserve"> Kegiatan </t>
    </r>
    <r>
      <rPr>
        <b/>
        <sz val="11"/>
        <rFont val="Times New Roman"/>
      </rPr>
      <t>EkstraKurikuler</t>
    </r>
    <r>
      <rPr>
        <sz val="11"/>
        <rFont val="Times New Roman"/>
      </rPr>
      <t xml:space="preserve"> serta predikatnya pada Sheet </t>
    </r>
    <r>
      <rPr>
        <b/>
        <sz val="11"/>
        <rFont val="Times New Roman"/>
      </rPr>
      <t>LEGER</t>
    </r>
  </si>
  <si>
    <r>
      <rPr>
        <b/>
        <i/>
        <u/>
        <sz val="11"/>
        <rFont val="Times New Roman"/>
      </rPr>
      <t>Keterangan</t>
    </r>
    <r>
      <rPr>
        <b/>
        <i/>
        <sz val="11"/>
        <rFont val="Times New Roman"/>
      </rPr>
      <t>:</t>
    </r>
    <r>
      <rPr>
        <b/>
        <i/>
        <sz val="11"/>
        <color rgb="FFFF0000"/>
        <rFont val="Times New Roman"/>
      </rPr>
      <t xml:space="preserve"> Untuk membuka sheet yang </t>
    </r>
    <r>
      <rPr>
        <b/>
        <i/>
        <sz val="11"/>
        <rFont val="Times New Roman"/>
      </rPr>
      <t>ter Protect</t>
    </r>
    <r>
      <rPr>
        <b/>
        <i/>
        <sz val="11"/>
        <color rgb="FFFF0000"/>
        <rFont val="Times New Roman"/>
      </rPr>
      <t xml:space="preserve">, klik kanan pada sheet tsb. dan pilih dan klik </t>
    </r>
    <r>
      <rPr>
        <b/>
        <i/>
        <sz val="11"/>
        <rFont val="Times New Roman"/>
      </rPr>
      <t>Unprotect Sheet</t>
    </r>
  </si>
  <si>
    <t xml:space="preserve">PETUNJUK KHUSUS MENGISI APLIKASI RAPOR INI  </t>
  </si>
  <si>
    <t xml:space="preserve"> [) ! |\| [) ! |\| $</t>
  </si>
  <si>
    <t>Kolom nilai pada pengetahuan dan keterampilan ditulis dalam bentuk bilangan bulat pada skala 10 - 100</t>
  </si>
  <si>
    <t>Cukup aktif mengikuti kegiatan</t>
  </si>
  <si>
    <t xml:space="preserve">Sangat Baik, aktif dalam kepengurusan dan mengikuti berbagai kegiatan </t>
  </si>
  <si>
    <t xml:space="preserve">Baik, aktif dalam kepengurusan dan mengikuti kegiatan </t>
  </si>
  <si>
    <t>Kurang aktif dalam mengikuti kegiatan</t>
  </si>
  <si>
    <t>P</t>
  </si>
  <si>
    <t xml:space="preserve">K </t>
  </si>
  <si>
    <t xml:space="preserve">   Kelompok A (Umum)</t>
  </si>
  <si>
    <t xml:space="preserve">   Kelompok B (Umum)</t>
  </si>
  <si>
    <t xml:space="preserve">   Kelompok C (Peminatan)</t>
  </si>
  <si>
    <t>D = Kurang</t>
  </si>
  <si>
    <t>C = Cukup</t>
  </si>
  <si>
    <t>B = Baik</t>
  </si>
  <si>
    <t>A = Sangat Baik</t>
  </si>
  <si>
    <t>A. S i k a p</t>
  </si>
  <si>
    <t>SIKAP</t>
  </si>
  <si>
    <t>ASPEK MAPEL</t>
  </si>
  <si>
    <t>Untuk Titit mangsa Raport diisi pada Leger (bagian Bawah)</t>
  </si>
  <si>
    <t>Gulat</t>
  </si>
  <si>
    <t>Juara I Tingkat Kabupaten</t>
  </si>
  <si>
    <t>B i o l o g i</t>
  </si>
  <si>
    <t>G e o g r a f i</t>
  </si>
  <si>
    <t>Masuk di Sekolah ini ;</t>
  </si>
  <si>
    <t>Tingkatkan Prestasi dan minta pengayaan !</t>
  </si>
  <si>
    <t>Pertahankan Prestasimu  !</t>
  </si>
  <si>
    <t>Belajarlah lebih rajin dan minta pengayaan !</t>
  </si>
  <si>
    <t>Perlu berlatih untuk meningkatkan kompetensi dan remedial mapel yang belum tuntas !</t>
  </si>
  <si>
    <t>Terus berlatih untuk lebih baik dan remedial mapel yang belum tuntas!</t>
  </si>
  <si>
    <t>Luangkan waktu untuk belajar, hadir di kelas, rajin ke sekolah, &amp; perbaiki mapel yang belum tuntas !</t>
  </si>
  <si>
    <t>Anda harus merubah pola belajar, rajin sekolah, dan remedial mapel yang belum tuntas !</t>
  </si>
  <si>
    <t>Anda harus berlatih secara maksimal dan remedial mapel yang kurang !</t>
  </si>
  <si>
    <t>SB</t>
  </si>
  <si>
    <t>C. Keterampilan</t>
  </si>
  <si>
    <t>B. Pengetahuan</t>
  </si>
  <si>
    <t>No</t>
  </si>
  <si>
    <t>D. Ekstra Kurikuler</t>
  </si>
  <si>
    <t>E. Prestasi</t>
  </si>
  <si>
    <t>F. Ketidakhadiran</t>
  </si>
  <si>
    <t>G. Catatan Wali Kelas</t>
  </si>
  <si>
    <t>H. Tanggapan Orang tua / Wali</t>
  </si>
  <si>
    <t>K</t>
  </si>
  <si>
    <t>Banjaran,</t>
  </si>
  <si>
    <t>2017 / 2018</t>
  </si>
  <si>
    <t>.... &lt; 70</t>
  </si>
  <si>
    <t>70 - 79</t>
  </si>
  <si>
    <t>80 - 89</t>
  </si>
  <si>
    <t>90 - 100</t>
  </si>
  <si>
    <t>Baru menguasai sebagian kecil kompetensi keterampilan, perlu bimbingan</t>
  </si>
  <si>
    <t>Cukup, telah menguasai beberapa kompetensi pada KI-3</t>
  </si>
  <si>
    <t>Baru menguasai sebagian kecil kompetensi pada KI-3, perlu bimbingan</t>
  </si>
  <si>
    <t>Sudah menguasai sebagian besar keterampilan pada KI-4 dengan baik</t>
  </si>
  <si>
    <t>Telah menguasai sebagian besar kompetensi pada KI-3 dengan baik</t>
  </si>
  <si>
    <t>Cukup, sudah menguasai beberapa kompetensi keterampilan pada KI-4</t>
  </si>
  <si>
    <t>Telah menguasai seluruh kompetensi pada KI-3 dengan sangat baik</t>
  </si>
  <si>
    <t>Telah menguasai seluruh keterampilan pada KI-4 dengan sangat baik</t>
  </si>
  <si>
    <r>
      <t xml:space="preserve">Ketuntasan Belajar Minimal = </t>
    </r>
    <r>
      <rPr>
        <b/>
        <sz val="12"/>
        <rFont val="Times New Roman"/>
      </rPr>
      <t>70</t>
    </r>
    <r>
      <rPr>
        <sz val="12"/>
        <rFont val="Times New Roman"/>
      </rPr>
      <t xml:space="preserve"> ( Tujuh Puluh )</t>
    </r>
  </si>
  <si>
    <t>Tabel interval predikat berdasarkan KKM / KBM.</t>
  </si>
  <si>
    <t>KBM</t>
  </si>
  <si>
    <t>B. Pengetahuan dan Keterampilan</t>
  </si>
  <si>
    <t>Ketuntasan</t>
  </si>
  <si>
    <r>
      <t xml:space="preserve">Ketuntasan Belajar Minimal = </t>
    </r>
    <r>
      <rPr>
        <b/>
        <sz val="11"/>
        <rFont val="Times New Roman"/>
      </rPr>
      <t>70</t>
    </r>
    <r>
      <rPr>
        <sz val="11"/>
        <rFont val="Times New Roman"/>
      </rPr>
      <t xml:space="preserve"> ( </t>
    </r>
    <r>
      <rPr>
        <i/>
        <sz val="11"/>
        <rFont val="Times New Roman"/>
      </rPr>
      <t xml:space="preserve">Tujuh Puluh </t>
    </r>
    <r>
      <rPr>
        <sz val="11"/>
        <rFont val="Times New Roman"/>
      </rPr>
      <t>)</t>
    </r>
  </si>
  <si>
    <t>C. Ekstra Kurikuler</t>
  </si>
  <si>
    <t>D. Prestasi</t>
  </si>
  <si>
    <t>E. Ketidakhadiran</t>
  </si>
  <si>
    <t>F. Catatan Wali Kelas</t>
  </si>
  <si>
    <t>G. Tanggapan Orang tua / Wali</t>
  </si>
  <si>
    <t>Rank</t>
  </si>
  <si>
    <t>NAMA</t>
  </si>
  <si>
    <t>NO</t>
  </si>
  <si>
    <t>SPIRIT</t>
  </si>
  <si>
    <t>DESKRIPSI</t>
  </si>
  <si>
    <t>SOSIAL</t>
  </si>
  <si>
    <t>KELAS :</t>
  </si>
  <si>
    <t>SEMESTER:</t>
  </si>
  <si>
    <t>MAPEL:</t>
  </si>
  <si>
    <t>KKM:</t>
  </si>
  <si>
    <t>Deskripsi SPIRITUAL</t>
  </si>
  <si>
    <t>Deskripsi SOSIAL</t>
  </si>
  <si>
    <t>Sejarah IPS</t>
  </si>
  <si>
    <t>S o s i o l o g i</t>
  </si>
  <si>
    <t>E k o n o m i</t>
  </si>
  <si>
    <t>Sikap spiritual dan sikap sosial diisi dengan predikat (SB = Sangat Baik, B = Baik, C = Cukup, atau K = Kurang) dan dilengkapi dengan deskripsi berdasarkan rangkuman hasil penilaian sikap dari guru mata pelajaran, guru BK, dan wali kelas.</t>
  </si>
  <si>
    <t>Mencetak Rapor manual per Peserta didik ( ukuran kertas A4 ).</t>
  </si>
  <si>
    <t>2018 / 2019</t>
  </si>
  <si>
    <t>037</t>
  </si>
  <si>
    <t>A37</t>
  </si>
  <si>
    <t>038</t>
  </si>
  <si>
    <t>A38</t>
  </si>
  <si>
    <t>039</t>
  </si>
  <si>
    <t>A39</t>
  </si>
  <si>
    <t>040</t>
  </si>
  <si>
    <t>A40</t>
  </si>
  <si>
    <t xml:space="preserve">Banjaran, </t>
  </si>
  <si>
    <t>Urutan ke-</t>
  </si>
  <si>
    <t>16 Juli 2018</t>
  </si>
  <si>
    <t>DI KLS</t>
  </si>
  <si>
    <t>Bahasa &amp; Sastra Inggris</t>
  </si>
  <si>
    <t>Harun Arrosid, S.Pd.I</t>
  </si>
  <si>
    <t xml:space="preserve"> X / IPS_5</t>
  </si>
  <si>
    <t>181910008</t>
  </si>
  <si>
    <t>ADITA TRI KURNIA PUTRI</t>
  </si>
  <si>
    <t>181910011</t>
  </si>
  <si>
    <t xml:space="preserve">ADNES KOMALA DEWI </t>
  </si>
  <si>
    <t>181910014</t>
  </si>
  <si>
    <t>AGUNG BUDI PRASTAWA</t>
  </si>
  <si>
    <t>181910021</t>
  </si>
  <si>
    <t>AISYAH</t>
  </si>
  <si>
    <t>181910045</t>
  </si>
  <si>
    <t>ARYA DYTA WIGUNA</t>
  </si>
  <si>
    <t>181910054</t>
  </si>
  <si>
    <t>AZRIEL TAMA SANTIAJI</t>
  </si>
  <si>
    <t>181910055</t>
  </si>
  <si>
    <t>AZZUHRI HAUDI</t>
  </si>
  <si>
    <t>181910056</t>
  </si>
  <si>
    <t>BAYU BATARA SURYA PUTRA</t>
  </si>
  <si>
    <t>181910069</t>
  </si>
  <si>
    <t>DANDY ERVAN PRATAMA</t>
  </si>
  <si>
    <t>181910085</t>
  </si>
  <si>
    <t>DENISA ASTI RAHMAWATI</t>
  </si>
  <si>
    <t>181910093</t>
  </si>
  <si>
    <t>DIAN RAMDHAN SAPTIAN</t>
  </si>
  <si>
    <t>181910103</t>
  </si>
  <si>
    <t>DIVYA ADHIANI NURDIN</t>
  </si>
  <si>
    <t>181910104</t>
  </si>
  <si>
    <t>DWIKI DERMAWAN</t>
  </si>
  <si>
    <t>181910118</t>
  </si>
  <si>
    <t>ENCEP CANDRA</t>
  </si>
  <si>
    <t>181910128</t>
  </si>
  <si>
    <t>FAIZAL EGI</t>
  </si>
  <si>
    <t>181910133</t>
  </si>
  <si>
    <t>FAUZI DHALFADLIL AZHANI</t>
  </si>
  <si>
    <t>181910161</t>
  </si>
  <si>
    <t>HILMAN PUTRA PAMUNGKAS</t>
  </si>
  <si>
    <t>181910165</t>
  </si>
  <si>
    <t>IHSYA FADILLAH MUSLIM</t>
  </si>
  <si>
    <t>181910185</t>
  </si>
  <si>
    <t>JIHAD AKBAR</t>
  </si>
  <si>
    <t>181910226</t>
  </si>
  <si>
    <t>MUHAMAD IZZAZUL FIKRIAN</t>
  </si>
  <si>
    <t>181910240</t>
  </si>
  <si>
    <t>NESHA RAUDHATUL ZANNAH</t>
  </si>
  <si>
    <t>181910262</t>
  </si>
  <si>
    <t>PUTRI ANGGRAENI</t>
  </si>
  <si>
    <t>181910266</t>
  </si>
  <si>
    <t>PUTRI WULANDARI</t>
  </si>
  <si>
    <t>181910272</t>
  </si>
  <si>
    <t>RAFLY GYMNASTIAR</t>
  </si>
  <si>
    <t>181910280</t>
  </si>
  <si>
    <t>REFIANA</t>
  </si>
  <si>
    <t>181910285</t>
  </si>
  <si>
    <t>RENALDI PRIYATAMA</t>
  </si>
  <si>
    <t>181910286</t>
  </si>
  <si>
    <t>RENATA</t>
  </si>
  <si>
    <t>181910293</t>
  </si>
  <si>
    <t xml:space="preserve">REZA ERNANDA </t>
  </si>
  <si>
    <t>181910300</t>
  </si>
  <si>
    <t>RIFAN MUHAMAD RIZKI</t>
  </si>
  <si>
    <t>181910318</t>
  </si>
  <si>
    <t>RISMA SURYANI</t>
  </si>
  <si>
    <t>181910320</t>
  </si>
  <si>
    <t>RISNA TIRANI</t>
  </si>
  <si>
    <t>181910331</t>
  </si>
  <si>
    <t>RULLY PRATAMA S.</t>
  </si>
  <si>
    <t>181910335</t>
  </si>
  <si>
    <t>SALSA ASYKIYA</t>
  </si>
  <si>
    <t>181910353</t>
  </si>
  <si>
    <t>SILFI HAMIDAH</t>
  </si>
  <si>
    <t>181910408</t>
  </si>
  <si>
    <t>YESHA RAHAYU</t>
  </si>
  <si>
    <t>181910433</t>
  </si>
  <si>
    <t>MUHAMAD RIZAL</t>
  </si>
  <si>
    <t>Banjaran,  14 Desember 2018</t>
  </si>
  <si>
    <t>E</t>
  </si>
  <si>
    <t>72,5</t>
  </si>
  <si>
    <t>37,5</t>
  </si>
  <si>
    <t>,72,5</t>
  </si>
  <si>
    <t>77,5</t>
  </si>
  <si>
    <t>42,5</t>
  </si>
  <si>
    <t>62,5</t>
  </si>
  <si>
    <t>82,5</t>
  </si>
  <si>
    <t>33\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</si>
</sst>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9">
    <font>
      <sz val="10"/>
      <name val="Arial"/>
    </font>
    <font>
      <sz val="10"/>
      <name val="Calibri"/>
    </font>
    <font>
      <sz val="11"/>
      <name val="Times New Roman"/>
    </font>
    <font>
      <b/>
      <sz val="12"/>
      <color rgb="FFFF0000"/>
      <name val="Times New Roman"/>
    </font>
    <font>
      <b/>
      <i/>
      <sz val="11"/>
      <color rgb="FFFF0000"/>
      <name val="Times New Roman"/>
    </font>
    <font>
      <sz val="9"/>
      <name val="Times New Roman"/>
    </font>
    <font>
      <sz val="9"/>
      <name val="Calibri"/>
    </font>
    <font>
      <sz val="10"/>
      <color rgb="FFFF0000"/>
      <name val="Calibri"/>
    </font>
    <font>
      <b/>
      <sz val="10"/>
      <name val="Calibri"/>
    </font>
    <font>
      <b/>
      <sz val="9"/>
      <color rgb="FFFFFFFF"/>
      <name val="Calibri"/>
    </font>
    <font>
      <b/>
      <sz val="10"/>
      <color rgb="FFFFFFFF"/>
      <name val="Calibri"/>
    </font>
    <font>
      <b/>
      <sz val="9"/>
      <name val="Calibri"/>
    </font>
    <font>
      <sz val="10"/>
      <color rgb="FF000000"/>
      <name val="Calibri"/>
    </font>
    <font>
      <sz val="8"/>
      <name val="Calibri"/>
    </font>
    <font>
      <sz val="9"/>
      <color rgb="FF000000"/>
      <name val="Tahoma"/>
    </font>
    <font>
      <sz val="8"/>
      <color rgb="FFFF0000"/>
      <name val="Calibri"/>
    </font>
    <font>
      <b/>
      <sz val="11"/>
      <name val="Calibri"/>
    </font>
    <font>
      <sz val="11"/>
      <name val="Calibri"/>
    </font>
    <font>
      <sz val="10"/>
      <color rgb="FFFFFFFF"/>
      <name val="Calibri"/>
    </font>
    <font>
      <b/>
      <sz val="11"/>
      <color rgb="FF000000"/>
      <name val="Calibri"/>
    </font>
    <font>
      <b/>
      <sz val="12"/>
      <name val="Calibri"/>
    </font>
    <font>
      <sz val="9"/>
      <color rgb="FFFFFFFF"/>
      <name val="Calibri"/>
    </font>
    <font>
      <sz val="11"/>
      <color rgb="FFFFFFFF"/>
      <name val="Times New Roman"/>
    </font>
    <font>
      <sz val="12"/>
      <name val="Times New Roman"/>
    </font>
    <font>
      <sz val="10"/>
      <name val="Times New Roman"/>
    </font>
    <font>
      <b/>
      <sz val="12"/>
      <name val="Times New Roman"/>
    </font>
    <font>
      <sz val="10"/>
      <color rgb="FF3F3F3F"/>
      <name val="Calibri"/>
    </font>
    <font>
      <u/>
      <sz val="8"/>
      <color indexed="12"/>
      <name val="Calibri"/>
    </font>
    <font>
      <sz val="8"/>
      <color rgb="FF3F3F3F"/>
      <name val="Calibri"/>
    </font>
    <font>
      <b/>
      <sz val="11"/>
      <name val="Times New Roman"/>
    </font>
    <font>
      <b/>
      <sz val="12"/>
      <color rgb="FF3F3F3F"/>
      <name val="Times New Roman"/>
    </font>
    <font>
      <sz val="10"/>
      <color indexed="10"/>
      <name val="Calibri"/>
    </font>
    <font>
      <b/>
      <sz val="8"/>
      <color rgb="FFFF0000"/>
      <name val="Calibri"/>
    </font>
    <font>
      <sz val="9"/>
      <color rgb="FFFF0000"/>
      <name val="Calibri"/>
    </font>
    <font>
      <b/>
      <sz val="10"/>
      <color rgb="FFFF0000"/>
      <name val="Calibri"/>
    </font>
    <font>
      <b/>
      <sz val="14"/>
      <name val="Times New Roman"/>
    </font>
    <font>
      <sz val="8"/>
      <name val="Times New Roman"/>
    </font>
    <font>
      <b/>
      <sz val="8"/>
      <name val="Calibri"/>
    </font>
    <font>
      <sz val="12"/>
      <color rgb="FF262626"/>
      <name val="Times New Roman"/>
    </font>
    <font>
      <i/>
      <sz val="11"/>
      <name val="Times New Roman"/>
    </font>
    <font>
      <sz val="9"/>
      <color rgb="FF000000"/>
      <name val="Calibri"/>
    </font>
    <font>
      <sz val="9"/>
      <color rgb="FFFFFFFF"/>
      <name val="Times New Roman"/>
    </font>
    <font>
      <b/>
      <i/>
      <sz val="12"/>
      <name val="Times New Roman"/>
    </font>
    <font>
      <i/>
      <sz val="10"/>
      <name val="Times New Roman"/>
    </font>
    <font>
      <b/>
      <sz val="10"/>
      <name val="Times New Roman"/>
    </font>
    <font>
      <sz val="10"/>
      <color rgb="FFFFFFFF"/>
      <name val="Times New Roman"/>
    </font>
    <font>
      <i/>
      <sz val="12"/>
      <name val="Times New Roman"/>
    </font>
    <font>
      <i/>
      <sz val="8"/>
      <name val="Times New Roman"/>
    </font>
    <font>
      <b/>
      <sz val="8"/>
      <name val="Times New Roman"/>
    </font>
    <font>
      <i/>
      <sz val="10"/>
      <name val="Calibri"/>
    </font>
    <font>
      <i/>
      <sz val="9"/>
      <name val="Times New Roman"/>
    </font>
    <font>
      <b/>
      <sz val="9"/>
      <name val="Times New Roman"/>
    </font>
    <font>
      <sz val="8"/>
      <color rgb="FF000000"/>
      <name val="Calibri"/>
    </font>
    <font>
      <b/>
      <i/>
      <sz val="11"/>
      <name val="Times New Roman"/>
    </font>
    <font>
      <u/>
      <sz val="11"/>
      <name val="Times New Roman"/>
    </font>
    <font>
      <b/>
      <u/>
      <sz val="11"/>
      <name val="Times New Roman"/>
    </font>
    <font>
      <b/>
      <u/>
      <sz val="12"/>
      <name val="Times New Roman"/>
    </font>
    <font>
      <sz val="8"/>
      <color rgb="FFFFFFFF"/>
      <name val="Calibri"/>
    </font>
    <font>
      <sz val="10"/>
      <color rgb="FFFFFFFF"/>
      <name val="Arial"/>
    </font>
    <font>
      <sz val="10"/>
      <name val="Arial"/>
    </font>
    <font>
      <sz val="28"/>
      <color rgb="FFFF0000"/>
      <name val="Arial"/>
    </font>
    <font>
      <sz val="18"/>
      <color rgb="FFFFFFFF"/>
      <name val="Arial"/>
    </font>
    <font>
      <sz val="22"/>
      <name val="Arial"/>
    </font>
    <font>
      <b/>
      <sz val="11"/>
      <color rgb="FF3F3F3F"/>
      <name val="Times New Roman"/>
    </font>
    <font>
      <b/>
      <sz val="12"/>
      <name val="Trebuchet MS"/>
    </font>
    <font>
      <sz val="11"/>
      <color rgb="FF262626"/>
      <name val="Times New Roman"/>
    </font>
    <font>
      <i/>
      <sz val="10"/>
      <name val="Sitka Display"/>
    </font>
    <font>
      <sz val="11"/>
      <name val="Trebuchet MS"/>
    </font>
    <font>
      <sz val="13"/>
      <name val="Trebuchet MS"/>
    </font>
    <font>
      <b/>
      <sz val="13"/>
      <name val="Trebuchet MS"/>
    </font>
    <font>
      <sz val="10"/>
      <name val="Trebuchet MS"/>
    </font>
    <font>
      <b/>
      <sz val="11"/>
      <name val="Trebuchet MS"/>
    </font>
    <font>
      <b/>
      <sz val="10"/>
      <name val="Trebuchet MS"/>
    </font>
    <font>
      <sz val="8"/>
      <name val="Arial"/>
    </font>
    <font>
      <b/>
      <u/>
      <sz val="10"/>
      <name val="Trebuchet MS"/>
    </font>
    <font>
      <u/>
      <sz val="10"/>
      <name val="Trebuchet MS"/>
    </font>
    <font>
      <sz val="9"/>
      <name val="Trebuchet MS"/>
    </font>
    <font>
      <sz val="11"/>
      <color rgb="FF000000"/>
      <name val="Trebuchet MS"/>
    </font>
    <font>
      <b/>
      <sz val="12"/>
      <color rgb="FF000000"/>
      <name val="Trebuchet MS"/>
    </font>
    <font>
      <b/>
      <sz val="12"/>
      <color rgb="FF000000"/>
      <name val="Times New Roman"/>
    </font>
    <font>
      <sz val="10"/>
      <color rgb="FF000000"/>
      <name val="Trebuchet MS"/>
    </font>
    <font>
      <b/>
      <sz val="11"/>
      <color rgb="FF000000"/>
      <name val="Trebuchet MS"/>
    </font>
    <font>
      <u/>
      <sz val="11"/>
      <color rgb="FF000000"/>
      <name val="Trebuchet MS"/>
    </font>
    <font>
      <sz val="10"/>
      <name val="Arial"/>
    </font>
    <font>
      <u/>
      <sz val="10"/>
      <color indexed="12"/>
      <name val="Arial"/>
    </font>
    <font>
      <b/>
      <i/>
      <u/>
      <sz val="11"/>
      <name val="Times New Roman"/>
    </font>
    <font>
      <b/>
      <sz val="9"/>
      <color indexed="81"/>
      <name val="Tahoma"/>
      <family val="2"/>
    </font>
    <font>
      <sz val="9"/>
      <color indexed="81"/>
      <name val="Tahoma"/>
      <family val="2"/>
    </font>
    <font>
      <sz val="8"/>
      <color indexed="81"/>
      <name val="Calibri"/>
      <family val="2"/>
    </font>
  </fonts>
  <fills count="9">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rgb="FF00B050"/>
        <bgColor indexed="64"/>
      </patternFill>
    </fill>
    <fill>
      <patternFill patternType="solid">
        <fgColor rgb="FFFFFFFF"/>
        <bgColor rgb="FFDCE5F1"/>
      </patternFill>
    </fill>
    <fill>
      <patternFill patternType="solid">
        <fgColor rgb="FFFFFF00"/>
        <bgColor indexed="64"/>
      </patternFill>
    </fill>
    <fill>
      <patternFill patternType="gray0625">
        <bgColor rgb="FF00B050"/>
      </patternFill>
    </fill>
    <fill>
      <patternFill patternType="gray0625"/>
    </fill>
  </fills>
  <borders count="97">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style="hair">
        <color indexed="64"/>
      </bottom>
      <diagonal/>
    </border>
    <border>
      <left style="medium">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right style="thin">
        <color indexed="64"/>
      </right>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medium">
        <color indexed="64"/>
      </bottom>
      <diagonal/>
    </border>
    <border>
      <left style="hair">
        <color indexed="64"/>
      </left>
      <right style="hair">
        <color indexed="64"/>
      </right>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hair">
        <color indexed="64"/>
      </top>
      <bottom/>
      <diagonal/>
    </border>
    <border>
      <left/>
      <right/>
      <top style="thin">
        <color indexed="64"/>
      </top>
      <bottom/>
      <diagonal/>
    </border>
    <border>
      <left style="thin">
        <color indexed="64"/>
      </left>
      <right/>
      <top/>
      <bottom style="medium">
        <color indexed="64"/>
      </bottom>
      <diagonal/>
    </border>
    <border>
      <left style="thin">
        <color indexed="64"/>
      </left>
      <right/>
      <top style="medium">
        <color indexed="64"/>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top/>
      <bottom style="medium">
        <color indexed="64"/>
      </bottom>
      <diagonal/>
    </border>
    <border>
      <left/>
      <right style="hair">
        <color indexed="64"/>
      </right>
      <top/>
      <bottom style="hair">
        <color indexed="64"/>
      </bottom>
      <diagonal/>
    </border>
    <border>
      <left/>
      <right/>
      <top/>
      <bottom style="hair">
        <color indexed="64"/>
      </bottom>
      <diagonal/>
    </border>
    <border>
      <left/>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diagonal/>
    </border>
    <border>
      <left/>
      <right style="thin">
        <color indexed="64"/>
      </right>
      <top style="medium">
        <color indexed="64"/>
      </top>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medium">
        <color indexed="64"/>
      </top>
      <bottom/>
      <diagonal/>
    </border>
    <border>
      <left style="thin">
        <color indexed="64"/>
      </left>
      <right/>
      <top style="thin">
        <color indexed="64"/>
      </top>
      <bottom/>
      <diagonal/>
    </border>
    <border>
      <left/>
      <right/>
      <top style="double">
        <color indexed="64"/>
      </top>
      <bottom/>
      <diagonal/>
    </border>
    <border>
      <left/>
      <right/>
      <top style="medium">
        <color indexed="64"/>
      </top>
      <bottom style="hair">
        <color indexed="64"/>
      </bottom>
      <diagonal/>
    </border>
    <border>
      <left/>
      <right style="thin">
        <color indexed="64"/>
      </right>
      <top style="medium">
        <color indexed="64"/>
      </top>
      <bottom style="hair">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style="thin">
        <color indexed="64"/>
      </right>
      <top style="double">
        <color indexed="64"/>
      </top>
      <bottom/>
      <diagonal/>
    </border>
  </borders>
  <cellStyleXfs count="4">
    <xf numFmtId="0" fontId="0" fillId="0" borderId="0">
      <alignment vertical="center"/>
    </xf>
    <xf numFmtId="0" fontId="83" fillId="0" borderId="0">
      <protection locked="0"/>
    </xf>
    <xf numFmtId="0" fontId="83" fillId="0" borderId="0">
      <protection locked="0"/>
    </xf>
    <xf numFmtId="0" fontId="84" fillId="0" borderId="0">
      <alignment vertical="top"/>
      <protection locked="0"/>
    </xf>
  </cellStyleXfs>
  <cellXfs count="726">
    <xf numFmtId="0" fontId="0" fillId="0" borderId="0" xfId="0">
      <alignment vertical="center"/>
    </xf>
    <xf numFmtId="0" fontId="1" fillId="2" borderId="0" xfId="0" applyFont="1" applyFill="1" applyAlignment="1"/>
    <xf numFmtId="0" fontId="1" fillId="2" borderId="0" xfId="0" applyFont="1" applyFill="1" applyAlignment="1" applyProtection="1">
      <protection hidden="1"/>
    </xf>
    <xf numFmtId="0" fontId="2" fillId="3" borderId="0" xfId="0" applyFont="1" applyFill="1" applyAlignment="1"/>
    <xf numFmtId="0" fontId="3" fillId="3" borderId="0" xfId="0" applyFont="1" applyFill="1" applyAlignment="1" applyProtection="1">
      <alignment horizontal="center" vertical="center"/>
      <protection hidden="1"/>
    </xf>
    <xf numFmtId="0" fontId="1" fillId="4" borderId="0" xfId="0" applyFont="1" applyFill="1" applyAlignment="1"/>
    <xf numFmtId="0" fontId="2" fillId="3" borderId="0" xfId="0" applyFont="1" applyFill="1" applyAlignment="1" applyProtection="1">
      <protection hidden="1"/>
    </xf>
    <xf numFmtId="0" fontId="2" fillId="3" borderId="0" xfId="0" applyFont="1" applyFill="1" applyAlignment="1" applyProtection="1">
      <alignment horizontal="left" vertical="center" wrapText="1"/>
      <protection hidden="1"/>
    </xf>
    <xf numFmtId="0" fontId="2" fillId="3" borderId="0" xfId="0" applyFont="1" applyFill="1" applyAlignment="1" applyProtection="1">
      <alignment horizontal="center" vertical="top"/>
      <protection hidden="1"/>
    </xf>
    <xf numFmtId="0" fontId="2" fillId="3" borderId="0" xfId="0" applyFont="1" applyFill="1" applyAlignment="1" applyProtection="1">
      <alignment horizontal="left" vertical="top" wrapText="1"/>
      <protection hidden="1"/>
    </xf>
    <xf numFmtId="0" fontId="2" fillId="3" borderId="0" xfId="0" applyFont="1" applyFill="1" applyAlignment="1" applyProtection="1">
      <alignment horizontal="left" vertical="top"/>
      <protection hidden="1"/>
    </xf>
    <xf numFmtId="0" fontId="2" fillId="3" borderId="0" xfId="0" applyFont="1" applyFill="1" applyAlignment="1" applyProtection="1">
      <alignment horizontal="center" wrapText="1"/>
      <protection hidden="1"/>
    </xf>
    <xf numFmtId="0" fontId="4" fillId="3" borderId="0" xfId="0" applyFont="1" applyFill="1" applyAlignment="1" applyProtection="1">
      <alignment horizontal="center" vertical="center" wrapText="1"/>
      <protection hidden="1"/>
    </xf>
    <xf numFmtId="0" fontId="5" fillId="3" borderId="0" xfId="0" applyFont="1" applyFill="1" applyAlignment="1" applyProtection="1">
      <alignment horizontal="right" vertical="center"/>
      <protection hidden="1"/>
    </xf>
    <xf numFmtId="0" fontId="1" fillId="4" borderId="0" xfId="0" applyFont="1" applyFill="1" applyAlignment="1" applyProtection="1">
      <protection hidden="1"/>
    </xf>
    <xf numFmtId="0" fontId="1" fillId="0" borderId="0" xfId="0" applyFont="1" applyFill="1" applyBorder="1" applyAlignment="1" applyProtection="1">
      <protection locked="0"/>
    </xf>
    <xf numFmtId="0" fontId="1" fillId="0" borderId="0" xfId="0" applyFont="1" applyFill="1" applyBorder="1" applyAlignment="1" applyProtection="1">
      <protection locked="0"/>
    </xf>
    <xf numFmtId="0" fontId="6" fillId="0" borderId="0" xfId="0" applyFont="1" applyFill="1" applyBorder="1" applyAlignment="1" applyProtection="1">
      <protection locked="0"/>
    </xf>
    <xf numFmtId="0" fontId="7" fillId="0" borderId="0" xfId="0" applyFont="1" applyFill="1" applyBorder="1" applyAlignment="1" applyProtection="1">
      <protection locked="0"/>
    </xf>
    <xf numFmtId="0" fontId="8" fillId="0" borderId="0" xfId="0" applyFont="1" applyFill="1" applyBorder="1" applyProtection="1">
      <alignment vertical="center"/>
      <protection locked="0"/>
    </xf>
    <xf numFmtId="0" fontId="8" fillId="0" borderId="0" xfId="0" applyFont="1" applyFill="1" applyBorder="1" applyAlignment="1" applyProtection="1">
      <alignment horizontal="centerContinuous"/>
      <protection locked="0"/>
    </xf>
    <xf numFmtId="0" fontId="1" fillId="0" borderId="0" xfId="0" applyFont="1" applyFill="1" applyBorder="1" applyAlignment="1" applyProtection="1">
      <alignment horizontal="right"/>
      <protection locked="0"/>
    </xf>
    <xf numFmtId="0" fontId="6" fillId="0" borderId="0" xfId="0" applyFont="1" applyFill="1" applyBorder="1" applyAlignment="1" applyProtection="1">
      <alignment horizontal="center" vertical="center"/>
      <protection locked="0"/>
    </xf>
    <xf numFmtId="0" fontId="6" fillId="0" borderId="0" xfId="0" applyFont="1" applyFill="1">
      <alignment vertical="center"/>
    </xf>
    <xf numFmtId="49" fontId="6" fillId="0" borderId="0" xfId="0" applyNumberFormat="1" applyFont="1" applyFill="1" applyBorder="1" applyAlignment="1" applyProtection="1">
      <alignment horizontal="left" vertical="center"/>
      <protection locked="0"/>
    </xf>
    <xf numFmtId="0" fontId="11" fillId="0" borderId="0" xfId="0" applyFont="1" applyFill="1" applyBorder="1" applyAlignment="1" applyProtection="1">
      <protection locked="0"/>
    </xf>
    <xf numFmtId="0" fontId="10" fillId="4" borderId="0" xfId="0" applyFont="1" applyFill="1" applyBorder="1" applyAlignment="1" applyProtection="1">
      <alignment horizontal="center" vertical="center" wrapText="1"/>
      <protection locked="0"/>
    </xf>
    <xf numFmtId="0" fontId="10" fillId="4" borderId="0" xfId="0" applyFont="1" applyFill="1" applyBorder="1" applyAlignment="1" applyProtection="1">
      <alignment horizontal="center" vertical="center"/>
      <protection locked="0"/>
    </xf>
    <xf numFmtId="0" fontId="12" fillId="0" borderId="0" xfId="0" applyFont="1" applyFill="1" applyBorder="1" applyAlignment="1" applyProtection="1">
      <alignment horizontal="center"/>
      <protection hidden="1"/>
    </xf>
    <xf numFmtId="49" fontId="13" fillId="0" borderId="1" xfId="1" applyNumberFormat="1" applyFont="1" applyBorder="1" applyAlignment="1" applyProtection="1">
      <alignment horizontal="center" vertical="center"/>
    </xf>
    <xf numFmtId="0" fontId="14" fillId="0" borderId="2" xfId="0" applyFont="1" applyFill="1" applyBorder="1">
      <alignment vertical="center"/>
    </xf>
    <xf numFmtId="0" fontId="6" fillId="0" borderId="0" xfId="0" applyNumberFormat="1" applyFont="1" applyFill="1" applyBorder="1" applyAlignment="1" applyProtection="1">
      <protection locked="0"/>
    </xf>
    <xf numFmtId="0" fontId="6" fillId="0" borderId="0" xfId="0" applyNumberFormat="1" applyFont="1" applyFill="1" applyBorder="1" applyAlignment="1" applyProtection="1">
      <alignment horizontal="left" vertical="center" shrinkToFit="1"/>
      <protection locked="0"/>
    </xf>
    <xf numFmtId="0" fontId="6" fillId="0" borderId="0" xfId="0" quotePrefix="1" applyNumberFormat="1" applyFont="1" applyFill="1" applyBorder="1" applyAlignment="1" applyProtection="1">
      <protection locked="0"/>
    </xf>
    <xf numFmtId="0" fontId="6" fillId="0" borderId="0" xfId="0" applyNumberFormat="1" applyFont="1" applyFill="1" applyBorder="1" applyAlignment="1" applyProtection="1">
      <alignment horizontal="center" vertical="center"/>
      <protection locked="0"/>
    </xf>
    <xf numFmtId="49" fontId="13" fillId="0" borderId="0" xfId="0" applyNumberFormat="1" applyFont="1" applyFill="1" applyBorder="1" applyProtection="1">
      <alignment vertical="center"/>
      <protection locked="0"/>
    </xf>
    <xf numFmtId="0" fontId="14" fillId="0" borderId="1" xfId="0" applyFont="1" applyFill="1" applyBorder="1">
      <alignment vertical="center"/>
    </xf>
    <xf numFmtId="0" fontId="6" fillId="0" borderId="0" xfId="0" applyNumberFormat="1" applyFont="1" applyFill="1" applyBorder="1" applyAlignment="1" applyProtection="1">
      <alignment horizontal="left" vertical="center"/>
      <protection locked="0"/>
    </xf>
    <xf numFmtId="0" fontId="14" fillId="3" borderId="1" xfId="2" applyFont="1" applyFill="1" applyBorder="1" applyAlignment="1" applyProtection="1"/>
    <xf numFmtId="0" fontId="14" fillId="5" borderId="1" xfId="0" applyFont="1" applyFill="1" applyBorder="1">
      <alignment vertical="center"/>
    </xf>
    <xf numFmtId="49" fontId="13" fillId="0" borderId="0" xfId="1" quotePrefix="1" applyNumberFormat="1" applyFont="1" applyBorder="1" applyAlignment="1" applyProtection="1">
      <alignment horizontal="center" vertical="center"/>
    </xf>
    <xf numFmtId="0" fontId="6" fillId="0" borderId="0" xfId="1" quotePrefix="1" applyNumberFormat="1" applyFont="1" applyBorder="1" applyAlignment="1" applyProtection="1">
      <alignment horizontal="left" vertical="center"/>
    </xf>
    <xf numFmtId="0" fontId="12" fillId="0" borderId="0" xfId="0" applyFont="1" applyFill="1" applyBorder="1" applyAlignment="1" applyProtection="1">
      <alignment horizontal="center"/>
      <protection locked="0"/>
    </xf>
    <xf numFmtId="0" fontId="1" fillId="0" borderId="0" xfId="0" applyFont="1" applyFill="1" applyBorder="1" applyAlignment="1" applyProtection="1">
      <alignment horizontal="center"/>
      <protection locked="0"/>
    </xf>
    <xf numFmtId="0" fontId="1" fillId="0" borderId="0" xfId="0" applyFont="1" applyAlignment="1" applyProtection="1">
      <alignment horizontal="center" vertical="center"/>
      <protection hidden="1"/>
    </xf>
    <xf numFmtId="0" fontId="1" fillId="0" borderId="0" xfId="0" applyFont="1" applyProtection="1">
      <alignment vertical="center"/>
      <protection hidden="1"/>
    </xf>
    <xf numFmtId="0" fontId="6" fillId="0" borderId="0" xfId="0" applyFont="1" applyProtection="1">
      <alignment vertical="center"/>
      <protection hidden="1"/>
    </xf>
    <xf numFmtId="0" fontId="1" fillId="0" borderId="0" xfId="0" applyFont="1" applyAlignment="1"/>
    <xf numFmtId="0" fontId="1" fillId="0" borderId="0" xfId="0" applyFont="1" applyAlignment="1">
      <alignment horizontal="left"/>
    </xf>
    <xf numFmtId="0" fontId="15" fillId="0" borderId="0" xfId="0" applyFont="1" applyAlignment="1" applyProtection="1">
      <alignment horizontal="center" vertical="center"/>
      <protection hidden="1"/>
    </xf>
    <xf numFmtId="0" fontId="1" fillId="0" borderId="0" xfId="0" applyFont="1" applyAlignment="1" applyProtection="1">
      <protection hidden="1"/>
    </xf>
    <xf numFmtId="0" fontId="1" fillId="3" borderId="0" xfId="0" applyFont="1" applyFill="1" applyAlignment="1" applyProtection="1">
      <alignment horizontal="center" vertical="center"/>
      <protection hidden="1"/>
    </xf>
    <xf numFmtId="0" fontId="1" fillId="3" borderId="0" xfId="0" applyFont="1" applyFill="1" applyAlignment="1">
      <alignment horizontal="center" vertical="center"/>
    </xf>
    <xf numFmtId="0" fontId="1" fillId="3" borderId="0" xfId="0" quotePrefix="1" applyFont="1" applyFill="1" applyAlignment="1" applyProtection="1">
      <alignment horizontal="left" vertical="center" shrinkToFit="1"/>
      <protection hidden="1"/>
    </xf>
    <xf numFmtId="0" fontId="1" fillId="3" borderId="0" xfId="0" applyFont="1" applyFill="1" applyProtection="1">
      <alignment vertical="center"/>
      <protection hidden="1"/>
    </xf>
    <xf numFmtId="0" fontId="8" fillId="3" borderId="0" xfId="0" applyFont="1" applyFill="1" applyProtection="1">
      <alignment vertical="center"/>
      <protection hidden="1"/>
    </xf>
    <xf numFmtId="0" fontId="6" fillId="3" borderId="0" xfId="0" applyFont="1" applyFill="1" applyProtection="1">
      <alignment vertical="center"/>
      <protection hidden="1"/>
    </xf>
    <xf numFmtId="0" fontId="1" fillId="3" borderId="0" xfId="0" applyFont="1" applyFill="1" applyAlignment="1" applyProtection="1">
      <protection hidden="1"/>
    </xf>
    <xf numFmtId="0" fontId="16" fillId="3" borderId="0" xfId="0" applyFont="1" applyFill="1" applyAlignment="1" applyProtection="1">
      <alignment horizontal="right" vertical="center"/>
      <protection hidden="1"/>
    </xf>
    <xf numFmtId="0" fontId="16" fillId="3" borderId="0" xfId="0" applyFont="1" applyFill="1" applyAlignment="1" applyProtection="1">
      <alignment horizontal="left" vertical="center"/>
      <protection hidden="1"/>
    </xf>
    <xf numFmtId="0" fontId="15" fillId="3" borderId="0" xfId="0" applyFont="1" applyFill="1" applyAlignment="1" applyProtection="1">
      <alignment horizontal="center" vertical="center"/>
      <protection hidden="1"/>
    </xf>
    <xf numFmtId="0" fontId="1" fillId="3" borderId="0" xfId="0" applyFont="1" applyFill="1" applyAlignment="1" applyProtection="1">
      <alignment horizontal="left"/>
      <protection hidden="1"/>
    </xf>
    <xf numFmtId="0" fontId="1" fillId="3" borderId="0" xfId="0" applyFont="1" applyFill="1">
      <alignment vertical="center"/>
    </xf>
    <xf numFmtId="0" fontId="8" fillId="6" borderId="3" xfId="0" applyFont="1" applyFill="1" applyBorder="1" applyAlignment="1" applyProtection="1">
      <alignment horizontal="center" vertical="center"/>
      <protection hidden="1"/>
    </xf>
    <xf numFmtId="0" fontId="8" fillId="0" borderId="7" xfId="0" applyFont="1" applyBorder="1" applyAlignment="1">
      <alignment horizontal="center" vertical="center"/>
    </xf>
    <xf numFmtId="0" fontId="1" fillId="3" borderId="0" xfId="0" applyFont="1" applyFill="1" applyAlignment="1"/>
    <xf numFmtId="0" fontId="8" fillId="6" borderId="3" xfId="0" applyFont="1" applyFill="1" applyBorder="1" applyAlignment="1" applyProtection="1">
      <alignment horizontal="center" vertical="center" shrinkToFit="1"/>
      <protection hidden="1"/>
    </xf>
    <xf numFmtId="0" fontId="1" fillId="0" borderId="6" xfId="0" applyFont="1" applyBorder="1" applyAlignment="1" applyProtection="1">
      <alignment horizontal="center" textRotation="90" wrapText="1"/>
      <protection locked="0"/>
    </xf>
    <xf numFmtId="0" fontId="1" fillId="0" borderId="3" xfId="0" applyFont="1" applyBorder="1" applyAlignment="1" applyProtection="1">
      <alignment horizontal="center" textRotation="90" wrapText="1"/>
      <protection locked="0"/>
    </xf>
    <xf numFmtId="0" fontId="1" fillId="0" borderId="3" xfId="0" applyFont="1" applyBorder="1" applyAlignment="1" applyProtection="1">
      <alignment horizontal="left" textRotation="90" wrapText="1"/>
      <protection locked="0"/>
    </xf>
    <xf numFmtId="0" fontId="1" fillId="0" borderId="7" xfId="0" applyFont="1" applyBorder="1" applyAlignment="1" applyProtection="1">
      <alignment horizontal="center" textRotation="90" wrapText="1"/>
      <protection locked="0"/>
    </xf>
    <xf numFmtId="0" fontId="8" fillId="6" borderId="6" xfId="0" applyFont="1" applyFill="1" applyBorder="1" applyAlignment="1" applyProtection="1">
      <alignment horizontal="center" vertical="center" textRotation="180" wrapText="1"/>
      <protection locked="0"/>
    </xf>
    <xf numFmtId="0" fontId="8" fillId="6" borderId="10" xfId="0" applyFont="1" applyFill="1" applyBorder="1" applyAlignment="1" applyProtection="1">
      <alignment horizontal="center" vertical="center" textRotation="180" wrapText="1"/>
      <protection locked="0"/>
    </xf>
    <xf numFmtId="0" fontId="8" fillId="0" borderId="6" xfId="0" applyFont="1" applyBorder="1" applyAlignment="1" applyProtection="1">
      <alignment horizontal="center" vertical="center" textRotation="255"/>
      <protection hidden="1"/>
    </xf>
    <xf numFmtId="0" fontId="8" fillId="0" borderId="3" xfId="0" applyFont="1" applyBorder="1" applyAlignment="1" applyProtection="1">
      <alignment horizontal="center" vertical="center" textRotation="255"/>
      <protection hidden="1"/>
    </xf>
    <xf numFmtId="0" fontId="8" fillId="0" borderId="10" xfId="0" applyFont="1" applyBorder="1" applyAlignment="1" applyProtection="1">
      <alignment horizontal="center" vertical="center" textRotation="255"/>
      <protection hidden="1"/>
    </xf>
    <xf numFmtId="0" fontId="8" fillId="0" borderId="11" xfId="0" applyFont="1" applyBorder="1" applyAlignment="1" applyProtection="1">
      <alignment horizontal="center" vertical="center" textRotation="180" wrapText="1"/>
      <protection hidden="1"/>
    </xf>
    <xf numFmtId="0" fontId="8" fillId="0" borderId="10" xfId="0" applyFont="1" applyBorder="1" applyAlignment="1" applyProtection="1">
      <alignment horizontal="center" vertical="center" textRotation="180" wrapText="1"/>
      <protection hidden="1"/>
    </xf>
    <xf numFmtId="0" fontId="8" fillId="0" borderId="15" xfId="0" applyFont="1" applyBorder="1" applyAlignment="1" applyProtection="1">
      <alignment horizontal="center" vertical="center" textRotation="180"/>
      <protection hidden="1"/>
    </xf>
    <xf numFmtId="0" fontId="8" fillId="0" borderId="3" xfId="0" applyFont="1" applyBorder="1" applyAlignment="1" applyProtection="1">
      <alignment horizontal="center" vertical="center" textRotation="180"/>
      <protection hidden="1"/>
    </xf>
    <xf numFmtId="0" fontId="1" fillId="3" borderId="0" xfId="0" applyFont="1" applyFill="1" applyAlignment="1"/>
    <xf numFmtId="0" fontId="1" fillId="4" borderId="16" xfId="0" quotePrefix="1" applyFont="1" applyFill="1" applyBorder="1" applyAlignment="1" applyProtection="1">
      <alignment horizontal="center" vertical="center"/>
      <protection hidden="1"/>
    </xf>
    <xf numFmtId="0" fontId="1" fillId="4" borderId="17" xfId="0" quotePrefix="1" applyFont="1" applyFill="1" applyBorder="1" applyAlignment="1" applyProtection="1">
      <alignment horizontal="center" vertical="center"/>
      <protection hidden="1"/>
    </xf>
    <xf numFmtId="0" fontId="1" fillId="4" borderId="18" xfId="0" quotePrefix="1" applyFont="1" applyFill="1" applyBorder="1" applyAlignment="1" applyProtection="1">
      <alignment horizontal="center" vertical="center"/>
      <protection hidden="1"/>
    </xf>
    <xf numFmtId="0" fontId="1" fillId="4" borderId="19" xfId="0" quotePrefix="1" applyFont="1" applyFill="1" applyBorder="1" applyAlignment="1" applyProtection="1">
      <alignment horizontal="center" vertical="center"/>
      <protection hidden="1"/>
    </xf>
    <xf numFmtId="0" fontId="1" fillId="4" borderId="20" xfId="0" quotePrefix="1" applyFont="1" applyFill="1" applyBorder="1" applyAlignment="1" applyProtection="1">
      <alignment horizontal="center" vertical="center"/>
      <protection hidden="1"/>
    </xf>
    <xf numFmtId="0" fontId="18" fillId="6" borderId="23" xfId="0" applyFont="1" applyFill="1" applyBorder="1" applyAlignment="1">
      <alignment horizontal="center" vertical="center"/>
    </xf>
    <xf numFmtId="0" fontId="8" fillId="4" borderId="1" xfId="0" applyFont="1" applyFill="1" applyBorder="1" applyAlignment="1">
      <alignment horizontal="center" vertical="center"/>
    </xf>
    <xf numFmtId="0" fontId="6" fillId="6" borderId="13" xfId="0" applyFont="1" applyFill="1" applyBorder="1" applyProtection="1">
      <alignment vertical="center"/>
      <protection hidden="1"/>
    </xf>
    <xf numFmtId="0" fontId="16" fillId="6" borderId="26" xfId="0" applyFont="1" applyFill="1" applyBorder="1" applyAlignment="1" applyProtection="1">
      <alignment horizontal="center" vertical="center" shrinkToFit="1"/>
      <protection hidden="1"/>
    </xf>
    <xf numFmtId="0" fontId="16" fillId="0" borderId="27" xfId="0" applyFont="1" applyBorder="1" applyAlignment="1" applyProtection="1">
      <alignment horizontal="center" vertical="center"/>
      <protection locked="0"/>
    </xf>
    <xf numFmtId="0" fontId="16" fillId="0" borderId="28" xfId="0" applyFont="1" applyBorder="1" applyAlignment="1" applyProtection="1">
      <alignment horizontal="center" vertical="center"/>
      <protection locked="0"/>
    </xf>
    <xf numFmtId="0" fontId="16" fillId="0" borderId="26" xfId="0" applyFont="1" applyBorder="1" applyAlignment="1" applyProtection="1">
      <alignment horizontal="center" vertical="center"/>
      <protection locked="0"/>
    </xf>
    <xf numFmtId="0" fontId="16" fillId="0" borderId="30" xfId="0" applyFont="1" applyBorder="1" applyAlignment="1" applyProtection="1">
      <alignment horizontal="left" vertical="center" shrinkToFit="1"/>
      <protection locked="0"/>
    </xf>
    <xf numFmtId="0" fontId="16" fillId="0" borderId="31" xfId="0" applyFont="1" applyBorder="1" applyAlignment="1" applyProtection="1">
      <alignment horizontal="center" vertical="center"/>
      <protection locked="0"/>
    </xf>
    <xf numFmtId="164" fontId="1" fillId="0" borderId="32" xfId="0" applyNumberFormat="1" applyFont="1" applyBorder="1" applyAlignment="1" applyProtection="1">
      <alignment horizontal="center" vertical="center"/>
      <protection hidden="1"/>
    </xf>
    <xf numFmtId="1" fontId="1" fillId="0" borderId="34" xfId="0" applyNumberFormat="1" applyFont="1" applyFill="1" applyBorder="1" applyAlignment="1">
      <alignment horizontal="center" vertical="center"/>
    </xf>
    <xf numFmtId="49" fontId="1" fillId="0" borderId="34" xfId="0" quotePrefix="1" applyNumberFormat="1" applyFont="1" applyFill="1" applyBorder="1" applyAlignment="1">
      <alignment horizontal="center"/>
    </xf>
    <xf numFmtId="49" fontId="18" fillId="6" borderId="23" xfId="0" quotePrefix="1" applyNumberFormat="1" applyFont="1" applyFill="1" applyBorder="1" applyAlignment="1">
      <alignment horizontal="center"/>
    </xf>
    <xf numFmtId="0" fontId="6" fillId="0" borderId="0" xfId="0" quotePrefix="1" applyFont="1" applyFill="1" applyBorder="1" applyAlignment="1"/>
    <xf numFmtId="0" fontId="6" fillId="6" borderId="3" xfId="0" applyFont="1" applyFill="1" applyBorder="1" applyProtection="1">
      <alignment vertical="center"/>
      <protection hidden="1"/>
    </xf>
    <xf numFmtId="0" fontId="16" fillId="6" borderId="35" xfId="0" applyFont="1" applyFill="1" applyBorder="1" applyAlignment="1" applyProtection="1">
      <alignment horizontal="center" vertical="center" shrinkToFit="1"/>
      <protection hidden="1"/>
    </xf>
    <xf numFmtId="0" fontId="16" fillId="0" borderId="36" xfId="0" applyFont="1" applyBorder="1" applyAlignment="1" applyProtection="1">
      <alignment horizontal="center" vertical="center"/>
      <protection locked="0"/>
    </xf>
    <xf numFmtId="0" fontId="16" fillId="0" borderId="35" xfId="0" applyFont="1" applyBorder="1" applyAlignment="1" applyProtection="1">
      <alignment horizontal="center" vertical="center"/>
      <protection locked="0"/>
    </xf>
    <xf numFmtId="0" fontId="16" fillId="0" borderId="39" xfId="0" applyFont="1" applyBorder="1" applyAlignment="1" applyProtection="1">
      <alignment horizontal="left" vertical="center" shrinkToFit="1"/>
      <protection locked="0"/>
    </xf>
    <xf numFmtId="0" fontId="16" fillId="0" borderId="38" xfId="0" quotePrefix="1" applyFont="1" applyBorder="1" applyAlignment="1" applyProtection="1">
      <alignment horizontal="center" vertical="center"/>
      <protection locked="0"/>
    </xf>
    <xf numFmtId="164" fontId="1" fillId="0" borderId="37" xfId="0" applyNumberFormat="1" applyFont="1" applyBorder="1" applyAlignment="1" applyProtection="1">
      <alignment horizontal="center" vertical="center"/>
      <protection hidden="1"/>
    </xf>
    <xf numFmtId="1" fontId="1" fillId="0" borderId="1" xfId="0" applyNumberFormat="1" applyFont="1" applyFill="1" applyBorder="1" applyAlignment="1">
      <alignment horizontal="center" vertical="center"/>
    </xf>
    <xf numFmtId="49" fontId="1" fillId="0" borderId="1" xfId="0" applyNumberFormat="1" applyFont="1" applyFill="1" applyBorder="1" applyAlignment="1">
      <alignment horizontal="center"/>
    </xf>
    <xf numFmtId="49" fontId="18" fillId="6" borderId="23" xfId="0" applyNumberFormat="1" applyFont="1" applyFill="1" applyBorder="1" applyAlignment="1">
      <alignment horizontal="center"/>
    </xf>
    <xf numFmtId="0" fontId="6" fillId="3" borderId="0" xfId="0" applyFont="1" applyFill="1" applyBorder="1" applyAlignment="1" applyProtection="1">
      <alignment horizontal="left" vertical="center"/>
      <protection locked="0"/>
    </xf>
    <xf numFmtId="0" fontId="8" fillId="6" borderId="35" xfId="0" applyFont="1" applyFill="1" applyBorder="1" applyAlignment="1" applyProtection="1">
      <alignment horizontal="center" vertical="center" shrinkToFit="1"/>
      <protection hidden="1"/>
    </xf>
    <xf numFmtId="0" fontId="16" fillId="8" borderId="37" xfId="0" applyFont="1" applyFill="1" applyBorder="1" applyAlignment="1" applyProtection="1">
      <alignment horizontal="center" vertical="center"/>
      <protection hidden="1"/>
    </xf>
    <xf numFmtId="0" fontId="16" fillId="8" borderId="36" xfId="0" applyFont="1" applyFill="1" applyBorder="1" applyAlignment="1" applyProtection="1">
      <alignment horizontal="center" vertical="center"/>
      <protection hidden="1"/>
    </xf>
    <xf numFmtId="0" fontId="16" fillId="8" borderId="38" xfId="0" applyFont="1" applyFill="1" applyBorder="1" applyAlignment="1" applyProtection="1">
      <alignment horizontal="center" vertical="center"/>
      <protection hidden="1"/>
    </xf>
    <xf numFmtId="0" fontId="1" fillId="0" borderId="24" xfId="0" applyFont="1" applyBorder="1" applyAlignment="1" applyProtection="1">
      <alignment horizontal="center" vertical="center" shrinkToFit="1"/>
      <protection hidden="1"/>
    </xf>
    <xf numFmtId="0" fontId="1" fillId="0" borderId="24" xfId="0" applyFont="1" applyBorder="1" applyAlignment="1" applyProtection="1">
      <alignment vertical="center" wrapText="1" shrinkToFit="1"/>
      <protection hidden="1"/>
    </xf>
    <xf numFmtId="0" fontId="8" fillId="6" borderId="40" xfId="0" applyFont="1" applyFill="1" applyBorder="1" applyAlignment="1" applyProtection="1">
      <alignment horizontal="center" vertical="center" shrinkToFit="1"/>
      <protection hidden="1"/>
    </xf>
    <xf numFmtId="0" fontId="16" fillId="8" borderId="41" xfId="0" applyFont="1" applyFill="1" applyBorder="1" applyAlignment="1" applyProtection="1">
      <alignment horizontal="center" vertical="center"/>
      <protection hidden="1"/>
    </xf>
    <xf numFmtId="0" fontId="16" fillId="8" borderId="42" xfId="0" applyFont="1" applyFill="1" applyBorder="1" applyAlignment="1" applyProtection="1">
      <alignment horizontal="center" vertical="center"/>
      <protection hidden="1"/>
    </xf>
    <xf numFmtId="0" fontId="16" fillId="8" borderId="43" xfId="0" applyFont="1" applyFill="1" applyBorder="1" applyAlignment="1" applyProtection="1">
      <alignment horizontal="center" vertical="center"/>
      <protection hidden="1"/>
    </xf>
    <xf numFmtId="0" fontId="16" fillId="0" borderId="44" xfId="0" applyFont="1" applyBorder="1" applyAlignment="1" applyProtection="1">
      <alignment horizontal="left" vertical="center" shrinkToFit="1"/>
      <protection locked="0"/>
    </xf>
    <xf numFmtId="0" fontId="16" fillId="0" borderId="43" xfId="0" quotePrefix="1" applyFont="1" applyBorder="1" applyAlignment="1" applyProtection="1">
      <alignment horizontal="center" vertical="center"/>
      <protection locked="0"/>
    </xf>
    <xf numFmtId="0" fontId="16" fillId="0" borderId="32" xfId="0" applyFont="1" applyBorder="1" applyAlignment="1" applyProtection="1">
      <alignment horizontal="center" vertical="center"/>
      <protection locked="0"/>
    </xf>
    <xf numFmtId="0" fontId="16" fillId="0" borderId="47" xfId="0" applyFont="1" applyBorder="1" applyAlignment="1" applyProtection="1">
      <alignment horizontal="center" vertical="center"/>
      <protection locked="0"/>
    </xf>
    <xf numFmtId="0" fontId="1" fillId="0" borderId="1" xfId="0" applyFont="1" applyFill="1" applyBorder="1" applyAlignment="1">
      <alignment horizontal="center" vertical="center"/>
    </xf>
    <xf numFmtId="0" fontId="16" fillId="0" borderId="37" xfId="0" applyFont="1" applyBorder="1" applyAlignment="1" applyProtection="1">
      <alignment horizontal="center" vertical="center"/>
      <protection locked="0"/>
    </xf>
    <xf numFmtId="0" fontId="1" fillId="0" borderId="0" xfId="0" applyFont="1" applyFill="1" applyBorder="1" applyAlignment="1">
      <alignment horizontal="center" vertical="center"/>
    </xf>
    <xf numFmtId="49" fontId="1" fillId="0" borderId="0" xfId="0" applyNumberFormat="1" applyFont="1" applyFill="1" applyBorder="1" applyAlignment="1">
      <alignment horizontal="center"/>
    </xf>
    <xf numFmtId="1" fontId="1" fillId="0" borderId="0" xfId="0" applyNumberFormat="1" applyFont="1" applyFill="1" applyBorder="1" applyAlignment="1">
      <alignment horizontal="center" vertical="center"/>
    </xf>
    <xf numFmtId="0" fontId="1" fillId="0" borderId="45" xfId="0" applyFont="1" applyBorder="1" applyAlignment="1" applyProtection="1">
      <alignment horizontal="center" vertical="center" shrinkToFit="1"/>
      <protection hidden="1"/>
    </xf>
    <xf numFmtId="0" fontId="1" fillId="0" borderId="45" xfId="0" applyFont="1" applyBorder="1" applyAlignment="1" applyProtection="1">
      <alignment vertical="center" wrapText="1" shrinkToFit="1"/>
      <protection hidden="1"/>
    </xf>
    <xf numFmtId="0" fontId="1" fillId="0" borderId="24" xfId="0" applyFont="1" applyBorder="1" applyAlignment="1" applyProtection="1">
      <alignment horizontal="left" vertical="center" wrapText="1" shrinkToFit="1"/>
      <protection hidden="1"/>
    </xf>
    <xf numFmtId="0" fontId="1" fillId="0" borderId="0" xfId="0" applyFont="1" applyBorder="1" applyAlignment="1" applyProtection="1">
      <alignment horizontal="center" vertical="center"/>
      <protection hidden="1"/>
    </xf>
    <xf numFmtId="0" fontId="1" fillId="0" borderId="0" xfId="0" applyFont="1" applyBorder="1" applyProtection="1">
      <alignment vertical="center"/>
      <protection hidden="1"/>
    </xf>
    <xf numFmtId="0" fontId="6" fillId="0" borderId="55" xfId="0" applyFont="1" applyBorder="1" applyProtection="1">
      <alignment vertical="center"/>
      <protection hidden="1"/>
    </xf>
    <xf numFmtId="0" fontId="1" fillId="0" borderId="55" xfId="0" applyFont="1" applyBorder="1" applyProtection="1">
      <alignment vertical="center"/>
      <protection hidden="1"/>
    </xf>
    <xf numFmtId="0" fontId="1" fillId="0" borderId="55" xfId="0" applyFont="1" applyBorder="1" applyAlignment="1"/>
    <xf numFmtId="0" fontId="1" fillId="0" borderId="55" xfId="0" applyFont="1" applyBorder="1" applyAlignment="1">
      <alignment horizontal="left"/>
    </xf>
    <xf numFmtId="0" fontId="1" fillId="0" borderId="55" xfId="0" applyFont="1" applyBorder="1">
      <alignment vertical="center"/>
    </xf>
    <xf numFmtId="0" fontId="15" fillId="0" borderId="55" xfId="0" applyFont="1" applyBorder="1" applyAlignment="1" applyProtection="1">
      <alignment horizontal="center" vertical="center"/>
      <protection hidden="1"/>
    </xf>
    <xf numFmtId="0" fontId="1" fillId="0" borderId="0" xfId="0" applyFont="1" applyBorder="1" applyAlignment="1" applyProtection="1">
      <protection hidden="1"/>
    </xf>
    <xf numFmtId="0" fontId="1" fillId="3" borderId="0" xfId="0" applyFont="1" applyFill="1" applyBorder="1" applyAlignment="1" applyProtection="1">
      <alignment horizontal="center" vertical="center"/>
      <protection hidden="1"/>
    </xf>
    <xf numFmtId="0" fontId="1" fillId="0" borderId="0" xfId="0" applyFont="1" applyBorder="1">
      <alignment vertical="center"/>
    </xf>
    <xf numFmtId="0" fontId="1" fillId="0" borderId="0" xfId="0" applyFont="1" applyAlignment="1" applyProtection="1">
      <protection locked="0"/>
    </xf>
    <xf numFmtId="49" fontId="1" fillId="0" borderId="0" xfId="0" applyNumberFormat="1" applyFont="1" applyAlignment="1"/>
    <xf numFmtId="0" fontId="6" fillId="0" borderId="0" xfId="0" applyFont="1" applyAlignment="1"/>
    <xf numFmtId="0" fontId="1" fillId="0" borderId="0" xfId="0" applyFont="1" applyFill="1" applyAlignment="1" applyProtection="1">
      <alignment horizontal="center" vertical="center"/>
      <protection hidden="1"/>
    </xf>
    <xf numFmtId="0" fontId="1" fillId="0" borderId="0" xfId="0" applyFont="1" applyFill="1" applyProtection="1">
      <alignment vertical="center"/>
      <protection hidden="1"/>
    </xf>
    <xf numFmtId="0" fontId="20" fillId="0" borderId="0" xfId="0" applyFont="1" applyFill="1" applyProtection="1">
      <alignment vertical="center"/>
      <protection hidden="1"/>
    </xf>
    <xf numFmtId="0" fontId="6" fillId="0" borderId="0" xfId="0" applyFont="1" applyFill="1" applyProtection="1">
      <alignment vertical="center"/>
      <protection hidden="1"/>
    </xf>
    <xf numFmtId="0" fontId="6" fillId="0" borderId="0" xfId="0" applyFont="1" applyFill="1" applyAlignment="1" applyProtection="1">
      <protection hidden="1"/>
    </xf>
    <xf numFmtId="0" fontId="8" fillId="0" borderId="3"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shrinkToFit="1"/>
      <protection hidden="1"/>
    </xf>
    <xf numFmtId="0" fontId="11" fillId="0" borderId="3" xfId="0" applyFont="1" applyFill="1" applyBorder="1" applyAlignment="1" applyProtection="1">
      <alignment horizontal="center" vertical="center"/>
      <protection hidden="1"/>
    </xf>
    <xf numFmtId="0" fontId="18" fillId="4" borderId="45" xfId="0" quotePrefix="1" applyFont="1" applyFill="1" applyBorder="1" applyAlignment="1" applyProtection="1">
      <alignment horizontal="center" vertical="center"/>
      <protection hidden="1"/>
    </xf>
    <xf numFmtId="0" fontId="21" fillId="4" borderId="56" xfId="0" quotePrefix="1" applyFont="1" applyFill="1" applyBorder="1" applyAlignment="1" applyProtection="1">
      <alignment horizontal="center" vertical="center"/>
      <protection hidden="1"/>
    </xf>
    <xf numFmtId="0" fontId="21" fillId="4" borderId="16" xfId="0" quotePrefix="1" applyFont="1" applyFill="1" applyBorder="1" applyAlignment="1" applyProtection="1">
      <alignment horizontal="center" vertical="center"/>
      <protection hidden="1"/>
    </xf>
    <xf numFmtId="0" fontId="21" fillId="4" borderId="45" xfId="0" quotePrefix="1" applyFont="1" applyFill="1" applyBorder="1" applyAlignment="1" applyProtection="1">
      <alignment horizontal="center" vertical="center"/>
      <protection hidden="1"/>
    </xf>
    <xf numFmtId="0" fontId="6" fillId="6" borderId="46" xfId="0" applyFont="1" applyFill="1" applyBorder="1" applyProtection="1">
      <alignment vertical="center"/>
      <protection hidden="1"/>
    </xf>
    <xf numFmtId="0" fontId="1" fillId="0" borderId="57" xfId="0" applyFont="1" applyFill="1" applyBorder="1" applyAlignment="1" applyProtection="1">
      <alignment vertical="center" shrinkToFit="1"/>
      <protection locked="0"/>
    </xf>
    <xf numFmtId="0" fontId="1" fillId="0" borderId="47" xfId="0" applyFont="1" applyFill="1" applyBorder="1" applyAlignment="1" applyProtection="1">
      <alignment horizontal="left" vertical="center"/>
      <protection locked="0"/>
    </xf>
    <xf numFmtId="0" fontId="1" fillId="0" borderId="35" xfId="0" applyFont="1" applyFill="1" applyBorder="1" applyAlignment="1" applyProtection="1">
      <alignment vertical="center" shrinkToFit="1"/>
      <protection locked="0"/>
    </xf>
    <xf numFmtId="0" fontId="1" fillId="0" borderId="28" xfId="0" applyFont="1" applyFill="1" applyBorder="1" applyAlignment="1" applyProtection="1">
      <alignment horizontal="left" vertical="center"/>
      <protection locked="0"/>
    </xf>
    <xf numFmtId="0" fontId="1" fillId="0" borderId="0" xfId="0" applyFont="1" applyBorder="1" applyProtection="1">
      <alignment vertical="center"/>
      <protection locked="0"/>
    </xf>
    <xf numFmtId="0" fontId="1" fillId="0" borderId="36" xfId="0" applyFont="1" applyFill="1" applyBorder="1" applyProtection="1">
      <alignment vertical="center"/>
      <protection locked="0"/>
    </xf>
    <xf numFmtId="0" fontId="6" fillId="6" borderId="4" xfId="0" applyFont="1" applyFill="1" applyBorder="1" applyProtection="1">
      <alignment vertical="center"/>
      <protection hidden="1"/>
    </xf>
    <xf numFmtId="0" fontId="1" fillId="0" borderId="58" xfId="0" applyFont="1" applyFill="1" applyBorder="1" applyAlignment="1" applyProtection="1">
      <alignment vertical="center" shrinkToFit="1"/>
      <protection locked="0"/>
    </xf>
    <xf numFmtId="0" fontId="1" fillId="0" borderId="59" xfId="0" applyFont="1" applyFill="1" applyBorder="1" applyProtection="1">
      <alignment vertical="center"/>
      <protection locked="0"/>
    </xf>
    <xf numFmtId="0" fontId="1" fillId="0" borderId="60" xfId="0" applyFont="1" applyFill="1" applyBorder="1" applyAlignment="1" applyProtection="1">
      <alignment horizontal="left" vertical="center" shrinkToFit="1"/>
      <protection locked="0"/>
    </xf>
    <xf numFmtId="0" fontId="1" fillId="0" borderId="61" xfId="0" applyFont="1" applyFill="1" applyBorder="1" applyAlignment="1" applyProtection="1">
      <alignment horizontal="left" vertical="center"/>
      <protection locked="0"/>
    </xf>
    <xf numFmtId="0" fontId="1" fillId="0" borderId="35" xfId="0" applyFont="1" applyFill="1" applyBorder="1" applyAlignment="1" applyProtection="1">
      <alignment horizontal="left" vertical="center" shrinkToFit="1"/>
      <protection locked="0"/>
    </xf>
    <xf numFmtId="0" fontId="1" fillId="0" borderId="13" xfId="0" applyFont="1" applyBorder="1" applyAlignment="1" applyProtection="1">
      <alignment horizontal="center" vertical="center" shrinkToFit="1"/>
      <protection hidden="1"/>
    </xf>
    <xf numFmtId="0" fontId="1" fillId="0" borderId="13" xfId="0" applyFont="1" applyBorder="1" applyAlignment="1" applyProtection="1">
      <alignment vertical="center" wrapText="1" shrinkToFit="1"/>
      <protection hidden="1"/>
    </xf>
    <xf numFmtId="0" fontId="1" fillId="0" borderId="62" xfId="0" applyFont="1" applyFill="1" applyBorder="1" applyAlignment="1" applyProtection="1">
      <alignment horizontal="left" vertical="center" shrinkToFit="1"/>
      <protection locked="0"/>
    </xf>
    <xf numFmtId="0" fontId="1" fillId="0" borderId="63" xfId="0" applyFont="1" applyFill="1" applyBorder="1" applyAlignment="1" applyProtection="1">
      <alignment horizontal="left" vertical="center"/>
      <protection locked="0"/>
    </xf>
    <xf numFmtId="0" fontId="1" fillId="0" borderId="26" xfId="0" applyFont="1" applyFill="1" applyBorder="1" applyAlignment="1" applyProtection="1">
      <alignment horizontal="left" vertical="center" shrinkToFit="1"/>
      <protection locked="0"/>
    </xf>
    <xf numFmtId="0" fontId="1" fillId="0" borderId="58" xfId="0" applyFont="1" applyFill="1" applyBorder="1" applyAlignment="1" applyProtection="1">
      <alignment horizontal="left" vertical="center" shrinkToFit="1"/>
      <protection locked="0"/>
    </xf>
    <xf numFmtId="0" fontId="1" fillId="0" borderId="59" xfId="0" applyFont="1" applyFill="1" applyBorder="1" applyAlignment="1" applyProtection="1">
      <alignment horizontal="left" vertical="center"/>
      <protection locked="0"/>
    </xf>
    <xf numFmtId="0" fontId="22" fillId="0" borderId="0" xfId="0" applyFont="1" applyFill="1" applyProtection="1">
      <alignment vertical="center"/>
      <protection locked="0"/>
    </xf>
    <xf numFmtId="0" fontId="23" fillId="0" borderId="0" xfId="0" applyFont="1" applyFill="1" applyProtection="1">
      <alignment vertical="center"/>
      <protection locked="0"/>
    </xf>
    <xf numFmtId="0" fontId="24" fillId="0" borderId="0" xfId="0" applyFont="1" applyFill="1" applyProtection="1">
      <alignment vertical="center"/>
      <protection locked="0"/>
    </xf>
    <xf numFmtId="0" fontId="1" fillId="4" borderId="0" xfId="0" applyFont="1" applyFill="1" applyProtection="1">
      <alignment vertical="center"/>
      <protection locked="0"/>
    </xf>
    <xf numFmtId="0" fontId="1" fillId="2" borderId="0" xfId="0" applyFont="1" applyFill="1" applyProtection="1">
      <alignment vertical="center"/>
      <protection locked="0"/>
    </xf>
    <xf numFmtId="0" fontId="13" fillId="2" borderId="0" xfId="0" applyFont="1" applyFill="1" applyProtection="1">
      <alignment vertical="center"/>
      <protection locked="0"/>
    </xf>
    <xf numFmtId="0" fontId="1" fillId="2" borderId="0" xfId="0" applyFont="1" applyFill="1" applyBorder="1" applyProtection="1">
      <alignment vertical="center"/>
      <protection locked="0"/>
    </xf>
    <xf numFmtId="0" fontId="6" fillId="2" borderId="0" xfId="0" applyFont="1" applyFill="1" applyBorder="1" applyProtection="1">
      <alignment vertical="center"/>
      <protection locked="0"/>
    </xf>
    <xf numFmtId="0" fontId="6" fillId="2" borderId="0" xfId="0" applyFont="1" applyFill="1" applyProtection="1">
      <alignment vertical="center"/>
      <protection locked="0"/>
    </xf>
    <xf numFmtId="0" fontId="1" fillId="0" borderId="0" xfId="0" applyFont="1" applyFill="1" applyProtection="1">
      <alignment vertical="center"/>
      <protection locked="0"/>
    </xf>
    <xf numFmtId="0" fontId="23" fillId="3" borderId="0" xfId="0" applyFont="1" applyFill="1" applyProtection="1">
      <alignment vertical="center"/>
      <protection hidden="1"/>
    </xf>
    <xf numFmtId="0" fontId="25" fillId="3" borderId="0" xfId="0" applyFont="1" applyFill="1" applyAlignment="1" applyProtection="1">
      <alignment horizontal="center" vertical="center"/>
      <protection hidden="1"/>
    </xf>
    <xf numFmtId="0" fontId="25" fillId="3" borderId="0" xfId="0" applyFont="1" applyFill="1" applyAlignment="1" applyProtection="1">
      <alignment horizontal="left" vertical="center"/>
      <protection hidden="1"/>
    </xf>
    <xf numFmtId="0" fontId="23" fillId="3" borderId="0" xfId="0" applyFont="1" applyFill="1" applyAlignment="1" applyProtection="1">
      <alignment horizontal="left" vertical="center"/>
      <protection hidden="1"/>
    </xf>
    <xf numFmtId="0" fontId="25" fillId="3" borderId="0" xfId="0" applyFont="1" applyFill="1" applyProtection="1">
      <alignment vertical="center"/>
      <protection hidden="1"/>
    </xf>
    <xf numFmtId="0" fontId="24" fillId="3" borderId="0" xfId="0" applyFont="1" applyFill="1" applyProtection="1">
      <alignment vertical="center"/>
      <protection hidden="1"/>
    </xf>
    <xf numFmtId="0" fontId="28" fillId="2" borderId="0" xfId="0" applyFont="1" applyFill="1" applyProtection="1">
      <alignment vertical="center"/>
      <protection locked="0"/>
    </xf>
    <xf numFmtId="0" fontId="29" fillId="3" borderId="0" xfId="0" applyFont="1" applyFill="1" applyProtection="1">
      <alignment vertical="center"/>
      <protection hidden="1"/>
    </xf>
    <xf numFmtId="0" fontId="31" fillId="2" borderId="0" xfId="0" applyFont="1" applyFill="1" applyBorder="1" applyAlignment="1" applyProtection="1">
      <alignment vertical="center" wrapText="1"/>
      <protection locked="0"/>
    </xf>
    <xf numFmtId="0" fontId="13" fillId="2" borderId="0" xfId="0" applyFont="1" applyFill="1" applyBorder="1" applyAlignment="1" applyProtection="1">
      <alignment horizontal="center" vertical="center"/>
      <protection locked="0"/>
    </xf>
    <xf numFmtId="0" fontId="23" fillId="3" borderId="64" xfId="0" applyFont="1" applyFill="1" applyBorder="1" applyProtection="1">
      <alignment vertical="center"/>
      <protection hidden="1"/>
    </xf>
    <xf numFmtId="0" fontId="23" fillId="0" borderId="64" xfId="0" applyFont="1" applyFill="1" applyBorder="1" applyProtection="1">
      <alignment vertical="center"/>
      <protection locked="0"/>
    </xf>
    <xf numFmtId="0" fontId="25" fillId="3" borderId="64" xfId="0" applyFont="1" applyFill="1" applyBorder="1" applyProtection="1">
      <alignment vertical="center"/>
      <protection hidden="1"/>
    </xf>
    <xf numFmtId="0" fontId="25" fillId="3" borderId="64" xfId="0" applyFont="1" applyFill="1" applyBorder="1" applyAlignment="1" applyProtection="1">
      <alignment horizontal="center" vertical="center"/>
      <protection hidden="1"/>
    </xf>
    <xf numFmtId="1" fontId="23" fillId="3" borderId="64" xfId="0" applyNumberFormat="1" applyFont="1" applyFill="1" applyBorder="1" applyAlignment="1" applyProtection="1">
      <alignment horizontal="left" vertical="center"/>
      <protection hidden="1"/>
    </xf>
    <xf numFmtId="0" fontId="7" fillId="2" borderId="0" xfId="0" applyFont="1" applyFill="1" applyBorder="1" applyAlignment="1" applyProtection="1">
      <alignment vertical="center" wrapText="1"/>
      <protection locked="0"/>
    </xf>
    <xf numFmtId="0" fontId="15" fillId="2" borderId="0" xfId="0" applyFont="1" applyFill="1" applyBorder="1" applyAlignment="1" applyProtection="1">
      <alignment vertical="center" wrapText="1"/>
      <protection locked="0"/>
    </xf>
    <xf numFmtId="0" fontId="32" fillId="2" borderId="0" xfId="0" applyFont="1" applyFill="1" applyAlignment="1" applyProtection="1">
      <alignment vertical="center" wrapText="1"/>
      <protection locked="0"/>
    </xf>
    <xf numFmtId="0" fontId="33" fillId="2" borderId="0" xfId="0" applyFont="1" applyFill="1" applyProtection="1">
      <alignment vertical="center"/>
      <protection locked="0"/>
    </xf>
    <xf numFmtId="0" fontId="7" fillId="2" borderId="0" xfId="0" applyFont="1" applyFill="1" applyProtection="1">
      <alignment vertical="center"/>
      <protection locked="0"/>
    </xf>
    <xf numFmtId="0" fontId="22" fillId="3" borderId="0" xfId="0" applyFont="1" applyFill="1" applyProtection="1">
      <alignment vertical="center"/>
      <protection hidden="1"/>
    </xf>
    <xf numFmtId="0" fontId="23" fillId="0" borderId="0" xfId="0" applyFont="1" applyFill="1" applyProtection="1">
      <alignment vertical="center"/>
      <protection hidden="1"/>
    </xf>
    <xf numFmtId="0" fontId="30" fillId="3" borderId="0" xfId="0" applyFont="1" applyFill="1" applyBorder="1" applyAlignment="1" applyProtection="1">
      <alignment horizontal="left" vertical="center"/>
      <protection hidden="1"/>
    </xf>
    <xf numFmtId="0" fontId="25" fillId="3" borderId="0" xfId="0" applyFont="1" applyFill="1" applyBorder="1" applyAlignment="1" applyProtection="1">
      <alignment horizontal="left" vertical="center"/>
      <protection hidden="1"/>
    </xf>
    <xf numFmtId="0" fontId="34" fillId="2" borderId="0" xfId="0" applyFont="1" applyFill="1" applyAlignment="1" applyProtection="1">
      <alignment vertical="center" wrapText="1"/>
      <protection locked="0"/>
    </xf>
    <xf numFmtId="0" fontId="36" fillId="3" borderId="0" xfId="0" applyFont="1" applyFill="1" applyProtection="1">
      <alignment vertical="center"/>
      <protection hidden="1"/>
    </xf>
    <xf numFmtId="0" fontId="25" fillId="3" borderId="0" xfId="0" applyFont="1" applyFill="1" applyBorder="1" applyProtection="1">
      <alignment vertical="center"/>
      <protection hidden="1"/>
    </xf>
    <xf numFmtId="0" fontId="23" fillId="3" borderId="0" xfId="0" applyFont="1" applyFill="1" applyBorder="1" applyProtection="1">
      <alignment vertical="center"/>
      <protection hidden="1"/>
    </xf>
    <xf numFmtId="0" fontId="1" fillId="2" borderId="0" xfId="0" applyFont="1" applyFill="1" applyProtection="1">
      <alignment vertical="center"/>
      <protection hidden="1"/>
    </xf>
    <xf numFmtId="0" fontId="13" fillId="2" borderId="65" xfId="0" applyFont="1" applyFill="1" applyBorder="1" applyProtection="1">
      <alignment vertical="center"/>
      <protection hidden="1"/>
    </xf>
    <xf numFmtId="0" fontId="37" fillId="0" borderId="1" xfId="0" applyFont="1" applyFill="1" applyBorder="1" applyAlignment="1" applyProtection="1">
      <alignment horizontal="center" vertical="center"/>
      <protection hidden="1"/>
    </xf>
    <xf numFmtId="0" fontId="25" fillId="3" borderId="67" xfId="0" applyFont="1" applyFill="1" applyBorder="1" applyAlignment="1" applyProtection="1">
      <alignment horizontal="center" vertical="center"/>
      <protection hidden="1"/>
    </xf>
    <xf numFmtId="0" fontId="13" fillId="4" borderId="1" xfId="0" applyFont="1" applyFill="1" applyBorder="1" applyAlignment="1" applyProtection="1">
      <alignment horizontal="center" vertical="center"/>
      <protection hidden="1"/>
    </xf>
    <xf numFmtId="0" fontId="13" fillId="4" borderId="1" xfId="0" applyFont="1" applyFill="1" applyBorder="1" applyAlignment="1" applyProtection="1">
      <alignment vertical="center" wrapText="1"/>
      <protection hidden="1"/>
    </xf>
    <xf numFmtId="0" fontId="6" fillId="4" borderId="1" xfId="0" applyFont="1" applyFill="1" applyBorder="1" applyAlignment="1" applyProtection="1">
      <alignment horizontal="center" vertical="center"/>
      <protection hidden="1"/>
    </xf>
    <xf numFmtId="0" fontId="6" fillId="4" borderId="21" xfId="0" applyFont="1" applyFill="1" applyBorder="1" applyAlignment="1" applyProtection="1">
      <alignment horizontal="center" vertical="center"/>
      <protection hidden="1"/>
    </xf>
    <xf numFmtId="0" fontId="38" fillId="3" borderId="0" xfId="0" applyFont="1" applyFill="1" applyBorder="1" applyAlignment="1" applyProtection="1">
      <alignment horizontal="center" vertical="center"/>
      <protection hidden="1"/>
    </xf>
    <xf numFmtId="0" fontId="6" fillId="0" borderId="1" xfId="0" applyFont="1" applyFill="1" applyBorder="1" applyAlignment="1" applyProtection="1">
      <alignment horizontal="center" vertical="center"/>
      <protection hidden="1"/>
    </xf>
    <xf numFmtId="0" fontId="13" fillId="0" borderId="1" xfId="0" applyFont="1" applyFill="1" applyBorder="1" applyAlignment="1" applyProtection="1">
      <alignment horizontal="left" vertical="center"/>
      <protection hidden="1"/>
    </xf>
    <xf numFmtId="0" fontId="1" fillId="2" borderId="0" xfId="0" applyFont="1" applyFill="1" applyBorder="1" applyAlignment="1" applyProtection="1">
      <alignment horizontal="center" vertical="center"/>
      <protection locked="0"/>
    </xf>
    <xf numFmtId="1" fontId="40" fillId="0" borderId="1" xfId="0" applyNumberFormat="1" applyFont="1" applyFill="1" applyBorder="1" applyAlignment="1" applyProtection="1">
      <alignment horizontal="left" vertical="center" shrinkToFit="1"/>
      <protection hidden="1"/>
    </xf>
    <xf numFmtId="0" fontId="6" fillId="0" borderId="21" xfId="0" applyFont="1" applyFill="1" applyBorder="1" applyAlignment="1" applyProtection="1">
      <alignment horizontal="left" vertical="center" shrinkToFit="1"/>
      <protection hidden="1"/>
    </xf>
    <xf numFmtId="0" fontId="7" fillId="2" borderId="0" xfId="0" applyFont="1" applyFill="1" applyBorder="1" applyAlignment="1" applyProtection="1">
      <alignment horizontal="center" vertical="center"/>
      <protection locked="0"/>
    </xf>
    <xf numFmtId="1" fontId="40" fillId="0" borderId="21" xfId="0" applyNumberFormat="1" applyFont="1" applyFill="1" applyBorder="1" applyAlignment="1" applyProtection="1">
      <alignment horizontal="left" vertical="center" shrinkToFit="1"/>
      <protection hidden="1"/>
    </xf>
    <xf numFmtId="0" fontId="38" fillId="3" borderId="72" xfId="0" applyFont="1" applyFill="1" applyBorder="1" applyAlignment="1" applyProtection="1">
      <alignment horizontal="center" vertical="center"/>
      <protection hidden="1"/>
    </xf>
    <xf numFmtId="0" fontId="13" fillId="0" borderId="0" xfId="0" applyFont="1" applyFill="1" applyProtection="1">
      <alignment vertical="center"/>
      <protection locked="0"/>
    </xf>
    <xf numFmtId="0" fontId="23" fillId="3" borderId="0" xfId="0" applyFont="1" applyFill="1" applyBorder="1" applyAlignment="1" applyProtection="1">
      <alignment horizontal="center" vertical="center"/>
      <protection hidden="1"/>
    </xf>
    <xf numFmtId="0" fontId="23" fillId="3" borderId="0" xfId="0" applyFont="1" applyFill="1" applyBorder="1" applyAlignment="1" applyProtection="1">
      <alignment horizontal="left" vertical="center"/>
      <protection hidden="1"/>
    </xf>
    <xf numFmtId="0" fontId="13" fillId="4" borderId="0" xfId="0" applyFont="1" applyFill="1" applyProtection="1">
      <alignment vertical="center"/>
      <protection locked="0"/>
    </xf>
    <xf numFmtId="0" fontId="32" fillId="2" borderId="0" xfId="0" applyFont="1" applyFill="1" applyBorder="1" applyProtection="1">
      <alignment vertical="center"/>
      <protection hidden="1"/>
    </xf>
    <xf numFmtId="0" fontId="13" fillId="2" borderId="0" xfId="0" applyFont="1" applyFill="1" applyProtection="1">
      <alignment vertical="center"/>
      <protection hidden="1"/>
    </xf>
    <xf numFmtId="0" fontId="13" fillId="2" borderId="0" xfId="0" applyFont="1" applyFill="1" applyBorder="1" applyAlignment="1" applyProtection="1">
      <alignment horizontal="center" vertical="center"/>
      <protection hidden="1"/>
    </xf>
    <xf numFmtId="0" fontId="13" fillId="2" borderId="0" xfId="0" applyFont="1" applyFill="1" applyBorder="1" applyProtection="1">
      <alignment vertical="center"/>
      <protection locked="0"/>
    </xf>
    <xf numFmtId="0" fontId="13" fillId="2" borderId="0" xfId="0" applyFont="1" applyFill="1" applyBorder="1" applyProtection="1">
      <alignment vertical="center"/>
      <protection hidden="1"/>
    </xf>
    <xf numFmtId="0" fontId="13" fillId="2" borderId="0" xfId="0" applyFont="1" applyFill="1" applyBorder="1" applyAlignment="1" applyProtection="1">
      <alignment horizontal="left" vertical="center"/>
      <protection hidden="1"/>
    </xf>
    <xf numFmtId="0" fontId="1" fillId="2" borderId="0" xfId="0" applyFont="1" applyFill="1" applyBorder="1" applyAlignment="1">
      <alignment horizontal="left" vertical="center"/>
    </xf>
    <xf numFmtId="0" fontId="6" fillId="0" borderId="0" xfId="0" applyFont="1" applyFill="1" applyProtection="1">
      <alignment vertical="center"/>
      <protection locked="0"/>
    </xf>
    <xf numFmtId="0" fontId="41" fillId="3" borderId="0" xfId="0" applyFont="1" applyFill="1" applyProtection="1">
      <alignment vertical="center"/>
      <protection hidden="1"/>
    </xf>
    <xf numFmtId="0" fontId="5" fillId="3" borderId="0" xfId="0" applyFont="1" applyFill="1" applyProtection="1">
      <alignment vertical="center"/>
      <protection hidden="1"/>
    </xf>
    <xf numFmtId="0" fontId="5" fillId="3" borderId="0" xfId="0" applyFont="1" applyFill="1" applyBorder="1" applyAlignment="1" applyProtection="1">
      <alignment horizontal="center" vertical="center"/>
      <protection hidden="1"/>
    </xf>
    <xf numFmtId="0" fontId="5" fillId="3" borderId="0" xfId="0" applyFont="1" applyFill="1" applyBorder="1" applyAlignment="1" applyProtection="1">
      <alignment horizontal="left" vertical="center" wrapText="1"/>
      <protection hidden="1"/>
    </xf>
    <xf numFmtId="0" fontId="6" fillId="4" borderId="0" xfId="0" applyFont="1" applyFill="1" applyProtection="1">
      <alignment vertical="center"/>
      <protection locked="0"/>
    </xf>
    <xf numFmtId="0" fontId="6" fillId="2" borderId="0" xfId="0" applyFont="1" applyFill="1" applyProtection="1">
      <alignment vertical="center"/>
      <protection hidden="1"/>
    </xf>
    <xf numFmtId="0" fontId="6" fillId="2" borderId="0" xfId="0" applyFont="1" applyFill="1" applyBorder="1" applyAlignment="1" applyProtection="1">
      <alignment horizontal="center" vertical="center"/>
      <protection hidden="1"/>
    </xf>
    <xf numFmtId="0" fontId="6" fillId="2" borderId="0" xfId="0" applyFont="1" applyFill="1" applyBorder="1" applyAlignment="1" applyProtection="1">
      <alignment horizontal="left" vertical="center"/>
      <protection hidden="1"/>
    </xf>
    <xf numFmtId="0" fontId="6" fillId="2" borderId="0" xfId="0" applyFont="1" applyFill="1" applyBorder="1" applyAlignment="1">
      <alignment horizontal="left" vertical="center"/>
    </xf>
    <xf numFmtId="0" fontId="6" fillId="2" borderId="0" xfId="0" applyFont="1" applyFill="1" applyBorder="1" applyProtection="1">
      <alignment vertical="center"/>
      <protection hidden="1"/>
    </xf>
    <xf numFmtId="0" fontId="42" fillId="3" borderId="0" xfId="0" applyFont="1" applyFill="1" applyProtection="1">
      <alignment vertical="center"/>
      <protection hidden="1"/>
    </xf>
    <xf numFmtId="0" fontId="29" fillId="0" borderId="16" xfId="0" applyFont="1" applyFill="1" applyBorder="1" applyAlignment="1" applyProtection="1">
      <alignment horizontal="center" vertical="center"/>
      <protection locked="0"/>
    </xf>
    <xf numFmtId="0" fontId="29" fillId="3" borderId="16" xfId="0" applyFont="1" applyFill="1" applyBorder="1" applyAlignment="1" applyProtection="1">
      <alignment horizontal="center" vertical="center"/>
      <protection hidden="1"/>
    </xf>
    <xf numFmtId="0" fontId="2" fillId="3" borderId="0" xfId="0" applyFont="1" applyFill="1" applyProtection="1">
      <alignment vertical="center"/>
      <protection hidden="1"/>
    </xf>
    <xf numFmtId="0" fontId="7" fillId="2" borderId="0" xfId="0" applyFont="1" applyFill="1" applyBorder="1" applyProtection="1">
      <alignment vertical="center"/>
      <protection locked="0"/>
    </xf>
    <xf numFmtId="0" fontId="29" fillId="3" borderId="78" xfId="0" applyFont="1" applyFill="1" applyBorder="1" applyProtection="1">
      <alignment vertical="center"/>
      <protection hidden="1"/>
    </xf>
    <xf numFmtId="0" fontId="29" fillId="3" borderId="76" xfId="0" applyFont="1" applyFill="1" applyBorder="1" applyProtection="1">
      <alignment vertical="center"/>
      <protection hidden="1"/>
    </xf>
    <xf numFmtId="0" fontId="25" fillId="3" borderId="76" xfId="0" applyFont="1" applyFill="1" applyBorder="1" applyProtection="1">
      <alignment vertical="center"/>
      <protection hidden="1"/>
    </xf>
    <xf numFmtId="0" fontId="25" fillId="3" borderId="79" xfId="0" applyFont="1" applyFill="1" applyBorder="1" applyProtection="1">
      <alignment vertical="center"/>
      <protection hidden="1"/>
    </xf>
    <xf numFmtId="0" fontId="25" fillId="3" borderId="80" xfId="0" applyFont="1" applyFill="1" applyBorder="1" applyProtection="1">
      <alignment vertical="center"/>
      <protection hidden="1"/>
    </xf>
    <xf numFmtId="0" fontId="22" fillId="3" borderId="0" xfId="0" applyFont="1" applyFill="1" applyAlignment="1" applyProtection="1">
      <alignment horizontal="center" vertical="center"/>
      <protection hidden="1"/>
    </xf>
    <xf numFmtId="0" fontId="2" fillId="3" borderId="61" xfId="0" applyFont="1" applyFill="1" applyBorder="1" applyAlignment="1" applyProtection="1">
      <alignment horizontal="center" vertical="center"/>
      <protection hidden="1"/>
    </xf>
    <xf numFmtId="1" fontId="25" fillId="3" borderId="61" xfId="0" applyNumberFormat="1" applyFont="1" applyFill="1" applyBorder="1" applyAlignment="1" applyProtection="1">
      <alignment horizontal="center" vertical="center" shrinkToFit="1"/>
      <protection hidden="1"/>
    </xf>
    <xf numFmtId="0" fontId="2" fillId="3" borderId="0" xfId="0" applyFont="1" applyFill="1" applyBorder="1" applyAlignment="1" applyProtection="1">
      <alignment vertical="center" shrinkToFit="1"/>
      <protection hidden="1"/>
    </xf>
    <xf numFmtId="0" fontId="2" fillId="4" borderId="0" xfId="0" applyFont="1" applyFill="1" applyBorder="1" applyAlignment="1" applyProtection="1">
      <alignment vertical="center" shrinkToFit="1"/>
      <protection hidden="1"/>
    </xf>
    <xf numFmtId="0" fontId="2" fillId="3" borderId="36" xfId="0" applyFont="1" applyFill="1" applyBorder="1" applyAlignment="1" applyProtection="1">
      <alignment horizontal="center" vertical="center"/>
      <protection hidden="1"/>
    </xf>
    <xf numFmtId="1" fontId="25" fillId="3" borderId="36" xfId="0" applyNumberFormat="1" applyFont="1" applyFill="1" applyBorder="1" applyAlignment="1" applyProtection="1">
      <alignment horizontal="center" vertical="center" shrinkToFit="1"/>
      <protection hidden="1"/>
    </xf>
    <xf numFmtId="0" fontId="2" fillId="3" borderId="0" xfId="0" quotePrefix="1" applyNumberFormat="1" applyFont="1" applyFill="1" applyBorder="1" applyProtection="1">
      <alignment vertical="center"/>
      <protection hidden="1"/>
    </xf>
    <xf numFmtId="0" fontId="2" fillId="3" borderId="63" xfId="0" applyFont="1" applyFill="1" applyBorder="1" applyAlignment="1" applyProtection="1">
      <alignment horizontal="center" vertical="center"/>
      <protection hidden="1"/>
    </xf>
    <xf numFmtId="1" fontId="25" fillId="3" borderId="63" xfId="0" applyNumberFormat="1" applyFont="1" applyFill="1" applyBorder="1" applyAlignment="1" applyProtection="1">
      <alignment horizontal="center" vertical="center" shrinkToFit="1"/>
      <protection hidden="1"/>
    </xf>
    <xf numFmtId="0" fontId="29" fillId="3" borderId="7" xfId="0" applyFont="1" applyFill="1" applyBorder="1" applyProtection="1">
      <alignment vertical="center"/>
      <protection hidden="1"/>
    </xf>
    <xf numFmtId="0" fontId="29" fillId="3" borderId="12" xfId="0" applyFont="1" applyFill="1" applyBorder="1" applyProtection="1">
      <alignment vertical="center"/>
      <protection hidden="1"/>
    </xf>
    <xf numFmtId="0" fontId="25" fillId="3" borderId="12" xfId="0" applyFont="1" applyFill="1" applyBorder="1" applyProtection="1">
      <alignment vertical="center"/>
      <protection hidden="1"/>
    </xf>
    <xf numFmtId="0" fontId="44" fillId="3" borderId="0" xfId="0" applyFont="1" applyFill="1" applyBorder="1" applyProtection="1">
      <alignment vertical="center"/>
      <protection hidden="1"/>
    </xf>
    <xf numFmtId="0" fontId="44" fillId="3" borderId="69" xfId="0" applyFont="1" applyFill="1" applyBorder="1" applyProtection="1">
      <alignment vertical="center"/>
      <protection hidden="1"/>
    </xf>
    <xf numFmtId="1" fontId="25" fillId="3" borderId="36" xfId="0" applyNumberFormat="1" applyFont="1" applyFill="1" applyBorder="1" applyAlignment="1" applyProtection="1">
      <alignment horizontal="center" vertical="center"/>
      <protection hidden="1"/>
    </xf>
    <xf numFmtId="1" fontId="25" fillId="3" borderId="63" xfId="0" applyNumberFormat="1" applyFont="1" applyFill="1" applyBorder="1" applyAlignment="1" applyProtection="1">
      <alignment horizontal="center" vertical="center"/>
      <protection hidden="1"/>
    </xf>
    <xf numFmtId="1" fontId="25" fillId="3" borderId="61" xfId="0" applyNumberFormat="1" applyFont="1" applyFill="1" applyBorder="1" applyAlignment="1" applyProtection="1">
      <alignment horizontal="center" vertical="center"/>
      <protection hidden="1"/>
    </xf>
    <xf numFmtId="0" fontId="2" fillId="3" borderId="59" xfId="0" applyFont="1" applyFill="1" applyBorder="1" applyAlignment="1" applyProtection="1">
      <alignment horizontal="center" vertical="center"/>
      <protection hidden="1"/>
    </xf>
    <xf numFmtId="1" fontId="25" fillId="3" borderId="59" xfId="0" applyNumberFormat="1" applyFont="1" applyFill="1" applyBorder="1" applyAlignment="1" applyProtection="1">
      <alignment horizontal="center" vertical="center"/>
      <protection hidden="1"/>
    </xf>
    <xf numFmtId="0" fontId="45" fillId="3" borderId="0" xfId="0" applyFont="1" applyFill="1" applyBorder="1" applyProtection="1">
      <alignment vertical="center"/>
      <protection hidden="1"/>
    </xf>
    <xf numFmtId="0" fontId="46" fillId="3" borderId="0" xfId="0" applyFont="1" applyFill="1" applyBorder="1" applyAlignment="1" applyProtection="1">
      <alignment horizontal="center" vertical="center"/>
      <protection hidden="1"/>
    </xf>
    <xf numFmtId="1" fontId="25" fillId="3" borderId="0" xfId="0" applyNumberFormat="1" applyFont="1" applyFill="1" applyBorder="1" applyAlignment="1" applyProtection="1">
      <alignment horizontal="center" vertical="center"/>
      <protection hidden="1"/>
    </xf>
    <xf numFmtId="0" fontId="25" fillId="3" borderId="0" xfId="0" quotePrefix="1" applyNumberFormat="1" applyFont="1" applyFill="1" applyBorder="1" applyAlignment="1" applyProtection="1">
      <alignment horizontal="center" vertical="center" shrinkToFit="1"/>
      <protection hidden="1"/>
    </xf>
    <xf numFmtId="0" fontId="36" fillId="0" borderId="0" xfId="0" applyFont="1" applyFill="1" applyProtection="1">
      <alignment vertical="center"/>
      <protection locked="0"/>
    </xf>
    <xf numFmtId="0" fontId="36" fillId="3" borderId="0" xfId="0" applyFont="1" applyFill="1" applyBorder="1" applyAlignment="1" applyProtection="1">
      <alignment horizontal="left" vertical="center"/>
      <protection hidden="1"/>
    </xf>
    <xf numFmtId="0" fontId="47" fillId="3" borderId="0" xfId="0" applyFont="1" applyFill="1" applyBorder="1" applyAlignment="1" applyProtection="1">
      <alignment horizontal="center" vertical="center"/>
      <protection hidden="1"/>
    </xf>
    <xf numFmtId="1" fontId="48" fillId="3" borderId="0" xfId="0" applyNumberFormat="1" applyFont="1" applyFill="1" applyBorder="1" applyAlignment="1" applyProtection="1">
      <alignment horizontal="center" vertical="center"/>
      <protection hidden="1"/>
    </xf>
    <xf numFmtId="0" fontId="48" fillId="3" borderId="0" xfId="0" quotePrefix="1" applyNumberFormat="1" applyFont="1" applyFill="1" applyBorder="1" applyAlignment="1" applyProtection="1">
      <alignment horizontal="center" vertical="center" shrinkToFit="1"/>
      <protection hidden="1"/>
    </xf>
    <xf numFmtId="0" fontId="13" fillId="0" borderId="1" xfId="0" applyFont="1" applyFill="1" applyBorder="1" applyAlignment="1" applyProtection="1">
      <alignment horizontal="center" vertical="center"/>
      <protection hidden="1"/>
    </xf>
    <xf numFmtId="0" fontId="44" fillId="3" borderId="16" xfId="0" applyFont="1" applyFill="1" applyBorder="1" applyAlignment="1" applyProtection="1">
      <alignment horizontal="center" vertical="center"/>
      <protection hidden="1"/>
    </xf>
    <xf numFmtId="0" fontId="29" fillId="3" borderId="88" xfId="0" applyFont="1" applyFill="1" applyBorder="1" applyProtection="1">
      <alignment vertical="center"/>
      <protection hidden="1"/>
    </xf>
    <xf numFmtId="0" fontId="29" fillId="3" borderId="79" xfId="0" applyFont="1" applyFill="1" applyBorder="1" applyProtection="1">
      <alignment vertical="center"/>
      <protection hidden="1"/>
    </xf>
    <xf numFmtId="0" fontId="39" fillId="3" borderId="0" xfId="0" applyFont="1" applyFill="1" applyBorder="1" applyAlignment="1" applyProtection="1">
      <alignment vertical="center" shrinkToFit="1"/>
      <protection hidden="1"/>
    </xf>
    <xf numFmtId="0" fontId="49" fillId="2" borderId="0" xfId="0" applyFont="1" applyFill="1" applyBorder="1" applyAlignment="1" applyProtection="1">
      <alignment vertical="center" shrinkToFit="1"/>
      <protection hidden="1"/>
    </xf>
    <xf numFmtId="0" fontId="29" fillId="3" borderId="68" xfId="0" applyFont="1" applyFill="1" applyBorder="1" applyProtection="1">
      <alignment vertical="center"/>
      <protection hidden="1"/>
    </xf>
    <xf numFmtId="0" fontId="29" fillId="3" borderId="0" xfId="0" applyFont="1" applyFill="1" applyBorder="1" applyProtection="1">
      <alignment vertical="center"/>
      <protection hidden="1"/>
    </xf>
    <xf numFmtId="0" fontId="24" fillId="0" borderId="0" xfId="0" applyFont="1" applyFill="1" applyBorder="1" applyProtection="1">
      <alignment vertical="center"/>
      <protection locked="0"/>
    </xf>
    <xf numFmtId="0" fontId="24" fillId="0" borderId="69" xfId="0" applyFont="1" applyFill="1" applyBorder="1" applyProtection="1">
      <alignment vertical="center"/>
      <protection locked="0"/>
    </xf>
    <xf numFmtId="0" fontId="6" fillId="0" borderId="1" xfId="0" applyFont="1" applyFill="1" applyBorder="1" applyAlignment="1" applyProtection="1">
      <alignment horizontal="left" vertical="center" wrapText="1"/>
      <protection hidden="1"/>
    </xf>
    <xf numFmtId="1" fontId="25" fillId="3" borderId="28" xfId="0" applyNumberFormat="1" applyFont="1" applyFill="1" applyBorder="1" applyAlignment="1" applyProtection="1">
      <alignment horizontal="center" vertical="center"/>
      <protection hidden="1"/>
    </xf>
    <xf numFmtId="0" fontId="6" fillId="0" borderId="1" xfId="0" applyFont="1" applyFill="1" applyBorder="1" applyAlignment="1" applyProtection="1">
      <alignment vertical="center" wrapText="1"/>
      <protection hidden="1"/>
    </xf>
    <xf numFmtId="0" fontId="6" fillId="2" borderId="0" xfId="0" applyFont="1" applyFill="1" applyBorder="1" applyAlignment="1" applyProtection="1">
      <alignment vertical="center" wrapText="1"/>
      <protection hidden="1"/>
    </xf>
    <xf numFmtId="1" fontId="40" fillId="2" borderId="0" xfId="0" applyNumberFormat="1" applyFont="1" applyFill="1" applyBorder="1" applyAlignment="1" applyProtection="1">
      <alignment horizontal="left" vertical="center" shrinkToFit="1"/>
      <protection hidden="1"/>
    </xf>
    <xf numFmtId="0" fontId="6" fillId="2" borderId="0" xfId="0" applyFont="1" applyFill="1" applyBorder="1" applyAlignment="1" applyProtection="1">
      <alignment horizontal="left" vertical="center" shrinkToFit="1"/>
      <protection hidden="1"/>
    </xf>
    <xf numFmtId="0" fontId="22" fillId="3" borderId="0" xfId="0" applyFont="1" applyFill="1" applyBorder="1" applyProtection="1">
      <alignment vertical="center"/>
      <protection hidden="1"/>
    </xf>
    <xf numFmtId="0" fontId="5" fillId="3" borderId="0" xfId="0" applyFont="1" applyFill="1" applyBorder="1" applyAlignment="1" applyProtection="1">
      <alignment horizontal="left" vertical="center"/>
      <protection hidden="1"/>
    </xf>
    <xf numFmtId="0" fontId="50" fillId="3" borderId="0" xfId="0" applyFont="1" applyFill="1" applyBorder="1" applyAlignment="1" applyProtection="1">
      <alignment horizontal="center" vertical="center"/>
      <protection hidden="1"/>
    </xf>
    <xf numFmtId="1" fontId="51" fillId="3" borderId="0" xfId="0" applyNumberFormat="1" applyFont="1" applyFill="1" applyBorder="1" applyAlignment="1" applyProtection="1">
      <alignment horizontal="center" vertical="center"/>
      <protection hidden="1"/>
    </xf>
    <xf numFmtId="0" fontId="51" fillId="3" borderId="0" xfId="0" quotePrefix="1" applyNumberFormat="1" applyFont="1" applyFill="1" applyBorder="1" applyAlignment="1" applyProtection="1">
      <alignment horizontal="center" vertical="center" shrinkToFit="1"/>
      <protection hidden="1"/>
    </xf>
    <xf numFmtId="0" fontId="29" fillId="3" borderId="0" xfId="0" applyFont="1" applyFill="1" applyBorder="1" applyAlignment="1" applyProtection="1">
      <alignment horizontal="left" vertical="center"/>
      <protection hidden="1"/>
    </xf>
    <xf numFmtId="0" fontId="5" fillId="3" borderId="0" xfId="0" quotePrefix="1" applyNumberFormat="1" applyFont="1" applyFill="1" applyBorder="1" applyAlignment="1" applyProtection="1">
      <alignment horizontal="center" vertical="center" shrinkToFit="1"/>
      <protection hidden="1"/>
    </xf>
    <xf numFmtId="0" fontId="23" fillId="0" borderId="0" xfId="0" applyFont="1" applyFill="1" applyBorder="1" applyProtection="1">
      <alignment vertical="center"/>
      <protection locked="0"/>
    </xf>
    <xf numFmtId="0" fontId="2" fillId="3" borderId="16" xfId="0" applyFont="1" applyFill="1" applyBorder="1" applyAlignment="1" applyProtection="1">
      <alignment horizontal="center" vertical="center"/>
      <protection hidden="1"/>
    </xf>
    <xf numFmtId="0" fontId="2" fillId="3" borderId="16" xfId="0" quotePrefix="1" applyNumberFormat="1" applyFont="1" applyFill="1" applyBorder="1" applyAlignment="1" applyProtection="1">
      <alignment horizontal="center" vertical="center" shrinkToFit="1"/>
      <protection hidden="1"/>
    </xf>
    <xf numFmtId="0" fontId="2" fillId="3" borderId="46" xfId="0" applyFont="1" applyFill="1" applyBorder="1" applyAlignment="1" applyProtection="1">
      <alignment horizontal="center" vertical="center"/>
      <protection hidden="1"/>
    </xf>
    <xf numFmtId="0" fontId="6" fillId="2" borderId="0" xfId="0" applyFont="1" applyFill="1" applyBorder="1" applyAlignment="1" applyProtection="1">
      <alignment horizontal="left" vertical="center" wrapText="1"/>
      <protection hidden="1"/>
    </xf>
    <xf numFmtId="0" fontId="23" fillId="3" borderId="0" xfId="0" applyFont="1" applyFill="1" applyBorder="1" applyAlignment="1" applyProtection="1">
      <alignment vertical="center" wrapText="1"/>
      <protection hidden="1"/>
    </xf>
    <xf numFmtId="0" fontId="29" fillId="3" borderId="16" xfId="0" applyFont="1" applyFill="1" applyBorder="1" applyAlignment="1" applyProtection="1">
      <alignment horizontal="center" vertical="center"/>
      <protection hidden="1"/>
    </xf>
    <xf numFmtId="0" fontId="29" fillId="3" borderId="16" xfId="0" applyFont="1" applyFill="1" applyBorder="1" applyAlignment="1" applyProtection="1">
      <alignment horizontal="center" vertical="center" wrapText="1"/>
      <protection hidden="1"/>
    </xf>
    <xf numFmtId="0" fontId="2" fillId="3" borderId="28" xfId="0" applyFont="1" applyFill="1" applyBorder="1" applyAlignment="1" applyProtection="1">
      <alignment horizontal="center" vertical="center"/>
      <protection hidden="1"/>
    </xf>
    <xf numFmtId="0" fontId="52" fillId="0" borderId="21" xfId="0" applyFont="1" applyFill="1" applyBorder="1" applyAlignment="1" applyProtection="1">
      <alignment horizontal="left" vertical="center"/>
      <protection hidden="1"/>
    </xf>
    <xf numFmtId="0" fontId="29" fillId="3" borderId="36" xfId="0" applyFont="1" applyFill="1" applyBorder="1" applyAlignment="1" applyProtection="1">
      <alignment horizontal="center" vertical="center"/>
      <protection hidden="1"/>
    </xf>
    <xf numFmtId="0" fontId="29" fillId="3" borderId="63" xfId="0" applyFont="1" applyFill="1" applyBorder="1" applyAlignment="1" applyProtection="1">
      <alignment horizontal="center" vertical="center"/>
      <protection hidden="1"/>
    </xf>
    <xf numFmtId="0" fontId="13" fillId="0" borderId="21" xfId="0" quotePrefix="1" applyFont="1" applyFill="1" applyBorder="1" applyAlignment="1" applyProtection="1">
      <alignment vertical="center" shrinkToFit="1"/>
      <protection hidden="1"/>
    </xf>
    <xf numFmtId="0" fontId="2" fillId="3" borderId="12" xfId="0" applyFont="1" applyFill="1" applyBorder="1" applyAlignment="1" applyProtection="1">
      <alignment horizontal="left" vertical="center"/>
      <protection hidden="1"/>
    </xf>
    <xf numFmtId="0" fontId="25" fillId="3" borderId="12" xfId="0" applyFont="1" applyFill="1" applyBorder="1" applyAlignment="1" applyProtection="1">
      <alignment horizontal="center" vertical="center"/>
      <protection hidden="1"/>
    </xf>
    <xf numFmtId="0" fontId="53" fillId="3" borderId="12" xfId="0" applyFont="1" applyFill="1" applyBorder="1" applyAlignment="1" applyProtection="1">
      <alignment horizontal="center" vertical="center"/>
      <protection hidden="1"/>
    </xf>
    <xf numFmtId="0" fontId="2" fillId="3" borderId="11" xfId="0" applyFont="1" applyFill="1" applyBorder="1" applyAlignment="1" applyProtection="1">
      <alignment horizontal="left" vertical="center"/>
      <protection hidden="1"/>
    </xf>
    <xf numFmtId="0" fontId="39" fillId="3" borderId="0" xfId="0" applyFont="1" applyFill="1" applyBorder="1" applyAlignment="1" applyProtection="1">
      <alignment horizontal="center" vertical="center"/>
      <protection hidden="1"/>
    </xf>
    <xf numFmtId="0" fontId="39" fillId="3" borderId="68" xfId="0" applyFont="1" applyFill="1" applyBorder="1" applyAlignment="1" applyProtection="1">
      <alignment horizontal="center" vertical="top" wrapText="1"/>
      <protection hidden="1"/>
    </xf>
    <xf numFmtId="0" fontId="45" fillId="3" borderId="0" xfId="0" applyFont="1" applyFill="1" applyProtection="1">
      <alignment vertical="center"/>
      <protection hidden="1"/>
    </xf>
    <xf numFmtId="0" fontId="24" fillId="3" borderId="0" xfId="0" applyFont="1" applyFill="1" applyBorder="1" applyAlignment="1" applyProtection="1">
      <alignment vertical="center" wrapText="1"/>
      <protection hidden="1"/>
    </xf>
    <xf numFmtId="0" fontId="2" fillId="3" borderId="0" xfId="0" applyFont="1" applyFill="1" applyAlignment="1" applyProtection="1">
      <alignment horizontal="left" vertical="center"/>
      <protection hidden="1"/>
    </xf>
    <xf numFmtId="0" fontId="2" fillId="3" borderId="0" xfId="0" applyFont="1" applyFill="1" applyAlignment="1" applyProtection="1">
      <alignment horizontal="left" vertical="center"/>
      <protection locked="0"/>
    </xf>
    <xf numFmtId="0" fontId="23" fillId="3" borderId="0" xfId="0" applyFont="1" applyFill="1" applyAlignment="1" applyProtection="1">
      <alignment horizontal="center" vertical="center"/>
      <protection hidden="1"/>
    </xf>
    <xf numFmtId="0" fontId="54" fillId="3" borderId="0" xfId="0" applyFont="1" applyFill="1" applyAlignment="1" applyProtection="1">
      <alignment horizontal="left" vertical="center"/>
      <protection hidden="1"/>
    </xf>
    <xf numFmtId="49" fontId="55" fillId="3" borderId="0" xfId="0" applyNumberFormat="1" applyFont="1" applyFill="1" applyBorder="1" applyAlignment="1" applyProtection="1">
      <alignment horizontal="left" vertical="center"/>
      <protection hidden="1"/>
    </xf>
    <xf numFmtId="0" fontId="56" fillId="3" borderId="0" xfId="0" applyFont="1" applyFill="1" applyAlignment="1" applyProtection="1">
      <alignment horizontal="center" vertical="center"/>
      <protection hidden="1"/>
    </xf>
    <xf numFmtId="0" fontId="2" fillId="3" borderId="0" xfId="0" applyNumberFormat="1" applyFont="1" applyFill="1" applyAlignment="1" applyProtection="1">
      <alignment horizontal="left" vertical="center"/>
      <protection hidden="1"/>
    </xf>
    <xf numFmtId="0" fontId="17" fillId="0" borderId="0" xfId="0" applyFont="1" applyFill="1" applyAlignment="1" applyProtection="1">
      <alignment horizontal="left" vertical="center"/>
      <protection locked="0"/>
    </xf>
    <xf numFmtId="0" fontId="55" fillId="3" borderId="0" xfId="0" applyFont="1" applyFill="1" applyAlignment="1" applyProtection="1">
      <alignment horizontal="left" vertical="center"/>
      <protection hidden="1"/>
    </xf>
    <xf numFmtId="0" fontId="22" fillId="4" borderId="0" xfId="0" applyFont="1" applyFill="1" applyProtection="1">
      <alignment vertical="center"/>
      <protection locked="0"/>
    </xf>
    <xf numFmtId="0" fontId="23" fillId="4" borderId="0" xfId="0" applyFont="1" applyFill="1" applyProtection="1">
      <alignment vertical="center"/>
      <protection locked="0"/>
    </xf>
    <xf numFmtId="0" fontId="24" fillId="4" borderId="0" xfId="0" applyFont="1" applyFill="1" applyProtection="1">
      <alignment vertical="center"/>
      <protection locked="0"/>
    </xf>
    <xf numFmtId="0" fontId="18" fillId="2" borderId="0" xfId="0" applyFont="1" applyFill="1" applyProtection="1">
      <alignment vertical="center"/>
      <protection hidden="1"/>
    </xf>
    <xf numFmtId="0" fontId="57" fillId="2" borderId="0" xfId="0" applyFont="1" applyFill="1" applyProtection="1">
      <alignment vertical="center"/>
      <protection hidden="1"/>
    </xf>
    <xf numFmtId="0" fontId="58" fillId="2" borderId="0" xfId="0" applyFont="1" applyFill="1">
      <alignment vertical="center"/>
    </xf>
    <xf numFmtId="0" fontId="59" fillId="2" borderId="0" xfId="0" applyFont="1" applyFill="1">
      <alignment vertical="center"/>
    </xf>
    <xf numFmtId="0" fontId="58" fillId="2" borderId="3" xfId="0" applyFont="1" applyFill="1" applyBorder="1" applyAlignment="1">
      <alignment horizontal="center" vertical="center"/>
    </xf>
    <xf numFmtId="0" fontId="60" fillId="2" borderId="0" xfId="0" applyFont="1" applyFill="1">
      <alignment vertical="center"/>
    </xf>
    <xf numFmtId="0" fontId="61" fillId="2" borderId="0" xfId="0" applyFont="1" applyFill="1" applyAlignment="1">
      <alignment horizontal="center" vertical="center"/>
    </xf>
    <xf numFmtId="0" fontId="5" fillId="0" borderId="0" xfId="0" applyFont="1" applyFill="1" applyProtection="1">
      <alignment vertical="center"/>
      <protection locked="0"/>
    </xf>
    <xf numFmtId="0" fontId="2" fillId="0" borderId="0" xfId="0" applyFont="1" applyFill="1" applyProtection="1">
      <alignment vertical="center"/>
      <protection locked="0"/>
    </xf>
    <xf numFmtId="0" fontId="2" fillId="3" borderId="0" xfId="0" applyFont="1" applyFill="1" applyAlignment="1" applyProtection="1">
      <alignment horizontal="right" vertical="center"/>
      <protection hidden="1"/>
    </xf>
    <xf numFmtId="0" fontId="5" fillId="0" borderId="0" xfId="0" applyFont="1" applyFill="1" applyProtection="1">
      <alignment vertical="center"/>
      <protection hidden="1"/>
    </xf>
    <xf numFmtId="0" fontId="2" fillId="3" borderId="0" xfId="0" applyFont="1" applyFill="1" applyBorder="1" applyProtection="1">
      <alignment vertical="center"/>
      <protection hidden="1"/>
    </xf>
    <xf numFmtId="0" fontId="25" fillId="3" borderId="0" xfId="0" applyFont="1" applyFill="1" applyBorder="1" applyAlignment="1" applyProtection="1">
      <alignment horizontal="center" vertical="center"/>
      <protection hidden="1"/>
    </xf>
    <xf numFmtId="1" fontId="2" fillId="3" borderId="0" xfId="0" applyNumberFormat="1" applyFont="1" applyFill="1" applyBorder="1" applyAlignment="1" applyProtection="1">
      <alignment horizontal="left" vertical="center"/>
      <protection hidden="1"/>
    </xf>
    <xf numFmtId="0" fontId="22" fillId="3" borderId="90" xfId="0" applyFont="1" applyFill="1" applyBorder="1" applyProtection="1">
      <alignment vertical="center"/>
      <protection hidden="1"/>
    </xf>
    <xf numFmtId="0" fontId="51" fillId="0" borderId="0" xfId="0" applyFont="1" applyFill="1" applyAlignment="1" applyProtection="1">
      <alignment horizontal="center" vertical="center"/>
      <protection hidden="1"/>
    </xf>
    <xf numFmtId="0" fontId="29" fillId="3" borderId="3" xfId="0" applyFont="1" applyFill="1" applyBorder="1" applyAlignment="1" applyProtection="1">
      <alignment horizontal="center" vertical="center"/>
      <protection hidden="1"/>
    </xf>
    <xf numFmtId="0" fontId="65" fillId="3" borderId="13" xfId="0" applyFont="1" applyFill="1" applyBorder="1" applyAlignment="1" applyProtection="1">
      <alignment horizontal="center" vertical="center"/>
      <protection hidden="1"/>
    </xf>
    <xf numFmtId="0" fontId="38" fillId="3" borderId="0" xfId="0" applyFont="1" applyFill="1" applyBorder="1" applyProtection="1">
      <alignment vertical="center"/>
      <protection hidden="1"/>
    </xf>
    <xf numFmtId="0" fontId="39" fillId="3" borderId="0" xfId="0" applyFont="1" applyFill="1" applyBorder="1" applyAlignment="1" applyProtection="1">
      <alignment vertical="center" wrapText="1"/>
      <protection hidden="1"/>
    </xf>
    <xf numFmtId="0" fontId="2" fillId="3" borderId="3" xfId="0" applyFont="1" applyFill="1" applyBorder="1" applyAlignment="1" applyProtection="1">
      <alignment horizontal="center" vertical="center"/>
      <protection hidden="1"/>
    </xf>
    <xf numFmtId="0" fontId="29" fillId="3" borderId="70" xfId="0" applyFont="1" applyFill="1" applyBorder="1" applyProtection="1">
      <alignment vertical="center"/>
      <protection hidden="1"/>
    </xf>
    <xf numFmtId="0" fontId="29" fillId="3" borderId="72" xfId="0" applyFont="1" applyFill="1" applyBorder="1" applyProtection="1">
      <alignment vertical="center"/>
      <protection hidden="1"/>
    </xf>
    <xf numFmtId="0" fontId="25" fillId="3" borderId="69" xfId="0" applyFont="1" applyFill="1" applyBorder="1" applyProtection="1">
      <alignment vertical="center"/>
      <protection hidden="1"/>
    </xf>
    <xf numFmtId="1" fontId="29" fillId="3" borderId="61" xfId="0" applyNumberFormat="1" applyFont="1" applyFill="1" applyBorder="1" applyAlignment="1" applyProtection="1">
      <alignment horizontal="center" vertical="center" shrinkToFit="1"/>
      <protection hidden="1"/>
    </xf>
    <xf numFmtId="1" fontId="2" fillId="3" borderId="61" xfId="0" applyNumberFormat="1" applyFont="1" applyFill="1" applyBorder="1" applyAlignment="1" applyProtection="1">
      <alignment horizontal="center" vertical="center" shrinkToFit="1"/>
      <protection hidden="1"/>
    </xf>
    <xf numFmtId="0" fontId="66" fillId="3" borderId="61" xfId="0" applyFont="1" applyFill="1" applyBorder="1" applyAlignment="1" applyProtection="1">
      <alignment horizontal="left" vertical="center" shrinkToFit="1"/>
      <protection hidden="1"/>
    </xf>
    <xf numFmtId="1" fontId="29" fillId="3" borderId="36" xfId="0" applyNumberFormat="1" applyFont="1" applyFill="1" applyBorder="1" applyAlignment="1" applyProtection="1">
      <alignment horizontal="center" vertical="center" shrinkToFit="1"/>
      <protection hidden="1"/>
    </xf>
    <xf numFmtId="1" fontId="2" fillId="3" borderId="36" xfId="0" applyNumberFormat="1" applyFont="1" applyFill="1" applyBorder="1" applyAlignment="1" applyProtection="1">
      <alignment horizontal="center" vertical="center" shrinkToFit="1"/>
      <protection hidden="1"/>
    </xf>
    <xf numFmtId="0" fontId="66" fillId="3" borderId="36" xfId="0" applyFont="1" applyFill="1" applyBorder="1" applyAlignment="1" applyProtection="1">
      <alignment horizontal="left" vertical="center" shrinkToFit="1"/>
      <protection hidden="1"/>
    </xf>
    <xf numFmtId="0" fontId="5" fillId="0" borderId="0" xfId="0" applyFont="1" applyFill="1" applyBorder="1" applyAlignment="1" applyProtection="1">
      <alignment vertical="center" shrinkToFit="1"/>
      <protection hidden="1"/>
    </xf>
    <xf numFmtId="0" fontId="5" fillId="0" borderId="0" xfId="0" quotePrefix="1" applyNumberFormat="1" applyFont="1" applyFill="1" applyBorder="1" applyProtection="1">
      <alignment vertical="center"/>
      <protection hidden="1"/>
    </xf>
    <xf numFmtId="1" fontId="29" fillId="3" borderId="63" xfId="0" applyNumberFormat="1" applyFont="1" applyFill="1" applyBorder="1" applyAlignment="1" applyProtection="1">
      <alignment horizontal="center" vertical="center" shrinkToFit="1"/>
      <protection hidden="1"/>
    </xf>
    <xf numFmtId="1" fontId="2" fillId="3" borderId="63" xfId="0" applyNumberFormat="1" applyFont="1" applyFill="1" applyBorder="1" applyAlignment="1" applyProtection="1">
      <alignment horizontal="center" vertical="center" shrinkToFit="1"/>
      <protection hidden="1"/>
    </xf>
    <xf numFmtId="0" fontId="66" fillId="3" borderId="63" xfId="0" applyFont="1" applyFill="1" applyBorder="1" applyAlignment="1" applyProtection="1">
      <alignment horizontal="left" vertical="center" shrinkToFit="1"/>
      <protection hidden="1"/>
    </xf>
    <xf numFmtId="0" fontId="2" fillId="3" borderId="12" xfId="0" applyFont="1" applyFill="1" applyBorder="1" applyProtection="1">
      <alignment vertical="center"/>
      <protection hidden="1"/>
    </xf>
    <xf numFmtId="0" fontId="29" fillId="3" borderId="69" xfId="0" applyFont="1" applyFill="1" applyBorder="1" applyAlignment="1" applyProtection="1">
      <alignment horizontal="left" vertical="center"/>
      <protection hidden="1"/>
    </xf>
    <xf numFmtId="1" fontId="29" fillId="3" borderId="36" xfId="0" applyNumberFormat="1" applyFont="1" applyFill="1" applyBorder="1" applyAlignment="1" applyProtection="1">
      <alignment horizontal="center" vertical="center"/>
      <protection hidden="1"/>
    </xf>
    <xf numFmtId="1" fontId="2" fillId="3" borderId="36" xfId="0" applyNumberFormat="1" applyFont="1" applyFill="1" applyBorder="1" applyAlignment="1" applyProtection="1">
      <alignment horizontal="center" vertical="center"/>
      <protection hidden="1"/>
    </xf>
    <xf numFmtId="1" fontId="29" fillId="3" borderId="63" xfId="0" applyNumberFormat="1" applyFont="1" applyFill="1" applyBorder="1" applyAlignment="1" applyProtection="1">
      <alignment horizontal="center" vertical="center"/>
      <protection hidden="1"/>
    </xf>
    <xf numFmtId="1" fontId="2" fillId="3" borderId="63" xfId="0" applyNumberFormat="1" applyFont="1" applyFill="1" applyBorder="1" applyAlignment="1" applyProtection="1">
      <alignment horizontal="center" vertical="center"/>
      <protection hidden="1"/>
    </xf>
    <xf numFmtId="1" fontId="29" fillId="3" borderId="61" xfId="0" applyNumberFormat="1" applyFont="1" applyFill="1" applyBorder="1" applyAlignment="1" applyProtection="1">
      <alignment horizontal="center" vertical="center"/>
      <protection hidden="1"/>
    </xf>
    <xf numFmtId="1" fontId="2" fillId="3" borderId="61" xfId="0" applyNumberFormat="1" applyFont="1" applyFill="1" applyBorder="1" applyAlignment="1" applyProtection="1">
      <alignment horizontal="center" vertical="center"/>
      <protection hidden="1"/>
    </xf>
    <xf numFmtId="1" fontId="29" fillId="3" borderId="59" xfId="0" applyNumberFormat="1" applyFont="1" applyFill="1" applyBorder="1" applyAlignment="1" applyProtection="1">
      <alignment horizontal="center" vertical="center"/>
      <protection hidden="1"/>
    </xf>
    <xf numFmtId="1" fontId="2" fillId="3" borderId="59" xfId="0" applyNumberFormat="1" applyFont="1" applyFill="1" applyBorder="1" applyAlignment="1" applyProtection="1">
      <alignment horizontal="center" vertical="center"/>
      <protection hidden="1"/>
    </xf>
    <xf numFmtId="1" fontId="29" fillId="3" borderId="28" xfId="0" applyNumberFormat="1" applyFont="1" applyFill="1" applyBorder="1" applyAlignment="1" applyProtection="1">
      <alignment horizontal="center" vertical="center"/>
      <protection hidden="1"/>
    </xf>
    <xf numFmtId="1" fontId="2" fillId="3" borderId="28" xfId="0" applyNumberFormat="1" applyFont="1" applyFill="1" applyBorder="1" applyAlignment="1" applyProtection="1">
      <alignment horizontal="center" vertical="center"/>
      <protection hidden="1"/>
    </xf>
    <xf numFmtId="0" fontId="29" fillId="3" borderId="16" xfId="0" applyFont="1" applyFill="1" applyBorder="1" applyAlignment="1" applyProtection="1">
      <alignment horizontal="center" vertical="center"/>
      <protection hidden="1"/>
    </xf>
    <xf numFmtId="0" fontId="44" fillId="3" borderId="16" xfId="0" applyFont="1" applyFill="1" applyBorder="1" applyAlignment="1" applyProtection="1">
      <alignment horizontal="center" vertical="center" wrapText="1"/>
      <protection hidden="1"/>
    </xf>
    <xf numFmtId="0" fontId="2" fillId="3" borderId="0" xfId="0" applyFont="1" applyFill="1" applyBorder="1" applyAlignment="1" applyProtection="1">
      <alignment horizontal="center" vertical="center"/>
      <protection hidden="1"/>
    </xf>
    <xf numFmtId="0" fontId="2" fillId="3" borderId="0" xfId="0" applyNumberFormat="1" applyFont="1" applyFill="1" applyBorder="1" applyAlignment="1" applyProtection="1">
      <alignment horizontal="left" vertical="center"/>
      <protection hidden="1"/>
    </xf>
    <xf numFmtId="0" fontId="43" fillId="3" borderId="0" xfId="0" applyNumberFormat="1" applyFont="1" applyFill="1" applyBorder="1" applyAlignment="1" applyProtection="1">
      <alignment horizontal="left" vertical="center"/>
      <protection hidden="1"/>
    </xf>
    <xf numFmtId="0" fontId="2" fillId="3" borderId="12" xfId="0" applyFont="1" applyFill="1" applyBorder="1" applyAlignment="1" applyProtection="1">
      <alignment horizontal="left" vertical="center"/>
      <protection hidden="1"/>
    </xf>
    <xf numFmtId="0" fontId="43" fillId="3" borderId="21" xfId="0" applyFont="1" applyFill="1" applyBorder="1" applyProtection="1">
      <alignment vertical="center"/>
      <protection hidden="1"/>
    </xf>
    <xf numFmtId="0" fontId="43" fillId="3" borderId="83" xfId="0" applyFont="1" applyFill="1" applyBorder="1" applyAlignment="1" applyProtection="1">
      <alignment horizontal="center" vertical="center"/>
      <protection hidden="1"/>
    </xf>
    <xf numFmtId="0" fontId="24" fillId="3" borderId="0" xfId="0" applyNumberFormat="1" applyFont="1" applyFill="1" applyAlignment="1" applyProtection="1">
      <alignment horizontal="left" vertical="center"/>
      <protection hidden="1"/>
    </xf>
    <xf numFmtId="0" fontId="2" fillId="3" borderId="0" xfId="0" applyFont="1" applyFill="1" applyAlignment="1" applyProtection="1">
      <alignment horizontal="center" vertical="center"/>
      <protection hidden="1"/>
    </xf>
    <xf numFmtId="0" fontId="55" fillId="3" borderId="0" xfId="0" applyFont="1" applyFill="1" applyAlignment="1" applyProtection="1">
      <alignment horizontal="center" vertical="center"/>
      <protection hidden="1"/>
    </xf>
    <xf numFmtId="0" fontId="59" fillId="2" borderId="0" xfId="0" applyFont="1" applyFill="1" applyAlignment="1" applyProtection="1">
      <protection hidden="1"/>
    </xf>
    <xf numFmtId="0" fontId="59" fillId="2" borderId="0" xfId="0" applyFont="1" applyFill="1" applyBorder="1" applyAlignment="1" applyProtection="1">
      <protection locked="0"/>
    </xf>
    <xf numFmtId="0" fontId="59" fillId="2" borderId="0" xfId="0" applyFont="1" applyFill="1" applyAlignment="1" applyProtection="1">
      <protection locked="0"/>
    </xf>
    <xf numFmtId="0" fontId="59" fillId="2" borderId="0" xfId="0" applyFont="1" applyFill="1" applyAlignment="1"/>
    <xf numFmtId="0" fontId="59" fillId="3" borderId="0" xfId="0" applyFont="1" applyFill="1" applyAlignment="1" applyProtection="1">
      <protection hidden="1"/>
    </xf>
    <xf numFmtId="0" fontId="67" fillId="3" borderId="0" xfId="0" applyFont="1" applyFill="1" applyAlignment="1" applyProtection="1">
      <protection hidden="1"/>
    </xf>
    <xf numFmtId="0" fontId="59" fillId="3" borderId="0" xfId="0" applyFont="1" applyFill="1" applyBorder="1" applyAlignment="1" applyProtection="1">
      <protection hidden="1"/>
    </xf>
    <xf numFmtId="0" fontId="59" fillId="3" borderId="0" xfId="0" applyFont="1" applyFill="1" applyBorder="1" applyAlignment="1" applyProtection="1">
      <alignment horizontal="left"/>
      <protection hidden="1"/>
    </xf>
    <xf numFmtId="0" fontId="69" fillId="3" borderId="0" xfId="0" applyFont="1" applyFill="1" applyBorder="1" applyProtection="1">
      <alignment vertical="center"/>
      <protection hidden="1"/>
    </xf>
    <xf numFmtId="0" fontId="70" fillId="3" borderId="0" xfId="0" applyFont="1" applyFill="1" applyBorder="1" applyAlignment="1" applyProtection="1">
      <protection hidden="1"/>
    </xf>
    <xf numFmtId="0" fontId="67" fillId="2" borderId="0" xfId="0" applyFont="1" applyFill="1" applyAlignment="1" applyProtection="1">
      <alignment horizontal="center" vertical="center"/>
      <protection hidden="1"/>
    </xf>
    <xf numFmtId="0" fontId="67" fillId="2" borderId="0" xfId="0" applyFont="1" applyFill="1" applyProtection="1">
      <alignment vertical="center"/>
      <protection hidden="1"/>
    </xf>
    <xf numFmtId="0" fontId="17" fillId="2" borderId="0" xfId="0" applyFont="1" applyFill="1" applyProtection="1">
      <alignment vertical="center"/>
      <protection locked="0"/>
    </xf>
    <xf numFmtId="0" fontId="17" fillId="2" borderId="0" xfId="0" applyFont="1" applyFill="1">
      <alignment vertical="center"/>
    </xf>
    <xf numFmtId="0" fontId="67" fillId="3" borderId="0" xfId="0" applyFont="1" applyFill="1" applyAlignment="1" applyProtection="1">
      <alignment horizontal="center" vertical="center"/>
      <protection hidden="1"/>
    </xf>
    <xf numFmtId="0" fontId="67" fillId="3" borderId="0" xfId="0" applyFont="1" applyFill="1" applyProtection="1">
      <alignment vertical="center"/>
      <protection hidden="1"/>
    </xf>
    <xf numFmtId="0" fontId="64" fillId="3" borderId="0" xfId="0" applyFont="1" applyFill="1" applyProtection="1">
      <alignment vertical="center"/>
      <protection hidden="1"/>
    </xf>
    <xf numFmtId="0" fontId="17" fillId="4" borderId="0" xfId="0" applyFont="1" applyFill="1" applyProtection="1">
      <alignment vertical="center"/>
      <protection locked="0"/>
    </xf>
    <xf numFmtId="0" fontId="67" fillId="3" borderId="0" xfId="0" applyFont="1" applyFill="1" applyAlignment="1" applyProtection="1">
      <alignment horizontal="right" vertical="center"/>
      <protection hidden="1"/>
    </xf>
    <xf numFmtId="0" fontId="71" fillId="3" borderId="0" xfId="0" applyFont="1" applyFill="1" applyAlignment="1" applyProtection="1">
      <alignment horizontal="center" vertical="center"/>
      <protection hidden="1"/>
    </xf>
    <xf numFmtId="0" fontId="72" fillId="3" borderId="0" xfId="0" applyFont="1" applyFill="1" applyAlignment="1" applyProtection="1">
      <alignment horizontal="left" vertical="center"/>
      <protection hidden="1"/>
    </xf>
    <xf numFmtId="0" fontId="73" fillId="2" borderId="0" xfId="0" applyFont="1" applyFill="1" applyAlignment="1" applyProtection="1">
      <alignment horizontal="center" vertical="top"/>
      <protection locked="0"/>
    </xf>
    <xf numFmtId="0" fontId="70" fillId="3" borderId="0" xfId="0" applyFont="1" applyFill="1" applyAlignment="1" applyProtection="1">
      <alignment horizontal="center" vertical="center"/>
      <protection locked="0"/>
    </xf>
    <xf numFmtId="0" fontId="70" fillId="3" borderId="0" xfId="0" applyFont="1" applyFill="1" applyProtection="1">
      <alignment vertical="center"/>
      <protection hidden="1"/>
    </xf>
    <xf numFmtId="0" fontId="70" fillId="3" borderId="0" xfId="0" applyFont="1" applyFill="1" applyAlignment="1" applyProtection="1">
      <alignment horizontal="center" vertical="center"/>
      <protection hidden="1"/>
    </xf>
    <xf numFmtId="0" fontId="74" fillId="3" borderId="0" xfId="0" applyFont="1" applyFill="1" applyAlignment="1" applyProtection="1">
      <alignment horizontal="center" vertical="center"/>
      <protection hidden="1"/>
    </xf>
    <xf numFmtId="0" fontId="1" fillId="2" borderId="0" xfId="0" applyFont="1" applyFill="1">
      <alignment vertical="center"/>
    </xf>
    <xf numFmtId="0" fontId="70" fillId="3" borderId="0" xfId="0" applyFont="1" applyFill="1" applyAlignment="1" applyProtection="1">
      <alignment horizontal="center" vertical="top"/>
      <protection hidden="1"/>
    </xf>
    <xf numFmtId="0" fontId="6" fillId="2" borderId="0" xfId="0" applyFont="1" applyFill="1">
      <alignment vertical="center"/>
    </xf>
    <xf numFmtId="0" fontId="75" fillId="3" borderId="0" xfId="0" applyFont="1" applyFill="1" applyAlignment="1" applyProtection="1">
      <alignment horizontal="left"/>
      <protection hidden="1"/>
    </xf>
    <xf numFmtId="0" fontId="76" fillId="3" borderId="0" xfId="0" applyFont="1" applyFill="1" applyProtection="1">
      <alignment vertical="center"/>
      <protection hidden="1"/>
    </xf>
    <xf numFmtId="0" fontId="76" fillId="3" borderId="0" xfId="0" applyFont="1" applyFill="1" applyAlignment="1" applyProtection="1">
      <alignment horizontal="left"/>
      <protection hidden="1"/>
    </xf>
    <xf numFmtId="0" fontId="67" fillId="4" borderId="0" xfId="0" applyFont="1" applyFill="1" applyAlignment="1" applyProtection="1">
      <alignment horizontal="center" vertical="center"/>
      <protection hidden="1"/>
    </xf>
    <xf numFmtId="0" fontId="67" fillId="4" borderId="0" xfId="0" applyFont="1" applyFill="1" applyProtection="1">
      <alignment vertical="center"/>
      <protection hidden="1"/>
    </xf>
    <xf numFmtId="0" fontId="77" fillId="0" borderId="0" xfId="0" applyFont="1" applyAlignment="1"/>
    <xf numFmtId="0" fontId="79" fillId="0" borderId="0" xfId="0" applyFont="1" applyAlignment="1"/>
    <xf numFmtId="0" fontId="59" fillId="0" borderId="0" xfId="0" applyFont="1" applyAlignment="1"/>
    <xf numFmtId="0" fontId="80" fillId="0" borderId="0" xfId="0" applyFont="1" applyAlignment="1"/>
    <xf numFmtId="0" fontId="81" fillId="0" borderId="0" xfId="0" applyFont="1" applyAlignment="1">
      <alignment horizontal="center" vertical="center"/>
    </xf>
    <xf numFmtId="0" fontId="81" fillId="0" borderId="0" xfId="0" applyFont="1" applyAlignment="1"/>
    <xf numFmtId="0" fontId="77" fillId="0" borderId="93" xfId="0" applyFont="1" applyBorder="1" applyAlignment="1">
      <alignment horizontal="center" vertical="center"/>
    </xf>
    <xf numFmtId="0" fontId="77" fillId="0" borderId="93" xfId="0" applyFont="1" applyBorder="1" applyAlignment="1">
      <alignment horizontal="center" vertical="center" wrapText="1"/>
    </xf>
    <xf numFmtId="0" fontId="77" fillId="0" borderId="94" xfId="0" applyFont="1" applyBorder="1" applyAlignment="1">
      <alignment horizontal="center"/>
    </xf>
    <xf numFmtId="0" fontId="77" fillId="0" borderId="24" xfId="0" applyFont="1" applyBorder="1" applyAlignment="1">
      <alignment horizontal="center" vertical="center"/>
    </xf>
    <xf numFmtId="0" fontId="82" fillId="0" borderId="24" xfId="0" applyFont="1" applyBorder="1" applyAlignment="1">
      <alignment horizontal="center"/>
    </xf>
    <xf numFmtId="0" fontId="77" fillId="0" borderId="24" xfId="0" applyFont="1" applyBorder="1" applyAlignment="1"/>
    <xf numFmtId="0" fontId="77" fillId="0" borderId="24" xfId="0" applyFont="1" applyBorder="1" applyAlignment="1">
      <alignment horizontal="center"/>
    </xf>
    <xf numFmtId="0" fontId="77" fillId="0" borderId="4" xfId="0" applyFont="1" applyBorder="1" applyAlignment="1">
      <alignment horizontal="center"/>
    </xf>
    <xf numFmtId="0" fontId="77" fillId="0" borderId="13" xfId="0" applyFont="1" applyBorder="1" applyAlignment="1">
      <alignment horizontal="center"/>
    </xf>
    <xf numFmtId="0" fontId="77" fillId="0" borderId="13" xfId="0" applyFont="1" applyBorder="1" applyAlignment="1"/>
    <xf numFmtId="0" fontId="77" fillId="0" borderId="0" xfId="0" applyFont="1">
      <alignment vertical="center"/>
    </xf>
    <xf numFmtId="0" fontId="70" fillId="0" borderId="0" xfId="0" applyFont="1" applyAlignment="1"/>
    <xf numFmtId="0" fontId="80" fillId="0" borderId="0" xfId="0" applyFont="1">
      <alignment vertical="center"/>
    </xf>
    <xf numFmtId="0" fontId="77" fillId="0" borderId="0" xfId="0" applyFont="1" applyAlignment="1">
      <alignment horizontal="left" vertical="center"/>
    </xf>
    <xf numFmtId="0" fontId="81" fillId="0" borderId="93" xfId="0" applyFont="1" applyBorder="1" applyAlignment="1">
      <alignment horizontal="center" vertical="center"/>
    </xf>
    <xf numFmtId="0" fontId="77" fillId="0" borderId="95" xfId="0" applyFont="1" applyBorder="1">
      <alignment vertical="center"/>
    </xf>
    <xf numFmtId="0" fontId="77" fillId="0" borderId="68" xfId="0" applyFont="1" applyBorder="1">
      <alignment vertical="center"/>
    </xf>
    <xf numFmtId="0" fontId="80" fillId="0" borderId="24" xfId="0" applyFont="1" applyBorder="1" applyAlignment="1">
      <alignment horizontal="center" vertical="top"/>
    </xf>
    <xf numFmtId="0" fontId="77" fillId="0" borderId="13" xfId="0" applyFont="1" applyBorder="1" applyAlignment="1">
      <alignment horizontal="center" vertical="center"/>
    </xf>
    <xf numFmtId="0" fontId="77" fillId="0" borderId="70" xfId="0" applyFont="1" applyBorder="1">
      <alignment vertical="center"/>
    </xf>
    <xf numFmtId="0" fontId="70" fillId="0" borderId="13" xfId="0" applyFont="1" applyBorder="1" applyAlignment="1"/>
    <xf numFmtId="0" fontId="77" fillId="0" borderId="89" xfId="0" applyFont="1" applyBorder="1">
      <alignment vertical="center"/>
    </xf>
    <xf numFmtId="0" fontId="81" fillId="0" borderId="55" xfId="0" applyFont="1" applyBorder="1" applyAlignment="1">
      <alignment horizontal="center" vertical="center"/>
    </xf>
    <xf numFmtId="0" fontId="77" fillId="0" borderId="0" xfId="0" applyFont="1" applyAlignment="1">
      <alignment horizontal="center" vertical="center"/>
    </xf>
    <xf numFmtId="0" fontId="77" fillId="0" borderId="55" xfId="0" applyFont="1" applyBorder="1" applyAlignment="1"/>
    <xf numFmtId="0" fontId="73" fillId="0" borderId="0" xfId="0" applyFont="1" applyAlignment="1" applyProtection="1">
      <alignment horizontal="center" vertical="center"/>
      <protection hidden="1"/>
    </xf>
    <xf numFmtId="0" fontId="73" fillId="0" borderId="0" xfId="0" applyFont="1" applyProtection="1">
      <alignment vertical="center"/>
      <protection hidden="1"/>
    </xf>
    <xf numFmtId="0" fontId="73" fillId="0" borderId="0" xfId="0" applyFont="1" applyAlignment="1" applyProtection="1">
      <alignment horizontal="right" vertical="center"/>
      <protection hidden="1"/>
    </xf>
    <xf numFmtId="0" fontId="73" fillId="0" borderId="0" xfId="0" applyFont="1" applyAlignment="1" applyProtection="1">
      <alignment horizontal="left" vertical="center"/>
      <protection hidden="1"/>
    </xf>
    <xf numFmtId="49" fontId="73" fillId="0" borderId="0" xfId="0" applyNumberFormat="1" applyFont="1" applyAlignment="1" applyProtection="1">
      <alignment horizontal="center" vertical="center"/>
      <protection hidden="1"/>
    </xf>
    <xf numFmtId="0" fontId="73" fillId="0" borderId="0" xfId="0" applyFont="1" applyAlignment="1" applyProtection="1">
      <alignment horizontal="left" vertical="center" shrinkToFit="1"/>
      <protection hidden="1"/>
    </xf>
    <xf numFmtId="0" fontId="13" fillId="0" borderId="21" xfId="0" applyFont="1" applyFill="1" applyBorder="1" applyAlignment="1" applyProtection="1">
      <alignment horizontal="left" vertical="top"/>
      <protection hidden="1"/>
    </xf>
    <xf numFmtId="0" fontId="13" fillId="0" borderId="1" xfId="0" applyFont="1" applyFill="1" applyBorder="1" applyAlignment="1" applyProtection="1">
      <alignment horizontal="left" vertical="top"/>
      <protection hidden="1"/>
    </xf>
    <xf numFmtId="0" fontId="73" fillId="0" borderId="0" xfId="0" applyFont="1" applyAlignment="1" applyProtection="1">
      <alignment horizontal="center" vertical="center" shrinkToFit="1"/>
      <protection hidden="1"/>
    </xf>
    <xf numFmtId="0" fontId="73" fillId="0" borderId="0" xfId="0" applyFont="1" applyAlignment="1" applyProtection="1">
      <alignment horizontal="left" vertical="center" wrapText="1"/>
      <protection hidden="1"/>
    </xf>
    <xf numFmtId="0" fontId="10" fillId="4" borderId="0" xfId="0" applyFont="1" applyFill="1" applyBorder="1" applyAlignment="1" applyProtection="1">
      <alignment horizontal="center"/>
      <protection locked="0"/>
    </xf>
    <xf numFmtId="0" fontId="10" fillId="4" borderId="0" xfId="0" applyFont="1" applyFill="1" applyBorder="1" applyAlignment="1" applyProtection="1">
      <alignment horizontal="center" vertical="center"/>
      <protection locked="0"/>
    </xf>
    <xf numFmtId="0" fontId="9" fillId="4" borderId="0" xfId="0" applyFont="1" applyFill="1" applyBorder="1" applyAlignment="1" applyProtection="1">
      <alignment horizontal="center" vertical="center" wrapText="1"/>
      <protection locked="0"/>
    </xf>
    <xf numFmtId="0" fontId="10" fillId="4" borderId="0" xfId="0" applyFont="1" applyFill="1" applyBorder="1" applyAlignment="1" applyProtection="1">
      <alignment horizontal="center" vertical="center" wrapText="1"/>
      <protection locked="0"/>
    </xf>
    <xf numFmtId="0" fontId="10" fillId="4" borderId="0" xfId="0" quotePrefix="1" applyFont="1" applyFill="1" applyBorder="1" applyAlignment="1" applyProtection="1">
      <alignment horizontal="center" vertical="center"/>
      <protection locked="0"/>
    </xf>
    <xf numFmtId="2" fontId="17" fillId="0" borderId="33" xfId="0" applyNumberFormat="1" applyFont="1" applyBorder="1" applyAlignment="1" applyProtection="1">
      <alignment horizontal="center" vertical="center"/>
      <protection hidden="1"/>
    </xf>
    <xf numFmtId="0" fontId="19" fillId="3" borderId="25" xfId="0" quotePrefix="1" applyFont="1" applyFill="1" applyBorder="1" applyAlignment="1" applyProtection="1">
      <alignment horizontal="center" vertical="center"/>
      <protection hidden="1"/>
    </xf>
    <xf numFmtId="0" fontId="19" fillId="3" borderId="24" xfId="0" quotePrefix="1" applyFont="1" applyFill="1" applyBorder="1" applyAlignment="1" applyProtection="1">
      <alignment horizontal="center" vertical="center"/>
      <protection hidden="1"/>
    </xf>
    <xf numFmtId="0" fontId="19" fillId="3" borderId="13" xfId="0" quotePrefix="1" applyFont="1" applyFill="1" applyBorder="1" applyAlignment="1" applyProtection="1">
      <alignment horizontal="center" vertical="center"/>
      <protection hidden="1"/>
    </xf>
    <xf numFmtId="0" fontId="8" fillId="0" borderId="25" xfId="0" applyFont="1" applyBorder="1" applyAlignment="1" applyProtection="1">
      <alignment horizontal="center" vertical="center"/>
      <protection locked="0"/>
    </xf>
    <xf numFmtId="0" fontId="8" fillId="0" borderId="24" xfId="0" applyFont="1" applyBorder="1" applyAlignment="1" applyProtection="1">
      <alignment horizontal="center" vertical="center"/>
      <protection locked="0"/>
    </xf>
    <xf numFmtId="0" fontId="8" fillId="0" borderId="45" xfId="0" applyFont="1" applyBorder="1" applyAlignment="1" applyProtection="1">
      <alignment horizontal="center" vertical="center"/>
      <protection locked="0"/>
    </xf>
    <xf numFmtId="1" fontId="1" fillId="1" borderId="37" xfId="0" applyNumberFormat="1" applyFont="1" applyFill="1" applyBorder="1" applyAlignment="1" applyProtection="1">
      <alignment horizontal="center" vertical="center"/>
      <protection hidden="1"/>
    </xf>
    <xf numFmtId="1" fontId="1" fillId="1" borderId="41" xfId="0" applyNumberFormat="1" applyFont="1" applyFill="1" applyBorder="1" applyAlignment="1" applyProtection="1">
      <alignment horizontal="center" vertical="center"/>
      <protection hidden="1"/>
    </xf>
    <xf numFmtId="0" fontId="8" fillId="0" borderId="49" xfId="0" applyFont="1" applyBorder="1" applyAlignment="1" applyProtection="1">
      <alignment horizontal="center" vertical="center"/>
      <protection locked="0"/>
    </xf>
    <xf numFmtId="0" fontId="8" fillId="0" borderId="51" xfId="0" applyFont="1" applyBorder="1" applyAlignment="1" applyProtection="1">
      <alignment horizontal="center" vertical="center"/>
      <protection locked="0"/>
    </xf>
    <xf numFmtId="0" fontId="8" fillId="0" borderId="53" xfId="0" applyFont="1" applyBorder="1" applyAlignment="1" applyProtection="1">
      <alignment horizontal="center" vertical="center"/>
      <protection locked="0"/>
    </xf>
    <xf numFmtId="0" fontId="8" fillId="0" borderId="3" xfId="0" applyFont="1" applyBorder="1" applyAlignment="1">
      <alignment horizontal="center" vertical="center"/>
    </xf>
    <xf numFmtId="0" fontId="19" fillId="3" borderId="45" xfId="0" quotePrefix="1" applyFont="1" applyFill="1" applyBorder="1" applyAlignment="1" applyProtection="1">
      <alignment horizontal="center" vertical="center"/>
      <protection hidden="1"/>
    </xf>
    <xf numFmtId="0" fontId="8" fillId="0" borderId="48" xfId="0" applyFont="1" applyBorder="1" applyAlignment="1" applyProtection="1">
      <alignment horizontal="center" vertical="center"/>
      <protection locked="0"/>
    </xf>
    <xf numFmtId="0" fontId="8" fillId="0" borderId="50" xfId="0" applyFont="1" applyBorder="1" applyAlignment="1" applyProtection="1">
      <alignment horizontal="center" vertical="center"/>
      <protection locked="0"/>
    </xf>
    <xf numFmtId="0" fontId="8" fillId="0" borderId="52" xfId="0" applyFont="1" applyBorder="1" applyAlignment="1" applyProtection="1">
      <alignment horizontal="center" vertical="center"/>
      <protection locked="0"/>
    </xf>
    <xf numFmtId="0" fontId="16" fillId="0" borderId="27" xfId="0" applyFont="1" applyFill="1" applyBorder="1" applyAlignment="1" applyProtection="1">
      <alignment horizontal="center" vertical="center" shrinkToFit="1"/>
      <protection locked="0"/>
    </xf>
    <xf numFmtId="0" fontId="16" fillId="0" borderId="37" xfId="0" applyFont="1" applyFill="1" applyBorder="1" applyAlignment="1" applyProtection="1">
      <alignment horizontal="center" vertical="center" shrinkToFit="1"/>
      <protection locked="0"/>
    </xf>
    <xf numFmtId="0" fontId="16" fillId="0" borderId="41" xfId="0" applyFont="1" applyFill="1" applyBorder="1" applyAlignment="1" applyProtection="1">
      <alignment horizontal="center" vertical="center" shrinkToFit="1"/>
      <protection locked="0"/>
    </xf>
    <xf numFmtId="0" fontId="8" fillId="0" borderId="6" xfId="0" applyFont="1" applyBorder="1" applyAlignment="1">
      <alignment horizontal="center" vertical="center"/>
    </xf>
    <xf numFmtId="0" fontId="8" fillId="0" borderId="28" xfId="0" applyFont="1" applyBorder="1" applyAlignment="1" applyProtection="1">
      <alignment horizontal="center" vertical="center"/>
      <protection locked="0"/>
    </xf>
    <xf numFmtId="0" fontId="8" fillId="0" borderId="36" xfId="0" applyFont="1" applyBorder="1" applyAlignment="1" applyProtection="1">
      <alignment horizontal="center" vertical="center"/>
      <protection locked="0"/>
    </xf>
    <xf numFmtId="0" fontId="8" fillId="0" borderId="42" xfId="0" applyFont="1" applyBorder="1" applyAlignment="1" applyProtection="1">
      <alignment horizontal="center" vertical="center"/>
      <protection locked="0"/>
    </xf>
    <xf numFmtId="0" fontId="8" fillId="0" borderId="29" xfId="0" applyFont="1" applyBorder="1" applyAlignment="1" applyProtection="1">
      <alignment horizontal="center" vertical="center"/>
      <protection locked="0"/>
    </xf>
    <xf numFmtId="0" fontId="8" fillId="0" borderId="38" xfId="0" applyFont="1" applyBorder="1" applyAlignment="1" applyProtection="1">
      <alignment horizontal="center" vertical="center"/>
      <protection locked="0"/>
    </xf>
    <xf numFmtId="0" fontId="8" fillId="0" borderId="43" xfId="0" applyFont="1" applyBorder="1" applyAlignment="1" applyProtection="1">
      <alignment horizontal="center" vertical="center"/>
      <protection locked="0"/>
    </xf>
    <xf numFmtId="0" fontId="8" fillId="6" borderId="5" xfId="0" applyFont="1" applyFill="1" applyBorder="1" applyAlignment="1" applyProtection="1">
      <alignment horizontal="center" vertical="center" textRotation="255" wrapText="1"/>
      <protection hidden="1"/>
    </xf>
    <xf numFmtId="0" fontId="8" fillId="6" borderId="14" xfId="0" applyFont="1" applyFill="1" applyBorder="1" applyAlignment="1" applyProtection="1">
      <alignment horizontal="center" vertical="center" textRotation="255" wrapText="1"/>
      <protection hidden="1"/>
    </xf>
    <xf numFmtId="0" fontId="8" fillId="0" borderId="10" xfId="0" applyFont="1" applyBorder="1" applyAlignment="1">
      <alignment horizontal="center" vertical="center"/>
    </xf>
    <xf numFmtId="0" fontId="8" fillId="0" borderId="27" xfId="0" applyFont="1" applyBorder="1" applyAlignment="1" applyProtection="1">
      <alignment horizontal="center" vertical="center"/>
      <protection locked="0"/>
    </xf>
    <xf numFmtId="0" fontId="8" fillId="0" borderId="37" xfId="0" applyFont="1" applyBorder="1" applyAlignment="1" applyProtection="1">
      <alignment horizontal="center" vertical="center"/>
      <protection locked="0"/>
    </xf>
    <xf numFmtId="0" fontId="8" fillId="0" borderId="41" xfId="0" applyFont="1" applyBorder="1" applyAlignment="1" applyProtection="1">
      <alignment horizontal="center" vertical="center"/>
      <protection locked="0"/>
    </xf>
    <xf numFmtId="0" fontId="8" fillId="0" borderId="11" xfId="0" applyFont="1" applyBorder="1" applyAlignment="1">
      <alignment horizontal="center" vertical="center"/>
    </xf>
    <xf numFmtId="0" fontId="8" fillId="6" borderId="8" xfId="0" applyFont="1" applyFill="1" applyBorder="1" applyAlignment="1">
      <alignment horizontal="center" vertical="center"/>
    </xf>
    <xf numFmtId="0" fontId="8" fillId="6" borderId="9" xfId="0" applyFont="1" applyFill="1" applyBorder="1" applyAlignment="1">
      <alignment horizontal="center" vertical="center"/>
    </xf>
    <xf numFmtId="0" fontId="8" fillId="3" borderId="12" xfId="0" applyFont="1" applyFill="1" applyBorder="1" applyAlignment="1" applyProtection="1">
      <alignment horizontal="center" vertical="center"/>
      <protection hidden="1"/>
    </xf>
    <xf numFmtId="0" fontId="8" fillId="3" borderId="11" xfId="0" applyFont="1" applyFill="1" applyBorder="1" applyAlignment="1" applyProtection="1">
      <alignment horizontal="center" vertical="center"/>
      <protection hidden="1"/>
    </xf>
    <xf numFmtId="0" fontId="1" fillId="0" borderId="13" xfId="0" applyFont="1" applyBorder="1" applyAlignment="1" applyProtection="1">
      <alignment horizontal="center" vertical="center"/>
      <protection hidden="1"/>
    </xf>
    <xf numFmtId="0" fontId="1" fillId="0" borderId="3" xfId="0" applyFont="1" applyBorder="1" applyAlignment="1" applyProtection="1">
      <alignment horizontal="center" vertical="center"/>
      <protection hidden="1"/>
    </xf>
    <xf numFmtId="0" fontId="1" fillId="0" borderId="4" xfId="0" applyFont="1" applyBorder="1" applyAlignment="1" applyProtection="1">
      <alignment horizontal="center" vertical="center"/>
      <protection hidden="1"/>
    </xf>
    <xf numFmtId="0" fontId="1" fillId="0" borderId="24" xfId="0" applyFont="1" applyBorder="1" applyAlignment="1" applyProtection="1">
      <alignment horizontal="center" vertical="center" shrinkToFit="1"/>
      <protection hidden="1"/>
    </xf>
    <xf numFmtId="0" fontId="1" fillId="0" borderId="25" xfId="0" applyFont="1" applyBorder="1" applyAlignment="1" applyProtection="1">
      <alignment horizontal="center" vertical="center" shrinkToFit="1"/>
      <protection hidden="1"/>
    </xf>
    <xf numFmtId="0" fontId="1" fillId="0" borderId="25" xfId="0" applyFont="1" applyBorder="1" applyAlignment="1" applyProtection="1">
      <alignment vertical="center" wrapText="1" shrinkToFit="1"/>
      <protection hidden="1"/>
    </xf>
    <xf numFmtId="0" fontId="1" fillId="0" borderId="24" xfId="0" applyFont="1" applyBorder="1" applyAlignment="1" applyProtection="1">
      <alignment vertical="center" wrapText="1" shrinkToFit="1"/>
      <protection hidden="1"/>
    </xf>
    <xf numFmtId="0" fontId="1" fillId="0" borderId="46" xfId="0" applyFont="1" applyBorder="1" applyAlignment="1" applyProtection="1">
      <alignment horizontal="center" vertical="center"/>
      <protection hidden="1"/>
    </xf>
    <xf numFmtId="0" fontId="1" fillId="0" borderId="16" xfId="0" applyFont="1" applyBorder="1" applyAlignment="1" applyProtection="1">
      <alignment horizontal="center" vertical="center"/>
      <protection hidden="1"/>
    </xf>
    <xf numFmtId="0" fontId="8" fillId="0" borderId="3" xfId="0" applyFont="1" applyBorder="1" applyAlignment="1" applyProtection="1">
      <alignment horizontal="center" vertical="center"/>
      <protection hidden="1"/>
    </xf>
    <xf numFmtId="0" fontId="8" fillId="0" borderId="4" xfId="0" applyFont="1" applyBorder="1" applyAlignment="1" applyProtection="1">
      <alignment horizontal="center" vertical="center" wrapText="1"/>
      <protection hidden="1"/>
    </xf>
    <xf numFmtId="0" fontId="8" fillId="0" borderId="13" xfId="0" applyFont="1" applyBorder="1" applyAlignment="1" applyProtection="1">
      <alignment horizontal="center" vertical="center" wrapText="1"/>
      <protection hidden="1"/>
    </xf>
    <xf numFmtId="0" fontId="6" fillId="3" borderId="25" xfId="0" applyFont="1" applyFill="1" applyBorder="1" applyAlignment="1" applyProtection="1">
      <alignment horizontal="left" vertical="center" wrapText="1"/>
      <protection locked="0"/>
    </xf>
    <xf numFmtId="0" fontId="6" fillId="3" borderId="24" xfId="0" applyFont="1" applyFill="1" applyBorder="1" applyAlignment="1" applyProtection="1">
      <alignment horizontal="left" vertical="center" wrapText="1"/>
      <protection locked="0"/>
    </xf>
    <xf numFmtId="0" fontId="6" fillId="3" borderId="45" xfId="0" applyFont="1" applyFill="1" applyBorder="1" applyAlignment="1" applyProtection="1">
      <alignment horizontal="left" vertical="center" wrapText="1"/>
      <protection locked="0"/>
    </xf>
    <xf numFmtId="1" fontId="1" fillId="1" borderId="54" xfId="0" applyNumberFormat="1" applyFont="1" applyFill="1" applyBorder="1" applyAlignment="1" applyProtection="1">
      <alignment horizontal="center" vertical="center"/>
      <protection hidden="1"/>
    </xf>
    <xf numFmtId="1" fontId="1" fillId="1" borderId="52" xfId="0" applyNumberFormat="1" applyFont="1" applyFill="1" applyBorder="1" applyAlignment="1" applyProtection="1">
      <alignment horizontal="center" vertical="center"/>
      <protection hidden="1"/>
    </xf>
    <xf numFmtId="0" fontId="17" fillId="0" borderId="4" xfId="0" applyFont="1" applyFill="1" applyBorder="1" applyAlignment="1">
      <alignment horizontal="center" vertical="center" wrapText="1"/>
    </xf>
    <xf numFmtId="0" fontId="17" fillId="0" borderId="13" xfId="0" applyFont="1" applyFill="1" applyBorder="1" applyAlignment="1">
      <alignment horizontal="center" vertical="center" wrapText="1"/>
    </xf>
    <xf numFmtId="0" fontId="1" fillId="7" borderId="21" xfId="0" applyFont="1" applyFill="1" applyBorder="1" applyAlignment="1">
      <alignment horizontal="center" vertical="center"/>
    </xf>
    <xf numFmtId="0" fontId="1" fillId="7" borderId="22" xfId="0" applyFont="1" applyFill="1" applyBorder="1" applyAlignment="1">
      <alignment horizontal="center" vertical="center"/>
    </xf>
    <xf numFmtId="0" fontId="1" fillId="0" borderId="3" xfId="0" applyFont="1" applyFill="1" applyBorder="1" applyAlignment="1" applyProtection="1">
      <alignment horizontal="center" vertical="center"/>
      <protection locked="0"/>
    </xf>
    <xf numFmtId="0" fontId="6" fillId="0" borderId="4" xfId="0" applyFont="1" applyFill="1" applyBorder="1" applyAlignment="1" applyProtection="1">
      <alignment horizontal="left" vertical="center" wrapText="1"/>
      <protection hidden="1"/>
    </xf>
    <xf numFmtId="0" fontId="6" fillId="0" borderId="24" xfId="0" applyFont="1" applyFill="1" applyBorder="1" applyAlignment="1" applyProtection="1">
      <alignment horizontal="left" vertical="center" wrapText="1"/>
      <protection hidden="1"/>
    </xf>
    <xf numFmtId="0" fontId="6" fillId="0" borderId="13" xfId="0" applyFont="1" applyFill="1" applyBorder="1" applyAlignment="1" applyProtection="1">
      <alignment horizontal="left" vertical="center" wrapText="1"/>
      <protection hidden="1"/>
    </xf>
    <xf numFmtId="0" fontId="1" fillId="0" borderId="4" xfId="0" applyFont="1" applyBorder="1" applyAlignment="1" applyProtection="1">
      <alignment vertical="center" wrapText="1" shrinkToFit="1"/>
      <protection hidden="1"/>
    </xf>
    <xf numFmtId="0" fontId="13" fillId="0" borderId="13" xfId="0" applyFont="1" applyBorder="1" applyAlignment="1" applyProtection="1">
      <alignment horizontal="center" vertical="center"/>
      <protection hidden="1"/>
    </xf>
    <xf numFmtId="0" fontId="13" fillId="0" borderId="3" xfId="0" applyFont="1" applyBorder="1" applyAlignment="1" applyProtection="1">
      <alignment horizontal="center" vertical="center"/>
      <protection hidden="1"/>
    </xf>
    <xf numFmtId="0" fontId="13" fillId="0" borderId="4" xfId="0" applyFont="1" applyBorder="1" applyAlignment="1" applyProtection="1">
      <alignment horizontal="center" vertical="center"/>
      <protection hidden="1"/>
    </xf>
    <xf numFmtId="0" fontId="1" fillId="0" borderId="4" xfId="0" applyFont="1" applyBorder="1" applyAlignment="1" applyProtection="1">
      <alignment horizontal="center" vertical="center" shrinkToFit="1"/>
      <protection hidden="1"/>
    </xf>
    <xf numFmtId="0" fontId="1" fillId="0" borderId="46"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hidden="1"/>
    </xf>
    <xf numFmtId="0" fontId="11" fillId="0" borderId="3" xfId="0" applyFont="1" applyFill="1" applyBorder="1" applyAlignment="1" applyProtection="1">
      <alignment horizontal="center" vertical="center"/>
      <protection hidden="1"/>
    </xf>
    <xf numFmtId="0" fontId="6" fillId="0" borderId="25" xfId="0" applyFont="1" applyFill="1" applyBorder="1" applyAlignment="1" applyProtection="1">
      <alignment horizontal="left" vertical="center" wrapText="1"/>
      <protection hidden="1"/>
    </xf>
    <xf numFmtId="0" fontId="13" fillId="0" borderId="46" xfId="0" applyFont="1" applyBorder="1" applyAlignment="1" applyProtection="1">
      <alignment horizontal="center" vertical="center"/>
      <protection hidden="1"/>
    </xf>
    <xf numFmtId="0" fontId="8" fillId="0" borderId="3" xfId="0" applyFont="1" applyFill="1" applyBorder="1" applyAlignment="1" applyProtection="1">
      <alignment horizontal="center" vertical="center" wrapText="1"/>
      <protection hidden="1"/>
    </xf>
    <xf numFmtId="0" fontId="11" fillId="0" borderId="4" xfId="0" applyFont="1" applyFill="1" applyBorder="1" applyAlignment="1" applyProtection="1">
      <alignment horizontal="center" vertical="center"/>
      <protection hidden="1"/>
    </xf>
    <xf numFmtId="0" fontId="11" fillId="0" borderId="13" xfId="0" applyFont="1" applyFill="1" applyBorder="1" applyAlignment="1" applyProtection="1">
      <alignment horizontal="center" vertical="center"/>
      <protection hidden="1"/>
    </xf>
    <xf numFmtId="0" fontId="6" fillId="0" borderId="1" xfId="0" applyFont="1" applyFill="1" applyBorder="1" applyAlignment="1" applyProtection="1">
      <alignment horizontal="left" vertical="center" wrapText="1"/>
      <protection hidden="1"/>
    </xf>
    <xf numFmtId="0" fontId="43" fillId="3" borderId="35" xfId="0" applyFont="1" applyFill="1" applyBorder="1" applyAlignment="1" applyProtection="1">
      <alignment horizontal="left" vertical="center" wrapText="1" shrinkToFit="1"/>
      <protection hidden="1"/>
    </xf>
    <xf numFmtId="0" fontId="43" fillId="3" borderId="83" xfId="0" applyFont="1" applyFill="1" applyBorder="1" applyAlignment="1" applyProtection="1">
      <alignment horizontal="left" vertical="center" wrapText="1" shrinkToFit="1"/>
      <protection hidden="1"/>
    </xf>
    <xf numFmtId="0" fontId="43" fillId="3" borderId="39" xfId="0" applyFont="1" applyFill="1" applyBorder="1" applyAlignment="1" applyProtection="1">
      <alignment horizontal="left" vertical="center" wrapText="1" shrinkToFit="1"/>
      <protection hidden="1"/>
    </xf>
    <xf numFmtId="0" fontId="11" fillId="0" borderId="66" xfId="0" applyFont="1" applyFill="1" applyBorder="1" applyAlignment="1" applyProtection="1">
      <alignment horizontal="center" vertical="center"/>
      <protection hidden="1"/>
    </xf>
    <xf numFmtId="0" fontId="43" fillId="3" borderId="35" xfId="0" applyFont="1" applyFill="1" applyBorder="1" applyAlignment="1" applyProtection="1">
      <alignment horizontal="left" vertical="center" shrinkToFit="1"/>
      <protection hidden="1"/>
    </xf>
    <xf numFmtId="0" fontId="43" fillId="3" borderId="83" xfId="0" applyFont="1" applyFill="1" applyBorder="1" applyAlignment="1" applyProtection="1">
      <alignment horizontal="left" vertical="center" shrinkToFit="1"/>
      <protection hidden="1"/>
    </xf>
    <xf numFmtId="0" fontId="43" fillId="3" borderId="39" xfId="0" applyFont="1" applyFill="1" applyBorder="1" applyAlignment="1" applyProtection="1">
      <alignment horizontal="left" vertical="center" shrinkToFit="1"/>
      <protection hidden="1"/>
    </xf>
    <xf numFmtId="0" fontId="2" fillId="3" borderId="7" xfId="0" applyFont="1" applyFill="1" applyBorder="1" applyAlignment="1" applyProtection="1">
      <alignment horizontal="center" vertical="center" wrapText="1"/>
      <protection hidden="1"/>
    </xf>
    <xf numFmtId="0" fontId="2" fillId="3" borderId="12" xfId="0" applyFont="1" applyFill="1" applyBorder="1" applyAlignment="1" applyProtection="1">
      <alignment horizontal="center" vertical="center" wrapText="1"/>
      <protection hidden="1"/>
    </xf>
    <xf numFmtId="0" fontId="2" fillId="3" borderId="11" xfId="0" applyFont="1" applyFill="1" applyBorder="1" applyAlignment="1" applyProtection="1">
      <alignment horizontal="center" vertical="center" wrapText="1"/>
      <protection hidden="1"/>
    </xf>
    <xf numFmtId="0" fontId="2" fillId="3" borderId="63" xfId="0" applyFont="1" applyFill="1" applyBorder="1" applyAlignment="1" applyProtection="1">
      <alignment horizontal="left" vertical="center" wrapText="1"/>
      <protection hidden="1"/>
    </xf>
    <xf numFmtId="0" fontId="2" fillId="3" borderId="58" xfId="0" applyFont="1" applyFill="1" applyBorder="1" applyAlignment="1" applyProtection="1">
      <alignment horizontal="left" vertical="center" wrapText="1"/>
      <protection hidden="1"/>
    </xf>
    <xf numFmtId="0" fontId="2" fillId="3" borderId="86" xfId="0" applyFont="1" applyFill="1" applyBorder="1" applyAlignment="1" applyProtection="1">
      <alignment horizontal="left" vertical="center" wrapText="1"/>
      <protection hidden="1"/>
    </xf>
    <xf numFmtId="0" fontId="2" fillId="3" borderId="87" xfId="0" applyFont="1" applyFill="1" applyBorder="1" applyAlignment="1" applyProtection="1">
      <alignment horizontal="left" vertical="center" wrapText="1"/>
      <protection hidden="1"/>
    </xf>
    <xf numFmtId="0" fontId="2" fillId="3" borderId="36" xfId="0" applyFont="1" applyFill="1" applyBorder="1" applyAlignment="1" applyProtection="1">
      <alignment horizontal="left" vertical="center" wrapText="1"/>
      <protection hidden="1"/>
    </xf>
    <xf numFmtId="0" fontId="2" fillId="3" borderId="35" xfId="0" applyFont="1" applyFill="1" applyBorder="1" applyAlignment="1" applyProtection="1">
      <alignment horizontal="left" vertical="center" wrapText="1"/>
      <protection hidden="1"/>
    </xf>
    <xf numFmtId="0" fontId="2" fillId="3" borderId="83" xfId="0" applyFont="1" applyFill="1" applyBorder="1" applyAlignment="1" applyProtection="1">
      <alignment horizontal="left" vertical="center" wrapText="1"/>
      <protection hidden="1"/>
    </xf>
    <xf numFmtId="0" fontId="2" fillId="3" borderId="39" xfId="0" applyFont="1" applyFill="1" applyBorder="1" applyAlignment="1" applyProtection="1">
      <alignment horizontal="left" vertical="center" wrapText="1"/>
      <protection hidden="1"/>
    </xf>
    <xf numFmtId="0" fontId="2" fillId="3" borderId="46" xfId="0" applyFont="1" applyFill="1" applyBorder="1" applyAlignment="1" applyProtection="1">
      <alignment horizontal="center" vertical="center"/>
      <protection hidden="1"/>
    </xf>
    <xf numFmtId="0" fontId="37" fillId="4" borderId="1" xfId="0" applyFont="1" applyFill="1" applyBorder="1" applyAlignment="1" applyProtection="1">
      <alignment horizontal="center" vertical="center"/>
      <protection hidden="1"/>
    </xf>
    <xf numFmtId="0" fontId="37" fillId="4" borderId="21" xfId="0" applyFont="1" applyFill="1" applyBorder="1" applyAlignment="1" applyProtection="1">
      <alignment horizontal="center" vertical="center"/>
      <protection hidden="1"/>
    </xf>
    <xf numFmtId="0" fontId="2" fillId="3" borderId="16" xfId="0" applyFont="1" applyFill="1" applyBorder="1" applyAlignment="1" applyProtection="1">
      <alignment horizontal="center" vertical="center"/>
      <protection hidden="1"/>
    </xf>
    <xf numFmtId="0" fontId="29" fillId="0" borderId="16" xfId="0" applyFont="1" applyFill="1" applyBorder="1" applyAlignment="1" applyProtection="1">
      <alignment horizontal="center" vertical="center"/>
      <protection locked="0"/>
    </xf>
    <xf numFmtId="0" fontId="29" fillId="3" borderId="17" xfId="0" applyFont="1" applyFill="1" applyBorder="1" applyAlignment="1" applyProtection="1">
      <alignment horizontal="center" vertical="center" wrapText="1"/>
      <protection hidden="1"/>
    </xf>
    <xf numFmtId="0" fontId="29" fillId="3" borderId="67" xfId="0" applyFont="1" applyFill="1" applyBorder="1" applyAlignment="1" applyProtection="1">
      <alignment horizontal="center" vertical="center" wrapText="1"/>
      <protection hidden="1"/>
    </xf>
    <xf numFmtId="0" fontId="29" fillId="3" borderId="20" xfId="0" applyFont="1" applyFill="1" applyBorder="1" applyAlignment="1" applyProtection="1">
      <alignment horizontal="center" vertical="center" wrapText="1"/>
      <protection hidden="1"/>
    </xf>
    <xf numFmtId="0" fontId="2" fillId="3" borderId="60" xfId="0" applyFont="1" applyFill="1" applyBorder="1" applyAlignment="1" applyProtection="1">
      <alignment horizontal="left" vertical="center" wrapText="1"/>
      <protection hidden="1"/>
    </xf>
    <xf numFmtId="0" fontId="2" fillId="3" borderId="81" xfId="0" applyFont="1" applyFill="1" applyBorder="1" applyAlignment="1" applyProtection="1">
      <alignment horizontal="left" vertical="center" wrapText="1"/>
      <protection hidden="1"/>
    </xf>
    <xf numFmtId="0" fontId="2" fillId="3" borderId="82" xfId="0" applyFont="1" applyFill="1" applyBorder="1" applyAlignment="1" applyProtection="1">
      <alignment horizontal="left" vertical="center" wrapText="1"/>
      <protection hidden="1"/>
    </xf>
    <xf numFmtId="0" fontId="2" fillId="3" borderId="62" xfId="0" applyNumberFormat="1" applyFont="1" applyFill="1" applyBorder="1" applyAlignment="1" applyProtection="1">
      <alignment horizontal="left" vertical="center" shrinkToFit="1"/>
      <protection hidden="1"/>
    </xf>
    <xf numFmtId="0" fontId="2" fillId="3" borderId="84" xfId="0" applyNumberFormat="1" applyFont="1" applyFill="1" applyBorder="1" applyAlignment="1" applyProtection="1">
      <alignment horizontal="left" vertical="center" shrinkToFit="1"/>
      <protection hidden="1"/>
    </xf>
    <xf numFmtId="0" fontId="2" fillId="3" borderId="85" xfId="0" applyNumberFormat="1" applyFont="1" applyFill="1" applyBorder="1" applyAlignment="1" applyProtection="1">
      <alignment horizontal="left" vertical="center" shrinkToFit="1"/>
      <protection hidden="1"/>
    </xf>
    <xf numFmtId="0" fontId="26" fillId="2" borderId="0"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left" vertical="center"/>
      <protection hidden="1"/>
    </xf>
    <xf numFmtId="0" fontId="2" fillId="3" borderId="12" xfId="0" applyFont="1" applyFill="1" applyBorder="1" applyAlignment="1" applyProtection="1">
      <alignment horizontal="left" vertical="center"/>
      <protection hidden="1"/>
    </xf>
    <xf numFmtId="0" fontId="43" fillId="3" borderId="60" xfId="0" applyFont="1" applyFill="1" applyBorder="1" applyAlignment="1" applyProtection="1">
      <alignment horizontal="left" vertical="center" wrapText="1" shrinkToFit="1"/>
      <protection hidden="1"/>
    </xf>
    <xf numFmtId="0" fontId="43" fillId="3" borderId="81" xfId="0" applyFont="1" applyFill="1" applyBorder="1" applyAlignment="1" applyProtection="1">
      <alignment horizontal="left" vertical="center" wrapText="1" shrinkToFit="1"/>
      <protection hidden="1"/>
    </xf>
    <xf numFmtId="0" fontId="43" fillId="3" borderId="82" xfId="0" applyFont="1" applyFill="1" applyBorder="1" applyAlignment="1" applyProtection="1">
      <alignment horizontal="left" vertical="center" wrapText="1" shrinkToFit="1"/>
      <protection hidden="1"/>
    </xf>
    <xf numFmtId="0" fontId="29" fillId="3" borderId="16" xfId="0" applyFont="1" applyFill="1" applyBorder="1" applyAlignment="1" applyProtection="1">
      <alignment horizontal="center" vertical="center"/>
      <protection hidden="1"/>
    </xf>
    <xf numFmtId="0" fontId="43" fillId="3" borderId="68" xfId="0" applyFont="1" applyFill="1" applyBorder="1" applyAlignment="1" applyProtection="1">
      <alignment horizontal="left" vertical="center" shrinkToFit="1"/>
      <protection hidden="1"/>
    </xf>
    <xf numFmtId="0" fontId="43" fillId="3" borderId="0" xfId="0" applyFont="1" applyFill="1" applyBorder="1" applyAlignment="1" applyProtection="1">
      <alignment horizontal="left" vertical="center" shrinkToFit="1"/>
      <protection hidden="1"/>
    </xf>
    <xf numFmtId="0" fontId="43" fillId="3" borderId="69" xfId="0" applyFont="1" applyFill="1" applyBorder="1" applyAlignment="1" applyProtection="1">
      <alignment horizontal="left" vertical="center" shrinkToFit="1"/>
      <protection hidden="1"/>
    </xf>
    <xf numFmtId="0" fontId="25" fillId="3" borderId="67" xfId="0" applyFont="1" applyFill="1" applyBorder="1" applyAlignment="1" applyProtection="1">
      <alignment horizontal="center" vertical="center"/>
      <protection hidden="1"/>
    </xf>
    <xf numFmtId="0" fontId="25" fillId="3" borderId="20" xfId="0" applyFont="1" applyFill="1" applyBorder="1" applyAlignment="1" applyProtection="1">
      <alignment horizontal="center" vertical="center"/>
      <protection hidden="1"/>
    </xf>
    <xf numFmtId="0" fontId="39" fillId="3" borderId="0" xfId="0" applyFont="1" applyFill="1" applyBorder="1" applyAlignment="1" applyProtection="1">
      <alignment horizontal="left" vertical="center" wrapText="1"/>
      <protection hidden="1"/>
    </xf>
    <xf numFmtId="0" fontId="39" fillId="3" borderId="69" xfId="0" applyFont="1" applyFill="1" applyBorder="1" applyAlignment="1" applyProtection="1">
      <alignment horizontal="left" vertical="center" wrapText="1"/>
      <protection hidden="1"/>
    </xf>
    <xf numFmtId="0" fontId="39" fillId="3" borderId="72" xfId="0" applyFont="1" applyFill="1" applyBorder="1" applyAlignment="1" applyProtection="1">
      <alignment horizontal="left" vertical="center" wrapText="1"/>
      <protection hidden="1"/>
    </xf>
    <xf numFmtId="0" fontId="39" fillId="3" borderId="71" xfId="0" applyFont="1" applyFill="1" applyBorder="1" applyAlignment="1" applyProtection="1">
      <alignment horizontal="left" vertical="center" wrapText="1"/>
      <protection hidden="1"/>
    </xf>
    <xf numFmtId="0" fontId="39" fillId="3" borderId="64" xfId="0" applyFont="1" applyFill="1" applyBorder="1" applyAlignment="1" applyProtection="1">
      <alignment horizontal="left" vertical="center" wrapText="1"/>
      <protection hidden="1"/>
    </xf>
    <xf numFmtId="0" fontId="39" fillId="3" borderId="73" xfId="0" applyFont="1" applyFill="1" applyBorder="1" applyAlignment="1" applyProtection="1">
      <alignment horizontal="left" vertical="center" wrapText="1"/>
      <protection hidden="1"/>
    </xf>
    <xf numFmtId="0" fontId="39" fillId="3" borderId="74" xfId="0" applyFont="1" applyFill="1" applyBorder="1" applyAlignment="1" applyProtection="1">
      <alignment horizontal="left" vertical="center" wrapText="1"/>
      <protection hidden="1"/>
    </xf>
    <xf numFmtId="0" fontId="39" fillId="3" borderId="75" xfId="0" applyFont="1" applyFill="1" applyBorder="1" applyAlignment="1" applyProtection="1">
      <alignment horizontal="left" vertical="center" wrapText="1"/>
      <protection hidden="1"/>
    </xf>
    <xf numFmtId="0" fontId="39" fillId="3" borderId="76" xfId="0" applyFont="1" applyFill="1" applyBorder="1" applyAlignment="1" applyProtection="1">
      <alignment horizontal="left" vertical="center" wrapText="1"/>
      <protection hidden="1"/>
    </xf>
    <xf numFmtId="0" fontId="39" fillId="3" borderId="77" xfId="0" applyFont="1" applyFill="1" applyBorder="1" applyAlignment="1" applyProtection="1">
      <alignment horizontal="left" vertical="center" wrapText="1"/>
      <protection hidden="1"/>
    </xf>
    <xf numFmtId="0" fontId="38" fillId="3" borderId="68" xfId="0" applyFont="1" applyFill="1" applyBorder="1" applyAlignment="1" applyProtection="1">
      <alignment horizontal="center" vertical="center"/>
      <protection hidden="1"/>
    </xf>
    <xf numFmtId="0" fontId="38" fillId="3" borderId="69" xfId="0" applyFont="1" applyFill="1" applyBorder="1" applyAlignment="1" applyProtection="1">
      <alignment horizontal="center" vertical="center"/>
      <protection hidden="1"/>
    </xf>
    <xf numFmtId="0" fontId="38" fillId="3" borderId="70" xfId="0" applyFont="1" applyFill="1" applyBorder="1" applyAlignment="1" applyProtection="1">
      <alignment horizontal="center" vertical="center"/>
      <protection hidden="1"/>
    </xf>
    <xf numFmtId="0" fontId="38" fillId="3" borderId="71" xfId="0" applyFont="1" applyFill="1" applyBorder="1" applyAlignment="1" applyProtection="1">
      <alignment horizontal="center" vertical="center"/>
      <protection hidden="1"/>
    </xf>
    <xf numFmtId="0" fontId="25" fillId="3" borderId="17" xfId="0" applyFont="1" applyFill="1" applyBorder="1" applyAlignment="1" applyProtection="1">
      <alignment horizontal="center" vertical="center"/>
      <protection hidden="1"/>
    </xf>
    <xf numFmtId="0" fontId="29" fillId="3" borderId="89" xfId="0" applyFont="1" applyFill="1" applyBorder="1" applyAlignment="1" applyProtection="1">
      <alignment horizontal="center" vertical="center"/>
      <protection hidden="1"/>
    </xf>
    <xf numFmtId="0" fontId="29" fillId="3" borderId="15" xfId="0" applyFont="1" applyFill="1" applyBorder="1" applyAlignment="1" applyProtection="1">
      <alignment horizontal="center" vertical="center"/>
      <protection hidden="1"/>
    </xf>
    <xf numFmtId="0" fontId="29" fillId="3" borderId="56" xfId="0" applyFont="1" applyFill="1" applyBorder="1" applyAlignment="1" applyProtection="1">
      <alignment horizontal="center" vertical="center"/>
      <protection hidden="1"/>
    </xf>
    <xf numFmtId="0" fontId="29" fillId="3" borderId="73" xfId="0" applyFont="1" applyFill="1" applyBorder="1" applyAlignment="1" applyProtection="1">
      <alignment horizontal="center" vertical="center"/>
      <protection hidden="1"/>
    </xf>
    <xf numFmtId="0" fontId="43" fillId="3" borderId="35" xfId="0" applyNumberFormat="1" applyFont="1" applyFill="1" applyBorder="1" applyAlignment="1" applyProtection="1">
      <alignment horizontal="left" vertical="center"/>
      <protection hidden="1"/>
    </xf>
    <xf numFmtId="0" fontId="43" fillId="3" borderId="83" xfId="0" applyNumberFormat="1" applyFont="1" applyFill="1" applyBorder="1" applyAlignment="1" applyProtection="1">
      <alignment horizontal="left" vertical="center"/>
      <protection hidden="1"/>
    </xf>
    <xf numFmtId="0" fontId="43" fillId="3" borderId="39" xfId="0" applyNumberFormat="1" applyFont="1" applyFill="1" applyBorder="1" applyAlignment="1" applyProtection="1">
      <alignment horizontal="left" vertical="center"/>
      <protection hidden="1"/>
    </xf>
    <xf numFmtId="0" fontId="43" fillId="3" borderId="26" xfId="0" applyNumberFormat="1" applyFont="1" applyFill="1" applyBorder="1" applyAlignment="1" applyProtection="1">
      <alignment horizontal="left" vertical="center"/>
      <protection hidden="1"/>
    </xf>
    <xf numFmtId="0" fontId="43" fillId="3" borderId="66" xfId="0" applyNumberFormat="1" applyFont="1" applyFill="1" applyBorder="1" applyAlignment="1" applyProtection="1">
      <alignment horizontal="left" vertical="center"/>
      <protection hidden="1"/>
    </xf>
    <xf numFmtId="0" fontId="43" fillId="3" borderId="30" xfId="0" applyNumberFormat="1" applyFont="1" applyFill="1" applyBorder="1" applyAlignment="1" applyProtection="1">
      <alignment horizontal="left" vertical="center"/>
      <protection hidden="1"/>
    </xf>
    <xf numFmtId="0" fontId="43" fillId="3" borderId="62" xfId="0" applyNumberFormat="1" applyFont="1" applyFill="1" applyBorder="1" applyAlignment="1" applyProtection="1">
      <alignment horizontal="left" vertical="center"/>
      <protection hidden="1"/>
    </xf>
    <xf numFmtId="0" fontId="43" fillId="3" borderId="84" xfId="0" applyNumberFormat="1" applyFont="1" applyFill="1" applyBorder="1" applyAlignment="1" applyProtection="1">
      <alignment horizontal="left" vertical="center"/>
      <protection hidden="1"/>
    </xf>
    <xf numFmtId="0" fontId="43" fillId="3" borderId="85" xfId="0" applyNumberFormat="1" applyFont="1" applyFill="1" applyBorder="1" applyAlignment="1" applyProtection="1">
      <alignment horizontal="left" vertical="center"/>
      <protection hidden="1"/>
    </xf>
    <xf numFmtId="0" fontId="27" fillId="2" borderId="0" xfId="3" applyFont="1" applyFill="1" applyBorder="1" applyAlignment="1">
      <protection locked="0"/>
    </xf>
    <xf numFmtId="0" fontId="35" fillId="3" borderId="0" xfId="0" applyFont="1" applyFill="1" applyAlignment="1" applyProtection="1">
      <alignment horizontal="center" vertical="center"/>
      <protection hidden="1"/>
    </xf>
    <xf numFmtId="0" fontId="43" fillId="3" borderId="62" xfId="0" applyFont="1" applyFill="1" applyBorder="1" applyAlignment="1" applyProtection="1">
      <alignment horizontal="left" vertical="center" wrapText="1" shrinkToFit="1"/>
      <protection hidden="1"/>
    </xf>
    <xf numFmtId="0" fontId="43" fillId="3" borderId="84" xfId="0" applyFont="1" applyFill="1" applyBorder="1" applyAlignment="1" applyProtection="1">
      <alignment horizontal="left" vertical="center" wrapText="1" shrinkToFit="1"/>
      <protection hidden="1"/>
    </xf>
    <xf numFmtId="0" fontId="43" fillId="3" borderId="85" xfId="0" applyFont="1" applyFill="1" applyBorder="1" applyAlignment="1" applyProtection="1">
      <alignment horizontal="left" vertical="center" wrapText="1" shrinkToFit="1"/>
      <protection hidden="1"/>
    </xf>
    <xf numFmtId="0" fontId="23" fillId="3" borderId="64" xfId="0" applyFont="1" applyFill="1" applyBorder="1" applyAlignment="1" applyProtection="1">
      <alignment horizontal="left" vertical="center"/>
      <protection hidden="1"/>
    </xf>
    <xf numFmtId="0" fontId="30" fillId="3" borderId="0" xfId="0" applyFont="1" applyFill="1" applyBorder="1" applyAlignment="1" applyProtection="1">
      <alignment horizontal="left" vertical="center" shrinkToFit="1"/>
      <protection hidden="1"/>
    </xf>
    <xf numFmtId="0" fontId="43" fillId="3" borderId="62" xfId="0" applyFont="1" applyFill="1" applyBorder="1" applyAlignment="1" applyProtection="1">
      <alignment horizontal="left" vertical="center" shrinkToFit="1"/>
      <protection hidden="1"/>
    </xf>
    <xf numFmtId="0" fontId="43" fillId="3" borderId="84" xfId="0" applyFont="1" applyFill="1" applyBorder="1" applyAlignment="1" applyProtection="1">
      <alignment horizontal="left" vertical="center" shrinkToFit="1"/>
      <protection hidden="1"/>
    </xf>
    <xf numFmtId="0" fontId="43" fillId="3" borderId="85" xfId="0" applyFont="1" applyFill="1" applyBorder="1" applyAlignment="1" applyProtection="1">
      <alignment horizontal="left" vertical="center" shrinkToFit="1"/>
      <protection hidden="1"/>
    </xf>
    <xf numFmtId="0" fontId="43" fillId="3" borderId="26" xfId="0" applyFont="1" applyFill="1" applyBorder="1" applyAlignment="1" applyProtection="1">
      <alignment horizontal="left" vertical="center" shrinkToFit="1"/>
      <protection hidden="1"/>
    </xf>
    <xf numFmtId="0" fontId="43" fillId="3" borderId="66" xfId="0" applyFont="1" applyFill="1" applyBorder="1" applyAlignment="1" applyProtection="1">
      <alignment horizontal="left" vertical="center" shrinkToFit="1"/>
      <protection hidden="1"/>
    </xf>
    <xf numFmtId="0" fontId="43" fillId="3" borderId="30" xfId="0" applyFont="1" applyFill="1" applyBorder="1" applyAlignment="1" applyProtection="1">
      <alignment horizontal="left" vertical="center" shrinkToFit="1"/>
      <protection hidden="1"/>
    </xf>
    <xf numFmtId="0" fontId="2" fillId="3" borderId="36" xfId="0" applyNumberFormat="1" applyFont="1" applyFill="1" applyBorder="1" applyAlignment="1" applyProtection="1">
      <alignment horizontal="left" vertical="center" shrinkToFit="1"/>
      <protection hidden="1"/>
    </xf>
    <xf numFmtId="0" fontId="2" fillId="3" borderId="35" xfId="0" applyNumberFormat="1" applyFont="1" applyFill="1" applyBorder="1" applyAlignment="1" applyProtection="1">
      <alignment horizontal="left" vertical="center" shrinkToFit="1"/>
      <protection hidden="1"/>
    </xf>
    <xf numFmtId="0" fontId="2" fillId="3" borderId="83" xfId="0" applyNumberFormat="1" applyFont="1" applyFill="1" applyBorder="1" applyAlignment="1" applyProtection="1">
      <alignment horizontal="left" vertical="center" shrinkToFit="1"/>
      <protection hidden="1"/>
    </xf>
    <xf numFmtId="0" fontId="2" fillId="3" borderId="39" xfId="0" applyNumberFormat="1" applyFont="1" applyFill="1" applyBorder="1" applyAlignment="1" applyProtection="1">
      <alignment horizontal="left" vertical="center" shrinkToFit="1"/>
      <protection hidden="1"/>
    </xf>
    <xf numFmtId="0" fontId="2" fillId="3" borderId="26" xfId="0" applyNumberFormat="1" applyFont="1" applyFill="1" applyBorder="1" applyAlignment="1" applyProtection="1">
      <alignment horizontal="left" vertical="center" shrinkToFit="1"/>
      <protection hidden="1"/>
    </xf>
    <xf numFmtId="0" fontId="2" fillId="3" borderId="66" xfId="0" applyNumberFormat="1" applyFont="1" applyFill="1" applyBorder="1" applyAlignment="1" applyProtection="1">
      <alignment horizontal="left" vertical="center" shrinkToFit="1"/>
      <protection hidden="1"/>
    </xf>
    <xf numFmtId="0" fontId="2" fillId="3" borderId="30" xfId="0" applyNumberFormat="1" applyFont="1" applyFill="1" applyBorder="1" applyAlignment="1" applyProtection="1">
      <alignment horizontal="left" vertical="center" shrinkToFit="1"/>
      <protection hidden="1"/>
    </xf>
    <xf numFmtId="0" fontId="2" fillId="3" borderId="62" xfId="0" applyFont="1" applyFill="1" applyBorder="1" applyAlignment="1" applyProtection="1">
      <alignment horizontal="left" vertical="center" wrapText="1"/>
      <protection hidden="1"/>
    </xf>
    <xf numFmtId="0" fontId="2" fillId="3" borderId="84" xfId="0" applyFont="1" applyFill="1" applyBorder="1" applyAlignment="1" applyProtection="1">
      <alignment horizontal="left" vertical="center" wrapText="1"/>
      <protection hidden="1"/>
    </xf>
    <xf numFmtId="0" fontId="2" fillId="3" borderId="85" xfId="0" applyFont="1" applyFill="1" applyBorder="1" applyAlignment="1" applyProtection="1">
      <alignment horizontal="left" vertical="center" wrapText="1"/>
      <protection hidden="1"/>
    </xf>
    <xf numFmtId="0" fontId="2" fillId="3" borderId="61" xfId="0" applyFont="1" applyFill="1" applyBorder="1" applyAlignment="1" applyProtection="1">
      <alignment horizontal="left" vertical="center" wrapText="1"/>
      <protection hidden="1"/>
    </xf>
    <xf numFmtId="0" fontId="23" fillId="3" borderId="78" xfId="0" applyFont="1" applyFill="1" applyBorder="1" applyAlignment="1" applyProtection="1">
      <alignment horizontal="center" vertical="center"/>
      <protection hidden="1"/>
    </xf>
    <xf numFmtId="0" fontId="23" fillId="3" borderId="77" xfId="0" applyFont="1" applyFill="1" applyBorder="1" applyAlignment="1" applyProtection="1">
      <alignment horizontal="center" vertical="center"/>
      <protection hidden="1"/>
    </xf>
    <xf numFmtId="0" fontId="53" fillId="3" borderId="7" xfId="0" applyFont="1" applyFill="1" applyBorder="1" applyAlignment="1" applyProtection="1">
      <alignment horizontal="left" vertical="center" wrapText="1"/>
      <protection hidden="1"/>
    </xf>
    <xf numFmtId="0" fontId="53" fillId="3" borderId="12" xfId="0" applyFont="1" applyFill="1" applyBorder="1" applyAlignment="1" applyProtection="1">
      <alignment horizontal="left" vertical="center" wrapText="1"/>
      <protection hidden="1"/>
    </xf>
    <xf numFmtId="0" fontId="2" fillId="3" borderId="63" xfId="0" applyNumberFormat="1" applyFont="1" applyFill="1" applyBorder="1" applyAlignment="1" applyProtection="1">
      <alignment horizontal="left" vertical="center" shrinkToFit="1"/>
      <protection hidden="1"/>
    </xf>
    <xf numFmtId="0" fontId="29" fillId="3" borderId="67" xfId="0" applyFont="1" applyFill="1" applyBorder="1" applyAlignment="1" applyProtection="1">
      <alignment horizontal="center" vertical="center"/>
      <protection hidden="1"/>
    </xf>
    <xf numFmtId="0" fontId="29" fillId="3" borderId="20" xfId="0" applyFont="1" applyFill="1" applyBorder="1" applyAlignment="1" applyProtection="1">
      <alignment horizontal="center" vertical="center"/>
      <protection hidden="1"/>
    </xf>
    <xf numFmtId="0" fontId="2" fillId="3" borderId="28" xfId="0" applyNumberFormat="1" applyFont="1" applyFill="1" applyBorder="1" applyAlignment="1" applyProtection="1">
      <alignment horizontal="left" vertical="center" shrinkToFit="1"/>
      <protection hidden="1"/>
    </xf>
    <xf numFmtId="0" fontId="29" fillId="3" borderId="3" xfId="0" applyFont="1" applyFill="1" applyBorder="1" applyAlignment="1" applyProtection="1">
      <alignment horizontal="center" vertical="center"/>
      <protection hidden="1"/>
    </xf>
    <xf numFmtId="0" fontId="58" fillId="2" borderId="3" xfId="0" applyFont="1" applyFill="1" applyBorder="1" applyAlignment="1">
      <alignment horizontal="center" vertical="center"/>
    </xf>
    <xf numFmtId="0" fontId="62" fillId="0" borderId="0" xfId="0" applyFont="1" applyAlignment="1">
      <alignment horizontal="center"/>
    </xf>
    <xf numFmtId="0" fontId="63" fillId="3" borderId="0" xfId="0" applyFont="1" applyFill="1" applyBorder="1" applyAlignment="1" applyProtection="1">
      <alignment horizontal="left" vertical="center" shrinkToFit="1"/>
      <protection hidden="1"/>
    </xf>
    <xf numFmtId="0" fontId="2" fillId="3" borderId="0" xfId="0" applyFont="1" applyFill="1" applyBorder="1" applyAlignment="1" applyProtection="1">
      <alignment horizontal="left" vertical="center"/>
      <protection hidden="1"/>
    </xf>
    <xf numFmtId="0" fontId="64" fillId="3" borderId="90" xfId="0" applyFont="1" applyFill="1" applyBorder="1" applyAlignment="1" applyProtection="1">
      <alignment horizontal="center"/>
      <protection hidden="1"/>
    </xf>
    <xf numFmtId="0" fontId="29" fillId="0" borderId="4" xfId="0" applyFont="1" applyFill="1" applyBorder="1" applyAlignment="1" applyProtection="1">
      <alignment horizontal="center" vertical="center"/>
      <protection locked="0"/>
    </xf>
    <xf numFmtId="0" fontId="29" fillId="0" borderId="13" xfId="0" applyFont="1" applyFill="1" applyBorder="1" applyAlignment="1" applyProtection="1">
      <alignment horizontal="center" vertical="center"/>
      <protection locked="0"/>
    </xf>
    <xf numFmtId="0" fontId="29" fillId="3" borderId="7" xfId="0" applyFont="1" applyFill="1" applyBorder="1" applyAlignment="1" applyProtection="1">
      <alignment horizontal="center" vertical="center"/>
      <protection hidden="1"/>
    </xf>
    <xf numFmtId="0" fontId="29" fillId="3" borderId="12" xfId="0" applyFont="1" applyFill="1" applyBorder="1" applyAlignment="1" applyProtection="1">
      <alignment horizontal="center" vertical="center"/>
      <protection hidden="1"/>
    </xf>
    <xf numFmtId="0" fontId="29" fillId="3" borderId="11" xfId="0" applyFont="1" applyFill="1" applyBorder="1" applyAlignment="1" applyProtection="1">
      <alignment horizontal="center" vertical="center"/>
      <protection hidden="1"/>
    </xf>
    <xf numFmtId="0" fontId="43" fillId="3" borderId="70" xfId="0" applyFont="1" applyFill="1" applyBorder="1" applyAlignment="1" applyProtection="1">
      <alignment horizontal="left" vertical="center" wrapText="1"/>
      <protection hidden="1"/>
    </xf>
    <xf numFmtId="0" fontId="43" fillId="3" borderId="72" xfId="0" applyFont="1" applyFill="1" applyBorder="1" applyAlignment="1" applyProtection="1">
      <alignment horizontal="left" vertical="center" wrapText="1"/>
      <protection hidden="1"/>
    </xf>
    <xf numFmtId="0" fontId="43" fillId="3" borderId="71" xfId="0" applyFont="1" applyFill="1" applyBorder="1" applyAlignment="1" applyProtection="1">
      <alignment horizontal="left" vertical="center" wrapText="1"/>
      <protection hidden="1"/>
    </xf>
    <xf numFmtId="0" fontId="29" fillId="3" borderId="55" xfId="0" applyFont="1" applyFill="1" applyBorder="1" applyAlignment="1" applyProtection="1">
      <alignment horizontal="center" vertical="center"/>
      <protection hidden="1"/>
    </xf>
    <xf numFmtId="0" fontId="29" fillId="3" borderId="70" xfId="0" applyFont="1" applyFill="1" applyBorder="1" applyAlignment="1" applyProtection="1">
      <alignment horizontal="center" vertical="center"/>
      <protection hidden="1"/>
    </xf>
    <xf numFmtId="0" fontId="29" fillId="3" borderId="72" xfId="0" applyFont="1" applyFill="1" applyBorder="1" applyAlignment="1" applyProtection="1">
      <alignment horizontal="center" vertical="center"/>
      <protection hidden="1"/>
    </xf>
    <xf numFmtId="0" fontId="29" fillId="3" borderId="71" xfId="0" applyFont="1" applyFill="1" applyBorder="1" applyAlignment="1" applyProtection="1">
      <alignment horizontal="center" vertical="center"/>
      <protection hidden="1"/>
    </xf>
    <xf numFmtId="0" fontId="43" fillId="3" borderId="83" xfId="0" applyFont="1" applyFill="1" applyBorder="1" applyAlignment="1" applyProtection="1">
      <alignment horizontal="left" vertical="center"/>
      <protection hidden="1"/>
    </xf>
    <xf numFmtId="0" fontId="43" fillId="3" borderId="22" xfId="0" applyFont="1" applyFill="1" applyBorder="1" applyAlignment="1" applyProtection="1">
      <alignment horizontal="left" vertical="center"/>
      <protection hidden="1"/>
    </xf>
    <xf numFmtId="0" fontId="29" fillId="3" borderId="4" xfId="0" applyFont="1" applyFill="1" applyBorder="1" applyAlignment="1" applyProtection="1">
      <alignment horizontal="center" vertical="center"/>
      <protection hidden="1"/>
    </xf>
    <xf numFmtId="0" fontId="29" fillId="3" borderId="13" xfId="0" applyFont="1" applyFill="1" applyBorder="1" applyAlignment="1" applyProtection="1">
      <alignment horizontal="center" vertical="center"/>
      <protection hidden="1"/>
    </xf>
    <xf numFmtId="0" fontId="43" fillId="3" borderId="57" xfId="0" applyFont="1" applyFill="1" applyBorder="1" applyAlignment="1" applyProtection="1">
      <alignment horizontal="left" vertical="center" shrinkToFit="1"/>
      <protection hidden="1"/>
    </xf>
    <xf numFmtId="0" fontId="43" fillId="3" borderId="91" xfId="0" applyFont="1" applyFill="1" applyBorder="1" applyAlignment="1" applyProtection="1">
      <alignment horizontal="left" vertical="center" shrinkToFit="1"/>
      <protection hidden="1"/>
    </xf>
    <xf numFmtId="0" fontId="43" fillId="3" borderId="92" xfId="0" applyFont="1" applyFill="1" applyBorder="1" applyAlignment="1" applyProtection="1">
      <alignment horizontal="left" vertical="center" shrinkToFit="1"/>
      <protection hidden="1"/>
    </xf>
    <xf numFmtId="0" fontId="53" fillId="3" borderId="21" xfId="0" applyFont="1" applyFill="1" applyBorder="1" applyAlignment="1" applyProtection="1">
      <alignment horizontal="left" vertical="center" wrapText="1"/>
      <protection hidden="1"/>
    </xf>
    <xf numFmtId="0" fontId="53" fillId="3" borderId="83" xfId="0" applyFont="1" applyFill="1" applyBorder="1" applyAlignment="1" applyProtection="1">
      <alignment horizontal="left" vertical="center" wrapText="1"/>
      <protection hidden="1"/>
    </xf>
    <xf numFmtId="0" fontId="53" fillId="3" borderId="22" xfId="0" applyFont="1" applyFill="1" applyBorder="1" applyAlignment="1" applyProtection="1">
      <alignment horizontal="left" vertical="center" wrapText="1"/>
      <protection hidden="1"/>
    </xf>
    <xf numFmtId="0" fontId="2" fillId="3" borderId="21" xfId="0" applyFont="1" applyFill="1" applyBorder="1" applyAlignment="1" applyProtection="1">
      <alignment horizontal="center" vertical="center" wrapText="1"/>
      <protection hidden="1"/>
    </xf>
    <xf numFmtId="0" fontId="2" fillId="3" borderId="83" xfId="0" applyFont="1" applyFill="1" applyBorder="1" applyAlignment="1" applyProtection="1">
      <alignment horizontal="center" vertical="center" wrapText="1"/>
      <protection hidden="1"/>
    </xf>
    <xf numFmtId="0" fontId="2" fillId="3" borderId="22" xfId="0" applyFont="1" applyFill="1" applyBorder="1" applyAlignment="1" applyProtection="1">
      <alignment horizontal="center" vertical="center" wrapText="1"/>
      <protection hidden="1"/>
    </xf>
    <xf numFmtId="0" fontId="69" fillId="3" borderId="7" xfId="0" applyFont="1" applyFill="1" applyBorder="1" applyAlignment="1" applyProtection="1">
      <alignment horizontal="center" vertical="center"/>
      <protection hidden="1"/>
    </xf>
    <xf numFmtId="0" fontId="69" fillId="3" borderId="12" xfId="0" applyFont="1" applyFill="1" applyBorder="1" applyAlignment="1" applyProtection="1">
      <alignment horizontal="center" vertical="center"/>
      <protection hidden="1"/>
    </xf>
    <xf numFmtId="0" fontId="69" fillId="3" borderId="11" xfId="0" applyFont="1" applyFill="1" applyBorder="1" applyAlignment="1" applyProtection="1">
      <alignment horizontal="center" vertical="center"/>
      <protection hidden="1"/>
    </xf>
    <xf numFmtId="0" fontId="68" fillId="3" borderId="0" xfId="0" applyFont="1" applyFill="1" applyBorder="1" applyAlignment="1" applyProtection="1">
      <alignment horizontal="center" vertical="center"/>
      <protection hidden="1"/>
    </xf>
    <xf numFmtId="0" fontId="78" fillId="0" borderId="0" xfId="0" applyFont="1" applyAlignment="1">
      <alignment horizontal="center" vertical="center"/>
    </xf>
    <xf numFmtId="0" fontId="81" fillId="0" borderId="7" xfId="0" applyFont="1" applyBorder="1" applyAlignment="1">
      <alignment horizontal="center" vertical="center"/>
    </xf>
    <xf numFmtId="0" fontId="81" fillId="0" borderId="12" xfId="0" applyFont="1" applyBorder="1" applyAlignment="1">
      <alignment horizontal="center" vertical="center"/>
    </xf>
    <xf numFmtId="0" fontId="81" fillId="0" borderId="11" xfId="0" applyFont="1" applyBorder="1" applyAlignment="1">
      <alignment horizontal="center" vertical="center"/>
    </xf>
    <xf numFmtId="0" fontId="77" fillId="0" borderId="93" xfId="0" applyFont="1" applyBorder="1" applyAlignment="1">
      <alignment horizontal="center" vertical="center" wrapText="1"/>
    </xf>
    <xf numFmtId="0" fontId="77" fillId="0" borderId="24" xfId="0" applyFont="1" applyBorder="1" applyAlignment="1">
      <alignment horizontal="left" vertical="center"/>
    </xf>
    <xf numFmtId="0" fontId="77" fillId="0" borderId="13" xfId="0" applyFont="1" applyBorder="1" applyAlignment="1">
      <alignment horizontal="left" vertical="center"/>
    </xf>
    <xf numFmtId="0" fontId="77" fillId="0" borderId="94" xfId="0" applyFont="1" applyBorder="1" applyAlignment="1">
      <alignment horizontal="left" vertical="center"/>
    </xf>
    <xf numFmtId="0" fontId="77" fillId="0" borderId="95" xfId="0" applyFont="1" applyBorder="1" applyAlignment="1">
      <alignment horizontal="left" vertical="center"/>
    </xf>
    <xf numFmtId="0" fontId="77" fillId="0" borderId="96" xfId="0" applyFont="1" applyBorder="1" applyAlignment="1">
      <alignment horizontal="left" vertical="center"/>
    </xf>
    <xf numFmtId="0" fontId="77" fillId="0" borderId="68" xfId="0" applyFont="1" applyBorder="1" applyAlignment="1">
      <alignment horizontal="left" vertical="center"/>
    </xf>
    <xf numFmtId="0" fontId="77" fillId="0" borderId="69" xfId="0" applyFont="1" applyBorder="1" applyAlignment="1">
      <alignment horizontal="left" vertical="center"/>
    </xf>
    <xf numFmtId="0" fontId="77" fillId="0" borderId="70" xfId="0" applyFont="1" applyBorder="1" applyAlignment="1">
      <alignment horizontal="left" vertical="center"/>
    </xf>
    <xf numFmtId="0" fontId="77" fillId="0" borderId="71" xfId="0" applyFont="1" applyBorder="1" applyAlignment="1">
      <alignment horizontal="left" vertical="center"/>
    </xf>
    <xf numFmtId="0" fontId="77" fillId="0" borderId="4" xfId="0" applyFont="1" applyBorder="1" applyAlignment="1">
      <alignment horizontal="left" vertical="center"/>
    </xf>
    <xf numFmtId="0" fontId="77" fillId="0" borderId="89" xfId="0" applyFont="1" applyBorder="1" applyAlignment="1">
      <alignment horizontal="left" vertical="center"/>
    </xf>
    <xf numFmtId="0" fontId="77" fillId="0" borderId="15" xfId="0" applyFont="1" applyBorder="1" applyAlignment="1">
      <alignment horizontal="left" vertical="center"/>
    </xf>
    <xf numFmtId="0" fontId="77" fillId="0" borderId="90" xfId="0" applyFont="1" applyBorder="1" applyAlignment="1">
      <alignment horizontal="left" vertical="center"/>
    </xf>
    <xf numFmtId="0" fontId="77" fillId="0" borderId="0" xfId="0" applyFont="1" applyBorder="1" applyAlignment="1">
      <alignment horizontal="left" vertical="center"/>
    </xf>
    <xf numFmtId="0" fontId="81" fillId="0" borderId="93" xfId="0" applyFont="1" applyBorder="1" applyAlignment="1">
      <alignment horizontal="center" vertical="center"/>
    </xf>
    <xf numFmtId="0" fontId="77" fillId="0" borderId="55" xfId="0" applyFont="1" applyBorder="1" applyAlignment="1">
      <alignment horizontal="left" vertical="center"/>
    </xf>
  </cellXfs>
  <cellStyles count="4">
    <cellStyle name="Hyperlink" xfId="3"/>
    <cellStyle name="Normal" xfId="0" builtinId="0"/>
    <cellStyle name="Normal 4 2" xfId="2"/>
    <cellStyle name="Normal 7" xfId="1"/>
  </cellStyles>
  <dxfs count="5">
    <dxf>
      <font>
        <sz val="10"/>
        <color rgb="FF9C0006"/>
      </font>
    </dxf>
    <dxf>
      <font>
        <sz val="10"/>
        <color rgb="FF9C0006"/>
      </font>
    </dxf>
    <dxf>
      <font>
        <sz val="10"/>
        <color rgb="FF9C0006"/>
      </font>
    </dxf>
    <dxf>
      <font>
        <sz val="10"/>
        <color rgb="FF9C0006"/>
      </font>
    </dxf>
    <dxf>
      <font>
        <sz val="10"/>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5.jpeg"/><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xdr:from>
      <xdr:col>8</xdr:col>
      <xdr:colOff>18728</xdr:colOff>
      <xdr:row>1</xdr:row>
      <xdr:rowOff>37951</xdr:rowOff>
    </xdr:from>
    <xdr:to>
      <xdr:col>9</xdr:col>
      <xdr:colOff>447463</xdr:colOff>
      <xdr:row>3</xdr:row>
      <xdr:rowOff>37951</xdr:rowOff>
    </xdr:to>
    <xdr:sp macro="" textlink="">
      <xdr:nvSpPr>
        <xdr:cNvPr id="2" name="rect"/>
        <xdr:cNvSpPr/>
      </xdr:nvSpPr>
      <xdr:spPr>
        <a:xfrm>
          <a:off x="6743700" y="266700"/>
          <a:ext cx="885825" cy="323850"/>
        </a:xfrm>
        <a:prstGeom prst="rect">
          <a:avLst/>
        </a:prstGeom>
        <a:solidFill>
          <a:srgbClr val="9BBB59"/>
        </a:solidFill>
        <a:ln w="9525" cap="flat" cmpd="sng">
          <a:solidFill>
            <a:srgbClr val="9BBB59"/>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200" b="1">
              <a:solidFill>
                <a:srgbClr val="FFFFFF"/>
              </a:solidFill>
              <a:latin typeface="Arial" panose="00000000000000000000" charset="0"/>
              <a:ea typeface="Arial" panose="00000000000000000000" charset="0"/>
            </a:rPr>
            <a:t>LEGER</a:t>
          </a:r>
        </a:p>
      </xdr:txBody>
    </xdr:sp>
    <xdr:clientData/>
  </xdr:twoCellAnchor>
  <xdr:twoCellAnchor>
    <xdr:from>
      <xdr:col>9</xdr:col>
      <xdr:colOff>656612</xdr:colOff>
      <xdr:row>1</xdr:row>
      <xdr:rowOff>37951</xdr:rowOff>
    </xdr:from>
    <xdr:to>
      <xdr:col>11</xdr:col>
      <xdr:colOff>180878</xdr:colOff>
      <xdr:row>3</xdr:row>
      <xdr:rowOff>37951</xdr:rowOff>
    </xdr:to>
    <xdr:sp macro="" textlink="">
      <xdr:nvSpPr>
        <xdr:cNvPr id="3" name="rect"/>
        <xdr:cNvSpPr/>
      </xdr:nvSpPr>
      <xdr:spPr>
        <a:xfrm>
          <a:off x="7839075" y="266700"/>
          <a:ext cx="885825" cy="323850"/>
        </a:xfrm>
        <a:prstGeom prst="rect">
          <a:avLst/>
        </a:prstGeom>
        <a:solidFill>
          <a:srgbClr val="9BBB59"/>
        </a:solidFill>
        <a:ln w="9525" cap="flat" cmpd="sng">
          <a:solidFill>
            <a:srgbClr val="9BBB59"/>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200" b="1">
              <a:solidFill>
                <a:srgbClr val="FFFFFF"/>
              </a:solidFill>
              <a:latin typeface="Arial" panose="00000000000000000000" charset="0"/>
              <a:ea typeface="Arial" panose="00000000000000000000" charset="0"/>
            </a:rPr>
            <a:t>PRESTASI</a:t>
          </a:r>
        </a:p>
      </xdr:txBody>
    </xdr:sp>
    <xdr:clientData/>
  </xdr:twoCellAnchor>
  <xdr:twoCellAnchor>
    <xdr:from>
      <xdr:col>11</xdr:col>
      <xdr:colOff>399551</xdr:colOff>
      <xdr:row>1</xdr:row>
      <xdr:rowOff>37951</xdr:rowOff>
    </xdr:from>
    <xdr:to>
      <xdr:col>13</xdr:col>
      <xdr:colOff>66141</xdr:colOff>
      <xdr:row>3</xdr:row>
      <xdr:rowOff>37951</xdr:rowOff>
    </xdr:to>
    <xdr:sp macro="" textlink="">
      <xdr:nvSpPr>
        <xdr:cNvPr id="4" name="rect"/>
        <xdr:cNvSpPr/>
      </xdr:nvSpPr>
      <xdr:spPr>
        <a:xfrm>
          <a:off x="8943975" y="266700"/>
          <a:ext cx="885825" cy="323850"/>
        </a:xfrm>
        <a:prstGeom prst="rect">
          <a:avLst/>
        </a:prstGeom>
        <a:solidFill>
          <a:srgbClr val="9BBB59"/>
        </a:solidFill>
        <a:ln w="9525" cap="flat" cmpd="sng">
          <a:solidFill>
            <a:srgbClr val="9BBB59"/>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200" b="1">
              <a:solidFill>
                <a:srgbClr val="FFFFFF"/>
              </a:solidFill>
              <a:latin typeface="Arial" panose="00000000000000000000" charset="0"/>
              <a:ea typeface="Arial" panose="00000000000000000000" charset="0"/>
            </a:rPr>
            <a:t>RAPOR</a:t>
          </a:r>
        </a:p>
      </xdr:txBody>
    </xdr:sp>
    <xdr:clientData/>
  </xdr:twoCellAnchor>
  <xdr:twoCellAnchor>
    <xdr:from>
      <xdr:col>13</xdr:col>
      <xdr:colOff>209224</xdr:colOff>
      <xdr:row>1</xdr:row>
      <xdr:rowOff>37951</xdr:rowOff>
    </xdr:from>
    <xdr:to>
      <xdr:col>14</xdr:col>
      <xdr:colOff>485266</xdr:colOff>
      <xdr:row>3</xdr:row>
      <xdr:rowOff>37951</xdr:rowOff>
    </xdr:to>
    <xdr:sp macro="" textlink="">
      <xdr:nvSpPr>
        <xdr:cNvPr id="5" name="rect"/>
        <xdr:cNvSpPr/>
      </xdr:nvSpPr>
      <xdr:spPr>
        <a:xfrm>
          <a:off x="9972675" y="266700"/>
          <a:ext cx="885825" cy="323850"/>
        </a:xfrm>
        <a:prstGeom prst="rect">
          <a:avLst/>
        </a:prstGeom>
        <a:solidFill>
          <a:srgbClr val="9BBB59"/>
        </a:solidFill>
        <a:ln w="9525" cap="flat" cmpd="sng">
          <a:solidFill>
            <a:srgbClr val="9BBB59"/>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200" b="1">
              <a:solidFill>
                <a:srgbClr val="FFFFFF"/>
              </a:solidFill>
              <a:latin typeface="Arial" panose="00000000000000000000" charset="0"/>
              <a:ea typeface="Arial" panose="00000000000000000000" charset="0"/>
            </a:rPr>
            <a:t>COVER</a:t>
          </a:r>
        </a:p>
      </xdr:txBody>
    </xdr:sp>
    <xdr:clientData/>
  </xdr:twoCellAnchor>
  <xdr:twoCellAnchor>
    <xdr:from>
      <xdr:col>15</xdr:col>
      <xdr:colOff>28346</xdr:colOff>
      <xdr:row>1</xdr:row>
      <xdr:rowOff>37951</xdr:rowOff>
    </xdr:from>
    <xdr:to>
      <xdr:col>16</xdr:col>
      <xdr:colOff>304388</xdr:colOff>
      <xdr:row>3</xdr:row>
      <xdr:rowOff>37951</xdr:rowOff>
    </xdr:to>
    <xdr:sp macro="" textlink="">
      <xdr:nvSpPr>
        <xdr:cNvPr id="6" name="rect"/>
        <xdr:cNvSpPr/>
      </xdr:nvSpPr>
      <xdr:spPr>
        <a:xfrm>
          <a:off x="11010900" y="266700"/>
          <a:ext cx="885825" cy="323850"/>
        </a:xfrm>
        <a:prstGeom prst="rect">
          <a:avLst/>
        </a:prstGeom>
        <a:solidFill>
          <a:srgbClr val="9BBB59"/>
        </a:solidFill>
        <a:ln w="9525" cap="flat" cmpd="sng">
          <a:solidFill>
            <a:srgbClr val="9BBB59"/>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200" b="1">
              <a:solidFill>
                <a:srgbClr val="FFFFFF"/>
              </a:solidFill>
              <a:latin typeface="Arial" panose="00000000000000000000" charset="0"/>
              <a:ea typeface="Arial" panose="00000000000000000000" charset="0"/>
            </a:rPr>
            <a:t>IDENTITAS</a:t>
          </a:r>
        </a:p>
      </xdr:txBody>
    </xdr:sp>
    <xdr:clientData/>
  </xdr:twoCellAnchor>
  <xdr:twoCellAnchor>
    <xdr:from>
      <xdr:col>17</xdr:col>
      <xdr:colOff>9448</xdr:colOff>
      <xdr:row>2</xdr:row>
      <xdr:rowOff>75902</xdr:rowOff>
    </xdr:from>
    <xdr:to>
      <xdr:col>18</xdr:col>
      <xdr:colOff>285490</xdr:colOff>
      <xdr:row>4</xdr:row>
      <xdr:rowOff>75902</xdr:rowOff>
    </xdr:to>
    <xdr:sp macro="" textlink="">
      <xdr:nvSpPr>
        <xdr:cNvPr id="7" name="rect"/>
        <xdr:cNvSpPr/>
      </xdr:nvSpPr>
      <xdr:spPr>
        <a:xfrm>
          <a:off x="12211050" y="466725"/>
          <a:ext cx="885825" cy="323850"/>
        </a:xfrm>
        <a:prstGeom prst="rect">
          <a:avLst/>
        </a:prstGeom>
        <a:solidFill>
          <a:srgbClr val="9BBB59"/>
        </a:solidFill>
        <a:ln w="9525" cap="flat" cmpd="sng">
          <a:solidFill>
            <a:srgbClr val="9BBB59"/>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200" b="1">
              <a:solidFill>
                <a:srgbClr val="FFFFFF"/>
              </a:solidFill>
              <a:latin typeface="Arial" panose="00000000000000000000" charset="0"/>
              <a:ea typeface="Arial" panose="00000000000000000000" charset="0"/>
            </a:rPr>
            <a:t>Mutasi_M</a:t>
          </a:r>
        </a:p>
      </xdr:txBody>
    </xdr:sp>
    <xdr:clientData/>
  </xdr:twoCellAnchor>
  <xdr:twoCellAnchor>
    <xdr:from>
      <xdr:col>17</xdr:col>
      <xdr:colOff>18897</xdr:colOff>
      <xdr:row>0</xdr:row>
      <xdr:rowOff>88403</xdr:rowOff>
    </xdr:from>
    <xdr:to>
      <xdr:col>18</xdr:col>
      <xdr:colOff>294939</xdr:colOff>
      <xdr:row>2</xdr:row>
      <xdr:rowOff>25300</xdr:rowOff>
    </xdr:to>
    <xdr:sp macro="" textlink="">
      <xdr:nvSpPr>
        <xdr:cNvPr id="8" name="rect"/>
        <xdr:cNvSpPr/>
      </xdr:nvSpPr>
      <xdr:spPr>
        <a:xfrm>
          <a:off x="12220575" y="95250"/>
          <a:ext cx="885825" cy="323850"/>
        </a:xfrm>
        <a:prstGeom prst="rect">
          <a:avLst/>
        </a:prstGeom>
        <a:solidFill>
          <a:srgbClr val="9BBB59"/>
        </a:solidFill>
        <a:ln w="9525" cap="flat" cmpd="sng">
          <a:solidFill>
            <a:srgbClr val="9BBB59"/>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200" b="1">
              <a:solidFill>
                <a:srgbClr val="FFFFFF"/>
              </a:solidFill>
              <a:latin typeface="Arial" panose="00000000000000000000" charset="0"/>
              <a:ea typeface="Arial" panose="00000000000000000000" charset="0"/>
            </a:rPr>
            <a:t>Mutasi_K</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11130</xdr:colOff>
      <xdr:row>1</xdr:row>
      <xdr:rowOff>0</xdr:rowOff>
    </xdr:from>
    <xdr:to>
      <xdr:col>23</xdr:col>
      <xdr:colOff>316536</xdr:colOff>
      <xdr:row>3</xdr:row>
      <xdr:rowOff>71474</xdr:rowOff>
    </xdr:to>
    <xdr:sp macro="" textlink="">
      <xdr:nvSpPr>
        <xdr:cNvPr id="2" name=" "/>
        <xdr:cNvSpPr txBox="1"/>
      </xdr:nvSpPr>
      <xdr:spPr>
        <a:xfrm>
          <a:off x="5838265" y="202826"/>
          <a:ext cx="3298275" cy="262572"/>
        </a:xfrm>
        <a:prstGeom prst="rect">
          <a:avLst/>
        </a:prstGeom>
        <a:solidFill>
          <a:srgbClr val="4BABC5"/>
        </a:solidFill>
        <a:ln w="9525" cap="flat" cmpd="sng">
          <a:solidFill>
            <a:srgbClr val="4BABC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b="1">
              <a:solidFill>
                <a:srgbClr val="000000"/>
              </a:solidFill>
              <a:latin typeface="Tahoma" panose="00000000000000000000" charset="0"/>
              <a:ea typeface="Tahoma" panose="00000000000000000000" charset="0"/>
            </a:rPr>
            <a:t>NON MUSLIM Nilai BTQ diisi tanda strip ( - )</a:t>
          </a:r>
        </a:p>
      </xdr:txBody>
    </xdr:sp>
    <xdr:clientData/>
  </xdr:twoCellAnchor>
  <xdr:twoCellAnchor>
    <xdr:from>
      <xdr:col>27</xdr:col>
      <xdr:colOff>761926</xdr:colOff>
      <xdr:row>0</xdr:row>
      <xdr:rowOff>139154</xdr:rowOff>
    </xdr:from>
    <xdr:to>
      <xdr:col>29</xdr:col>
      <xdr:colOff>145057</xdr:colOff>
      <xdr:row>2</xdr:row>
      <xdr:rowOff>75902</xdr:rowOff>
    </xdr:to>
    <xdr:sp macro="" textlink="">
      <xdr:nvSpPr>
        <xdr:cNvPr id="3" name="rect"/>
        <xdr:cNvSpPr/>
      </xdr:nvSpPr>
      <xdr:spPr>
        <a:xfrm>
          <a:off x="9816353" y="145677"/>
          <a:ext cx="862293" cy="323850"/>
        </a:xfrm>
        <a:prstGeom prst="rect">
          <a:avLst/>
        </a:prstGeom>
        <a:solidFill>
          <a:srgbClr val="9BBB59"/>
        </a:solidFill>
        <a:ln w="9525" cap="flat" cmpd="sng">
          <a:solidFill>
            <a:srgbClr val="9BBB59"/>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200" b="1">
              <a:solidFill>
                <a:srgbClr val="FFFFFF"/>
              </a:solidFill>
              <a:latin typeface="Arial" panose="00000000000000000000" charset="0"/>
              <a:ea typeface="Arial" panose="00000000000000000000" charset="0"/>
            </a:rPr>
            <a:t>BIODATA</a:t>
          </a:r>
        </a:p>
      </xdr:txBody>
    </xdr:sp>
    <xdr:clientData/>
  </xdr:twoCellAnchor>
  <xdr:twoCellAnchor>
    <xdr:from>
      <xdr:col>29</xdr:col>
      <xdr:colOff>313729</xdr:colOff>
      <xdr:row>0</xdr:row>
      <xdr:rowOff>139154</xdr:rowOff>
    </xdr:from>
    <xdr:to>
      <xdr:col>32</xdr:col>
      <xdr:colOff>96243</xdr:colOff>
      <xdr:row>2</xdr:row>
      <xdr:rowOff>88552</xdr:rowOff>
    </xdr:to>
    <xdr:sp macro="" textlink="">
      <xdr:nvSpPr>
        <xdr:cNvPr id="4" name="rect"/>
        <xdr:cNvSpPr/>
      </xdr:nvSpPr>
      <xdr:spPr>
        <a:xfrm>
          <a:off x="10847296" y="152398"/>
          <a:ext cx="870148" cy="323850"/>
        </a:xfrm>
        <a:prstGeom prst="rect">
          <a:avLst/>
        </a:prstGeom>
        <a:solidFill>
          <a:srgbClr val="9BBB59"/>
        </a:solidFill>
        <a:ln w="9525" cap="flat" cmpd="sng">
          <a:solidFill>
            <a:srgbClr val="9BBB59"/>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200" b="1">
              <a:solidFill>
                <a:srgbClr val="FFFFFF"/>
              </a:solidFill>
              <a:latin typeface="Arial" panose="00000000000000000000" charset="0"/>
              <a:ea typeface="Arial" panose="00000000000000000000" charset="0"/>
            </a:rPr>
            <a:t>PRESTASI</a:t>
          </a:r>
        </a:p>
      </xdr:txBody>
    </xdr:sp>
    <xdr:clientData/>
  </xdr:twoCellAnchor>
  <xdr:twoCellAnchor>
    <xdr:from>
      <xdr:col>32</xdr:col>
      <xdr:colOff>236906</xdr:colOff>
      <xdr:row>0</xdr:row>
      <xdr:rowOff>139154</xdr:rowOff>
    </xdr:from>
    <xdr:to>
      <xdr:col>32</xdr:col>
      <xdr:colOff>1122838</xdr:colOff>
      <xdr:row>2</xdr:row>
      <xdr:rowOff>88552</xdr:rowOff>
    </xdr:to>
    <xdr:sp macro="" textlink="">
      <xdr:nvSpPr>
        <xdr:cNvPr id="5" name="rect"/>
        <xdr:cNvSpPr/>
      </xdr:nvSpPr>
      <xdr:spPr>
        <a:xfrm>
          <a:off x="13370880" y="147914"/>
          <a:ext cx="885825" cy="323850"/>
        </a:xfrm>
        <a:prstGeom prst="rect">
          <a:avLst/>
        </a:prstGeom>
        <a:solidFill>
          <a:srgbClr val="9BBB59"/>
        </a:solidFill>
        <a:ln w="9525" cap="flat" cmpd="sng">
          <a:solidFill>
            <a:srgbClr val="9BBB59"/>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200" b="1">
              <a:solidFill>
                <a:srgbClr val="FFFFFF"/>
              </a:solidFill>
              <a:latin typeface="Arial" panose="00000000000000000000" charset="0"/>
              <a:ea typeface="Arial" panose="00000000000000000000" charset="0"/>
            </a:rPr>
            <a:t>RAPOR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332734</xdr:colOff>
      <xdr:row>0</xdr:row>
      <xdr:rowOff>63289</xdr:rowOff>
    </xdr:from>
    <xdr:to>
      <xdr:col>10</xdr:col>
      <xdr:colOff>0</xdr:colOff>
      <xdr:row>2</xdr:row>
      <xdr:rowOff>37951</xdr:rowOff>
    </xdr:to>
    <xdr:sp macro="" textlink="">
      <xdr:nvSpPr>
        <xdr:cNvPr id="2" name="rect"/>
        <xdr:cNvSpPr/>
      </xdr:nvSpPr>
      <xdr:spPr>
        <a:xfrm>
          <a:off x="6877050" y="66675"/>
          <a:ext cx="885825" cy="323850"/>
        </a:xfrm>
        <a:prstGeom prst="rect">
          <a:avLst/>
        </a:prstGeom>
        <a:solidFill>
          <a:srgbClr val="9BBB59"/>
        </a:solidFill>
        <a:ln w="9525" cap="flat" cmpd="sng">
          <a:solidFill>
            <a:srgbClr val="9BBB59"/>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200" b="1">
              <a:solidFill>
                <a:srgbClr val="FFFFFF"/>
              </a:solidFill>
              <a:latin typeface="Arial" panose="00000000000000000000" charset="0"/>
              <a:ea typeface="Arial" panose="00000000000000000000" charset="0"/>
            </a:rPr>
            <a:t>BIODATA</a:t>
          </a:r>
        </a:p>
      </xdr:txBody>
    </xdr:sp>
    <xdr:clientData/>
  </xdr:twoCellAnchor>
  <xdr:twoCellAnchor>
    <xdr:from>
      <xdr:col>10</xdr:col>
      <xdr:colOff>123510</xdr:colOff>
      <xdr:row>0</xdr:row>
      <xdr:rowOff>75790</xdr:rowOff>
    </xdr:from>
    <xdr:to>
      <xdr:col>11</xdr:col>
      <xdr:colOff>399551</xdr:colOff>
      <xdr:row>2</xdr:row>
      <xdr:rowOff>50601</xdr:rowOff>
    </xdr:to>
    <xdr:sp macro="" textlink="">
      <xdr:nvSpPr>
        <xdr:cNvPr id="3" name="rect"/>
        <xdr:cNvSpPr/>
      </xdr:nvSpPr>
      <xdr:spPr>
        <a:xfrm>
          <a:off x="7886700" y="85725"/>
          <a:ext cx="885825" cy="323850"/>
        </a:xfrm>
        <a:prstGeom prst="rect">
          <a:avLst/>
        </a:prstGeom>
        <a:solidFill>
          <a:srgbClr val="9BBB59"/>
        </a:solidFill>
        <a:ln w="9525" cap="flat" cmpd="sng">
          <a:solidFill>
            <a:srgbClr val="9BBB59"/>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200" b="1">
              <a:solidFill>
                <a:srgbClr val="FFFFFF"/>
              </a:solidFill>
              <a:latin typeface="Arial" panose="00000000000000000000" charset="0"/>
              <a:ea typeface="Arial" panose="00000000000000000000" charset="0"/>
            </a:rPr>
            <a:t>LEGER</a:t>
          </a:r>
        </a:p>
      </xdr:txBody>
    </xdr:sp>
    <xdr:clientData/>
  </xdr:twoCellAnchor>
  <xdr:twoCellAnchor>
    <xdr:from>
      <xdr:col>11</xdr:col>
      <xdr:colOff>542634</xdr:colOff>
      <xdr:row>0</xdr:row>
      <xdr:rowOff>88292</xdr:rowOff>
    </xdr:from>
    <xdr:to>
      <xdr:col>13</xdr:col>
      <xdr:colOff>209224</xdr:colOff>
      <xdr:row>2</xdr:row>
      <xdr:rowOff>63251</xdr:rowOff>
    </xdr:to>
    <xdr:sp macro="" textlink="">
      <xdr:nvSpPr>
        <xdr:cNvPr id="4" name="rect"/>
        <xdr:cNvSpPr/>
      </xdr:nvSpPr>
      <xdr:spPr>
        <a:xfrm>
          <a:off x="8915400" y="95250"/>
          <a:ext cx="885825" cy="323850"/>
        </a:xfrm>
        <a:prstGeom prst="rect">
          <a:avLst/>
        </a:prstGeom>
        <a:solidFill>
          <a:srgbClr val="9BBB59"/>
        </a:solidFill>
        <a:ln w="9525" cap="flat" cmpd="sng">
          <a:solidFill>
            <a:srgbClr val="9BBB59"/>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200" b="1">
              <a:solidFill>
                <a:srgbClr val="FFFFFF"/>
              </a:solidFill>
              <a:latin typeface="Arial" panose="00000000000000000000" charset="0"/>
              <a:ea typeface="Arial" panose="00000000000000000000" charset="0"/>
            </a:rPr>
            <a:t>RAPOR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571062</xdr:colOff>
      <xdr:row>120</xdr:row>
      <xdr:rowOff>75790</xdr:rowOff>
    </xdr:from>
    <xdr:to>
      <xdr:col>6</xdr:col>
      <xdr:colOff>928</xdr:colOff>
      <xdr:row>122</xdr:row>
      <xdr:rowOff>152362</xdr:rowOff>
    </xdr:to>
    <xdr:pic>
      <xdr:nvPicPr>
        <xdr:cNvPr id="2" name="Picture 4" descr="@1.jpg"/>
        <xdr:cNvPicPr/>
      </xdr:nvPicPr>
      <xdr:blipFill>
        <a:blip xmlns:r="http://schemas.openxmlformats.org/officeDocument/2006/relationships" r:embed="rId1"/>
        <a:srcRect/>
        <a:stretch>
          <a:fillRect/>
        </a:stretch>
      </xdr:blipFill>
      <xdr:spPr>
        <a:xfrm>
          <a:off x="3409949" y="19882284"/>
          <a:ext cx="1485901" cy="453776"/>
        </a:xfrm>
        <a:prstGeom prst="rect">
          <a:avLst/>
        </a:prstGeom>
        <a:noFill/>
        <a:ln>
          <a:noFill/>
        </a:ln>
        <a:effectLst/>
      </xdr:spPr>
    </xdr:pic>
    <xdr:clientData/>
  </xdr:twoCellAnchor>
  <xdr:twoCellAnchor>
    <xdr:from>
      <xdr:col>14</xdr:col>
      <xdr:colOff>25646</xdr:colOff>
      <xdr:row>4</xdr:row>
      <xdr:rowOff>37504</xdr:rowOff>
    </xdr:from>
    <xdr:to>
      <xdr:col>15</xdr:col>
      <xdr:colOff>435867</xdr:colOff>
      <xdr:row>5</xdr:row>
      <xdr:rowOff>164641</xdr:rowOff>
    </xdr:to>
    <xdr:sp macro="" textlink="">
      <xdr:nvSpPr>
        <xdr:cNvPr id="3" name="rect"/>
        <xdr:cNvSpPr/>
      </xdr:nvSpPr>
      <xdr:spPr>
        <a:xfrm>
          <a:off x="7226754" y="850447"/>
          <a:ext cx="1020536" cy="330654"/>
        </a:xfrm>
        <a:prstGeom prst="rect">
          <a:avLst/>
        </a:prstGeom>
        <a:solidFill>
          <a:srgbClr val="9BBB59"/>
        </a:solidFill>
        <a:ln w="9525" cap="flat" cmpd="sng">
          <a:solidFill>
            <a:srgbClr val="9BBB59"/>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200" b="1">
              <a:solidFill>
                <a:srgbClr val="FFFFFF"/>
              </a:solidFill>
              <a:latin typeface="+mn-lt" panose="00000000000000000000" charset="0"/>
              <a:ea typeface="+mn-lt" panose="00000000000000000000" charset="0"/>
            </a:rPr>
            <a:t>BIODATA</a:t>
          </a:r>
        </a:p>
      </xdr:txBody>
    </xdr:sp>
    <xdr:clientData/>
  </xdr:twoCellAnchor>
  <xdr:twoCellAnchor>
    <xdr:from>
      <xdr:col>15</xdr:col>
      <xdr:colOff>510014</xdr:colOff>
      <xdr:row>4</xdr:row>
      <xdr:rowOff>25003</xdr:rowOff>
    </xdr:from>
    <xdr:to>
      <xdr:col>16</xdr:col>
      <xdr:colOff>614074</xdr:colOff>
      <xdr:row>5</xdr:row>
      <xdr:rowOff>177663</xdr:rowOff>
    </xdr:to>
    <xdr:sp macro="" textlink="">
      <xdr:nvSpPr>
        <xdr:cNvPr id="4" name="rect"/>
        <xdr:cNvSpPr/>
      </xdr:nvSpPr>
      <xdr:spPr>
        <a:xfrm>
          <a:off x="8320759" y="836839"/>
          <a:ext cx="1011019" cy="353785"/>
        </a:xfrm>
        <a:prstGeom prst="rect">
          <a:avLst/>
        </a:prstGeom>
        <a:solidFill>
          <a:srgbClr val="9BBB59"/>
        </a:solidFill>
        <a:ln w="9525" cap="flat" cmpd="sng">
          <a:solidFill>
            <a:srgbClr val="9BBB59"/>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200" b="1">
              <a:solidFill>
                <a:srgbClr val="FFFFFF"/>
              </a:solidFill>
              <a:latin typeface="+mn-lt" panose="00000000000000000000" charset="0"/>
              <a:ea typeface="+mn-lt" panose="00000000000000000000" charset="0"/>
            </a:rPr>
            <a:t>LEGER</a:t>
          </a:r>
        </a:p>
      </xdr:txBody>
    </xdr:sp>
    <xdr:clientData/>
  </xdr:twoCellAnchor>
  <xdr:twoCellAnchor>
    <xdr:from>
      <xdr:col>16</xdr:col>
      <xdr:colOff>685216</xdr:colOff>
      <xdr:row>4</xdr:row>
      <xdr:rowOff>50787</xdr:rowOff>
    </xdr:from>
    <xdr:to>
      <xdr:col>16</xdr:col>
      <xdr:colOff>1669982</xdr:colOff>
      <xdr:row>5</xdr:row>
      <xdr:rowOff>177663</xdr:rowOff>
    </xdr:to>
    <xdr:sp macro="" textlink="">
      <xdr:nvSpPr>
        <xdr:cNvPr id="5" name="rect"/>
        <xdr:cNvSpPr/>
      </xdr:nvSpPr>
      <xdr:spPr>
        <a:xfrm>
          <a:off x="9401155" y="864054"/>
          <a:ext cx="987896" cy="326572"/>
        </a:xfrm>
        <a:prstGeom prst="rect">
          <a:avLst/>
        </a:prstGeom>
        <a:solidFill>
          <a:srgbClr val="9BBB59"/>
        </a:solidFill>
        <a:ln w="9525" cap="flat" cmpd="sng">
          <a:solidFill>
            <a:srgbClr val="9BBB59"/>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200" b="1">
              <a:solidFill>
                <a:srgbClr val="FFFFFF"/>
              </a:solidFill>
              <a:latin typeface="+mn-lt" panose="00000000000000000000" charset="0"/>
              <a:ea typeface="+mn-lt" panose="00000000000000000000" charset="0"/>
            </a:rPr>
            <a:t>PRESTASI</a:t>
          </a:r>
        </a:p>
      </xdr:txBody>
    </xdr:sp>
    <xdr:clientData/>
  </xdr:twoCellAnchor>
  <xdr:twoCellAnchor>
    <xdr:from>
      <xdr:col>6</xdr:col>
      <xdr:colOff>397251</xdr:colOff>
      <xdr:row>119</xdr:row>
      <xdr:rowOff>0</xdr:rowOff>
    </xdr:from>
    <xdr:to>
      <xdr:col>9</xdr:col>
      <xdr:colOff>372600</xdr:colOff>
      <xdr:row>121</xdr:row>
      <xdr:rowOff>25003</xdr:rowOff>
    </xdr:to>
    <xdr:pic>
      <xdr:nvPicPr>
        <xdr:cNvPr id="6" name="Picture 1" descr="@1.jpg"/>
        <xdr:cNvPicPr/>
      </xdr:nvPicPr>
      <xdr:blipFill>
        <a:blip xmlns:r="http://schemas.openxmlformats.org/officeDocument/2006/relationships" r:embed="rId2"/>
        <a:srcRect/>
        <a:stretch>
          <a:fillRect/>
        </a:stretch>
      </xdr:blipFill>
      <xdr:spPr>
        <a:xfrm>
          <a:off x="2616656" y="35113232"/>
          <a:ext cx="1451882" cy="428896"/>
        </a:xfrm>
        <a:prstGeom prst="rect">
          <a:avLst/>
        </a:prstGeom>
        <a:noFill/>
        <a:ln>
          <a:noFill/>
        </a:ln>
        <a:effectLst/>
      </xdr:spPr>
    </xdr:pic>
    <xdr:clientData/>
  </xdr:twoCellAnchor>
  <xdr:twoCellAnchor>
    <xdr:from>
      <xdr:col>6</xdr:col>
      <xdr:colOff>474752</xdr:colOff>
      <xdr:row>120</xdr:row>
      <xdr:rowOff>75790</xdr:rowOff>
    </xdr:from>
    <xdr:to>
      <xdr:col>7</xdr:col>
      <xdr:colOff>1138</xdr:colOff>
      <xdr:row>122</xdr:row>
      <xdr:rowOff>152362</xdr:rowOff>
    </xdr:to>
    <xdr:pic>
      <xdr:nvPicPr>
        <xdr:cNvPr id="7" name="Picture 8" descr="@1.jpg"/>
        <xdr:cNvPicPr/>
      </xdr:nvPicPr>
      <xdr:blipFill>
        <a:blip xmlns:r="http://schemas.openxmlformats.org/officeDocument/2006/relationships" r:embed="rId1"/>
        <a:srcRect/>
        <a:stretch>
          <a:fillRect/>
        </a:stretch>
      </xdr:blipFill>
      <xdr:spPr>
        <a:xfrm>
          <a:off x="2219324" y="35388984"/>
          <a:ext cx="1362" cy="479872"/>
        </a:xfrm>
        <a:prstGeom prst="rect">
          <a:avLst/>
        </a:prstGeom>
        <a:noFill/>
        <a:ln>
          <a:noFill/>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14</xdr:col>
      <xdr:colOff>25646</xdr:colOff>
      <xdr:row>4</xdr:row>
      <xdr:rowOff>37207</xdr:rowOff>
    </xdr:from>
    <xdr:to>
      <xdr:col>15</xdr:col>
      <xdr:colOff>435867</xdr:colOff>
      <xdr:row>5</xdr:row>
      <xdr:rowOff>164455</xdr:rowOff>
    </xdr:to>
    <xdr:sp macro="" textlink="">
      <xdr:nvSpPr>
        <xdr:cNvPr id="2" name="rect"/>
        <xdr:cNvSpPr/>
      </xdr:nvSpPr>
      <xdr:spPr>
        <a:xfrm>
          <a:off x="7083879" y="850447"/>
          <a:ext cx="1020536" cy="330654"/>
        </a:xfrm>
        <a:prstGeom prst="rect">
          <a:avLst/>
        </a:prstGeom>
        <a:solidFill>
          <a:srgbClr val="9BBB59"/>
        </a:solidFill>
        <a:ln w="9525" cap="flat" cmpd="sng">
          <a:solidFill>
            <a:srgbClr val="9BBB59"/>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200" b="1">
              <a:solidFill>
                <a:srgbClr val="FFFFFF"/>
              </a:solidFill>
              <a:latin typeface="+mn-lt" panose="00000000000000000000" charset="0"/>
              <a:ea typeface="+mn-lt" panose="00000000000000000000" charset="0"/>
            </a:rPr>
            <a:t>BIODATA</a:t>
          </a:r>
        </a:p>
      </xdr:txBody>
    </xdr:sp>
    <xdr:clientData/>
  </xdr:twoCellAnchor>
  <xdr:twoCellAnchor>
    <xdr:from>
      <xdr:col>15</xdr:col>
      <xdr:colOff>510014</xdr:colOff>
      <xdr:row>4</xdr:row>
      <xdr:rowOff>25114</xdr:rowOff>
    </xdr:from>
    <xdr:to>
      <xdr:col>16</xdr:col>
      <xdr:colOff>614074</xdr:colOff>
      <xdr:row>5</xdr:row>
      <xdr:rowOff>177105</xdr:rowOff>
    </xdr:to>
    <xdr:sp macro="" textlink="">
      <xdr:nvSpPr>
        <xdr:cNvPr id="3" name="rect"/>
        <xdr:cNvSpPr/>
      </xdr:nvSpPr>
      <xdr:spPr>
        <a:xfrm>
          <a:off x="8177884" y="836839"/>
          <a:ext cx="1011019" cy="353785"/>
        </a:xfrm>
        <a:prstGeom prst="rect">
          <a:avLst/>
        </a:prstGeom>
        <a:solidFill>
          <a:srgbClr val="9BBB59"/>
        </a:solidFill>
        <a:ln w="9525" cap="flat" cmpd="sng">
          <a:solidFill>
            <a:srgbClr val="9BBB59"/>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200" b="1">
              <a:solidFill>
                <a:srgbClr val="FFFFFF"/>
              </a:solidFill>
              <a:latin typeface="+mn-lt" panose="00000000000000000000" charset="0"/>
              <a:ea typeface="+mn-lt" panose="00000000000000000000" charset="0"/>
            </a:rPr>
            <a:t>LEGER</a:t>
          </a:r>
        </a:p>
      </xdr:txBody>
    </xdr:sp>
    <xdr:clientData/>
  </xdr:twoCellAnchor>
  <xdr:twoCellAnchor>
    <xdr:from>
      <xdr:col>16</xdr:col>
      <xdr:colOff>685216</xdr:colOff>
      <xdr:row>4</xdr:row>
      <xdr:rowOff>50229</xdr:rowOff>
    </xdr:from>
    <xdr:to>
      <xdr:col>16</xdr:col>
      <xdr:colOff>1669982</xdr:colOff>
      <xdr:row>5</xdr:row>
      <xdr:rowOff>177105</xdr:rowOff>
    </xdr:to>
    <xdr:sp macro="" textlink="">
      <xdr:nvSpPr>
        <xdr:cNvPr id="4" name="rect"/>
        <xdr:cNvSpPr/>
      </xdr:nvSpPr>
      <xdr:spPr>
        <a:xfrm>
          <a:off x="9258280" y="864054"/>
          <a:ext cx="987896" cy="326572"/>
        </a:xfrm>
        <a:prstGeom prst="rect">
          <a:avLst/>
        </a:prstGeom>
        <a:solidFill>
          <a:srgbClr val="9BBB59"/>
        </a:solidFill>
        <a:ln w="9525" cap="flat" cmpd="sng">
          <a:solidFill>
            <a:srgbClr val="9BBB59"/>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200" b="1">
              <a:solidFill>
                <a:srgbClr val="FFFFFF"/>
              </a:solidFill>
              <a:latin typeface="+mn-lt" panose="00000000000000000000" charset="0"/>
              <a:ea typeface="+mn-lt" panose="00000000000000000000" charset="0"/>
            </a:rPr>
            <a:t>PRESTASI</a:t>
          </a:r>
        </a:p>
      </xdr:txBody>
    </xdr:sp>
    <xdr:clientData/>
  </xdr:twoCellAnchor>
  <xdr:twoCellAnchor>
    <xdr:from>
      <xdr:col>5</xdr:col>
      <xdr:colOff>571062</xdr:colOff>
      <xdr:row>79</xdr:row>
      <xdr:rowOff>75902</xdr:rowOff>
    </xdr:from>
    <xdr:to>
      <xdr:col>6</xdr:col>
      <xdr:colOff>1086</xdr:colOff>
      <xdr:row>81</xdr:row>
      <xdr:rowOff>151804</xdr:rowOff>
    </xdr:to>
    <xdr:pic>
      <xdr:nvPicPr>
        <xdr:cNvPr id="5" name="Picture 8" descr="@1.jpg"/>
        <xdr:cNvPicPr/>
      </xdr:nvPicPr>
      <xdr:blipFill>
        <a:blip xmlns:r="http://schemas.openxmlformats.org/officeDocument/2006/relationships" r:embed="rId1"/>
        <a:srcRect/>
        <a:stretch>
          <a:fillRect/>
        </a:stretch>
      </xdr:blipFill>
      <xdr:spPr>
        <a:xfrm>
          <a:off x="2219324" y="35388984"/>
          <a:ext cx="1362" cy="479872"/>
        </a:xfrm>
        <a:prstGeom prst="rect">
          <a:avLst/>
        </a:prstGeom>
        <a:noFill/>
        <a:ln>
          <a:noFill/>
        </a:ln>
        <a:effectLst/>
      </xdr:spPr>
    </xdr:pic>
    <xdr:clientData/>
  </xdr:twoCellAnchor>
  <xdr:twoCellAnchor>
    <xdr:from>
      <xdr:col>6</xdr:col>
      <xdr:colOff>482279</xdr:colOff>
      <xdr:row>78</xdr:row>
      <xdr:rowOff>126503</xdr:rowOff>
    </xdr:from>
    <xdr:to>
      <xdr:col>8</xdr:col>
      <xdr:colOff>409069</xdr:colOff>
      <xdr:row>80</xdr:row>
      <xdr:rowOff>164455</xdr:rowOff>
    </xdr:to>
    <xdr:pic>
      <xdr:nvPicPr>
        <xdr:cNvPr id="6" name="Picture 9" descr="@1.jpg"/>
        <xdr:cNvPicPr/>
      </xdr:nvPicPr>
      <xdr:blipFill>
        <a:blip xmlns:r="http://schemas.openxmlformats.org/officeDocument/2006/relationships" r:embed="rId2"/>
        <a:srcRect/>
        <a:stretch>
          <a:fillRect/>
        </a:stretch>
      </xdr:blipFill>
      <xdr:spPr>
        <a:xfrm>
          <a:off x="2721432" y="14348734"/>
          <a:ext cx="1421944" cy="409844"/>
        </a:xfrm>
        <a:prstGeom prst="rect">
          <a:avLst/>
        </a:prstGeom>
        <a:noFill/>
        <a:ln>
          <a:noFill/>
        </a:ln>
        <a:effectLst/>
      </xdr:spPr>
    </xdr:pic>
    <xdr:clientData/>
  </xdr:twoCellAnchor>
  <xdr:twoCellAnchor>
    <xdr:from>
      <xdr:col>6</xdr:col>
      <xdr:colOff>571348</xdr:colOff>
      <xdr:row>79</xdr:row>
      <xdr:rowOff>75902</xdr:rowOff>
    </xdr:from>
    <xdr:to>
      <xdr:col>6</xdr:col>
      <xdr:colOff>572435</xdr:colOff>
      <xdr:row>81</xdr:row>
      <xdr:rowOff>151804</xdr:rowOff>
    </xdr:to>
    <xdr:pic>
      <xdr:nvPicPr>
        <xdr:cNvPr id="7" name="Picture 10" descr="@1.jpg"/>
        <xdr:cNvPicPr/>
      </xdr:nvPicPr>
      <xdr:blipFill>
        <a:blip xmlns:r="http://schemas.openxmlformats.org/officeDocument/2006/relationships" r:embed="rId1"/>
        <a:srcRect/>
        <a:stretch>
          <a:fillRect/>
        </a:stretch>
      </xdr:blipFill>
      <xdr:spPr>
        <a:xfrm>
          <a:off x="2238374" y="14481608"/>
          <a:ext cx="1362" cy="460824"/>
        </a:xfrm>
        <a:prstGeom prst="rect">
          <a:avLst/>
        </a:prstGeom>
        <a:noFill/>
        <a:ln>
          <a:noFill/>
        </a:ln>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380653</xdr:colOff>
      <xdr:row>0</xdr:row>
      <xdr:rowOff>0</xdr:rowOff>
    </xdr:from>
    <xdr:to>
      <xdr:col>6</xdr:col>
      <xdr:colOff>285490</xdr:colOff>
      <xdr:row>0</xdr:row>
      <xdr:rowOff>0</xdr:rowOff>
    </xdr:to>
    <xdr:pic>
      <xdr:nvPicPr>
        <xdr:cNvPr id="2" name="Picture 3" descr="garuda-pancasila"/>
        <xdr:cNvPicPr/>
      </xdr:nvPicPr>
      <xdr:blipFill>
        <a:blip xmlns:r="http://schemas.openxmlformats.org/officeDocument/2006/relationships" r:embed="rId1">
          <a:lum bright="-6000" contrast="30001"/>
        </a:blip>
        <a:srcRect/>
        <a:stretch>
          <a:fillRect/>
        </a:stretch>
      </xdr:blipFill>
      <xdr:spPr>
        <a:xfrm>
          <a:off x="2371725" y="0"/>
          <a:ext cx="1123950" cy="0"/>
        </a:xfrm>
        <a:prstGeom prst="rect">
          <a:avLst/>
        </a:prstGeom>
        <a:noFill/>
        <a:ln w="9525" cap="flat" cmpd="sng">
          <a:noFill/>
          <a:prstDash val="solid"/>
          <a:miter/>
        </a:ln>
        <a:effectLst/>
      </xdr:spPr>
    </xdr:pic>
    <xdr:clientData/>
  </xdr:twoCellAnchor>
  <xdr:twoCellAnchor>
    <xdr:from>
      <xdr:col>4</xdr:col>
      <xdr:colOff>409000</xdr:colOff>
      <xdr:row>0</xdr:row>
      <xdr:rowOff>0</xdr:rowOff>
    </xdr:from>
    <xdr:to>
      <xdr:col>6</xdr:col>
      <xdr:colOff>332734</xdr:colOff>
      <xdr:row>0</xdr:row>
      <xdr:rowOff>0</xdr:rowOff>
    </xdr:to>
    <xdr:pic>
      <xdr:nvPicPr>
        <xdr:cNvPr id="3" name="Picture 4" descr="logo pemkot"/>
        <xdr:cNvPicPr/>
      </xdr:nvPicPr>
      <xdr:blipFill>
        <a:blip xmlns:r="http://schemas.openxmlformats.org/officeDocument/2006/relationships" r:embed="rId2">
          <a:lum bright="6000" contrast="36000"/>
        </a:blip>
        <a:srcRect/>
        <a:stretch>
          <a:fillRect/>
        </a:stretch>
      </xdr:blipFill>
      <xdr:spPr>
        <a:xfrm>
          <a:off x="2400300" y="0"/>
          <a:ext cx="1143000" cy="0"/>
        </a:xfrm>
        <a:prstGeom prst="rect">
          <a:avLst/>
        </a:prstGeom>
        <a:noFill/>
        <a:ln w="9525" cap="flat" cmpd="sng">
          <a:noFill/>
          <a:prstDash val="solid"/>
          <a:miter/>
        </a:ln>
        <a:effectLst/>
      </xdr:spPr>
    </xdr:pic>
    <xdr:clientData/>
  </xdr:twoCellAnchor>
  <xdr:twoCellAnchor>
    <xdr:from>
      <xdr:col>1</xdr:col>
      <xdr:colOff>114061</xdr:colOff>
      <xdr:row>0</xdr:row>
      <xdr:rowOff>0</xdr:rowOff>
    </xdr:from>
    <xdr:to>
      <xdr:col>9</xdr:col>
      <xdr:colOff>494715</xdr:colOff>
      <xdr:row>0</xdr:row>
      <xdr:rowOff>0</xdr:rowOff>
    </xdr:to>
    <xdr:sp macro="" textlink="">
      <xdr:nvSpPr>
        <xdr:cNvPr id="4" name=" "/>
        <xdr:cNvSpPr txBox="1"/>
      </xdr:nvSpPr>
      <xdr:spPr>
        <a:xfrm>
          <a:off x="114300" y="0"/>
          <a:ext cx="5257800" cy="0"/>
        </a:xfrm>
        <a:prstGeom prst="rect">
          <a:avLst/>
        </a:prstGeom>
        <a:solidFill>
          <a:srgbClr val="FFFFFF"/>
        </a:solid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1440" tIns="45720" rIns="91440" bIns="45720" anchor="t" upright="1"/>
        <a:lstStyle/>
        <a:p>
          <a:pPr algn="ctr"/>
          <a:r>
            <a:rPr lang="en-US" altLang="zh-CN" sz="2000" b="1">
              <a:solidFill>
                <a:srgbClr val="000000"/>
              </a:solidFill>
              <a:latin typeface="Times New Roman" panose="00000000000000000000" charset="0"/>
              <a:ea typeface="Times New Roman" panose="00000000000000000000" charset="0"/>
            </a:rPr>
            <a:t>SMA NEGERI 8 SAMARINDA</a:t>
          </a:r>
        </a:p>
        <a:p>
          <a:pPr algn="ctr"/>
          <a:r>
            <a:rPr lang="en-US" altLang="zh-CN" sz="1100">
              <a:solidFill>
                <a:srgbClr val="000000"/>
              </a:solidFill>
              <a:latin typeface="Times New Roman" panose="00000000000000000000" charset="0"/>
              <a:ea typeface="Times New Roman" panose="00000000000000000000" charset="0"/>
            </a:rPr>
            <a:t>Jl. Untung Suropati – Sungai Kunjang</a:t>
          </a:r>
        </a:p>
        <a:p>
          <a:pPr algn="ctr"/>
          <a:r>
            <a:rPr lang="en-US" altLang="zh-CN" sz="1100">
              <a:solidFill>
                <a:srgbClr val="000000"/>
              </a:solidFill>
              <a:latin typeface="Times New Roman" panose="00000000000000000000" charset="0"/>
              <a:ea typeface="Times New Roman" panose="00000000000000000000" charset="0"/>
            </a:rPr>
            <a:t>Telp/Fax .(0541)273535  Kode Pos 75126 Samarinda</a:t>
          </a:r>
        </a:p>
        <a:p>
          <a:pPr algn="ctr"/>
          <a:r>
            <a:rPr lang="en-US" altLang="zh-CN" sz="1100">
              <a:solidFill>
                <a:srgbClr val="000000"/>
              </a:solidFill>
              <a:latin typeface="Times New Roman" panose="00000000000000000000" charset="0"/>
              <a:ea typeface="Times New Roman" panose="00000000000000000000" charset="0"/>
            </a:rPr>
            <a:t>E-mail: smapan@sman8samarinda.net, Website: www.sman8samarinda.net</a:t>
          </a:r>
        </a:p>
        <a:p>
          <a:pPr algn="ctr"/>
          <a:endParaRPr/>
        </a:p>
      </xdr:txBody>
    </xdr:sp>
    <xdr:clientData/>
  </xdr:twoCellAnchor>
  <xdr:twoCellAnchor>
    <xdr:from>
      <xdr:col>1</xdr:col>
      <xdr:colOff>380653</xdr:colOff>
      <xdr:row>0</xdr:row>
      <xdr:rowOff>0</xdr:rowOff>
    </xdr:from>
    <xdr:to>
      <xdr:col>9</xdr:col>
      <xdr:colOff>304388</xdr:colOff>
      <xdr:row>0</xdr:row>
      <xdr:rowOff>0</xdr:rowOff>
    </xdr:to>
    <xdr:sp macro="" textlink="">
      <xdr:nvSpPr>
        <xdr:cNvPr id="5" name=" "/>
        <xdr:cNvSpPr txBox="1"/>
      </xdr:nvSpPr>
      <xdr:spPr>
        <a:xfrm>
          <a:off x="381000" y="0"/>
          <a:ext cx="4800600" cy="0"/>
        </a:xfrm>
        <a:prstGeom prst="rect">
          <a:avLst/>
        </a:prstGeom>
        <a:solidFill>
          <a:srgbClr val="FFFFFF"/>
        </a:solid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1440" tIns="45720" rIns="91440" bIns="45720" anchor="t" upright="1"/>
        <a:lstStyle/>
        <a:p>
          <a:pPr algn="ctr"/>
          <a:r>
            <a:rPr lang="en-US" altLang="zh-CN" sz="2000" b="1">
              <a:solidFill>
                <a:srgbClr val="000000"/>
              </a:solidFill>
              <a:latin typeface="Times New Roman" panose="00000000000000000000" charset="0"/>
              <a:ea typeface="Times New Roman" panose="00000000000000000000" charset="0"/>
            </a:rPr>
            <a:t>LAPORAN HASIL BELAJAR SISWA</a:t>
          </a:r>
        </a:p>
        <a:p>
          <a:pPr algn="ctr"/>
          <a:r>
            <a:rPr lang="en-US" altLang="zh-CN" sz="2000" b="1">
              <a:solidFill>
                <a:srgbClr val="000000"/>
              </a:solidFill>
              <a:latin typeface="Times New Roman" panose="00000000000000000000" charset="0"/>
              <a:ea typeface="Times New Roman" panose="00000000000000000000" charset="0"/>
            </a:rPr>
            <a:t>SEKOLAH MENENGAH ATAS</a:t>
          </a:r>
        </a:p>
        <a:p>
          <a:pPr algn="ctr"/>
          <a:r>
            <a:rPr lang="en-US" altLang="zh-CN" sz="2000" b="1">
              <a:solidFill>
                <a:srgbClr val="000000"/>
              </a:solidFill>
              <a:latin typeface="Times New Roman" panose="00000000000000000000" charset="0"/>
              <a:ea typeface="Times New Roman" panose="00000000000000000000" charset="0"/>
            </a:rPr>
            <a:t>( SMA )</a:t>
          </a:r>
        </a:p>
        <a:p>
          <a:pPr algn="ctr"/>
          <a:endParaRPr/>
        </a:p>
      </xdr:txBody>
    </xdr:sp>
    <xdr:clientData/>
  </xdr:twoCellAnchor>
  <xdr:twoCellAnchor>
    <xdr:from>
      <xdr:col>0</xdr:col>
      <xdr:colOff>85714</xdr:colOff>
      <xdr:row>36</xdr:row>
      <xdr:rowOff>189904</xdr:rowOff>
    </xdr:from>
    <xdr:to>
      <xdr:col>9</xdr:col>
      <xdr:colOff>570980</xdr:colOff>
      <xdr:row>41</xdr:row>
      <xdr:rowOff>101203</xdr:rowOff>
    </xdr:to>
    <xdr:sp macro="" textlink="">
      <xdr:nvSpPr>
        <xdr:cNvPr id="6" name=" "/>
        <xdr:cNvSpPr txBox="1"/>
      </xdr:nvSpPr>
      <xdr:spPr>
        <a:xfrm>
          <a:off x="85725" y="8000999"/>
          <a:ext cx="6315075" cy="904875"/>
        </a:xfrm>
        <a:prstGeom prst="rect">
          <a:avLst/>
        </a:prstGeom>
        <a:solidFill>
          <a:srgbClr val="FFFFFF"/>
        </a:solid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1440" tIns="45720" rIns="91440" bIns="45720" anchor="ctr" upright="1"/>
        <a:lstStyle/>
        <a:p>
          <a:pPr algn="ctr"/>
          <a:r>
            <a:rPr lang="en-US" altLang="zh-CN" sz="1800" b="1">
              <a:solidFill>
                <a:srgbClr val="000000"/>
              </a:solidFill>
              <a:latin typeface="Trebuchet MS" panose="00000000000000000000" charset="0"/>
              <a:ea typeface="Trebuchet MS" panose="00000000000000000000" charset="0"/>
            </a:rPr>
            <a:t>KEMENTERIAN PENDIDIKAN DAN KEBUDAYAAN</a:t>
          </a:r>
        </a:p>
        <a:p>
          <a:pPr algn="ctr"/>
          <a:r>
            <a:rPr lang="en-US" altLang="zh-CN" sz="1800" b="1">
              <a:solidFill>
                <a:srgbClr val="000000"/>
              </a:solidFill>
              <a:latin typeface="Trebuchet MS" panose="00000000000000000000" charset="0"/>
              <a:ea typeface="Trebuchet MS" panose="00000000000000000000" charset="0"/>
            </a:rPr>
            <a:t>REPUBLIK INDONESIA</a:t>
          </a:r>
        </a:p>
      </xdr:txBody>
    </xdr:sp>
    <xdr:clientData/>
  </xdr:twoCellAnchor>
  <xdr:twoCellAnchor>
    <xdr:from>
      <xdr:col>0</xdr:col>
      <xdr:colOff>104612</xdr:colOff>
      <xdr:row>2</xdr:row>
      <xdr:rowOff>0</xdr:rowOff>
    </xdr:from>
    <xdr:to>
      <xdr:col>9</xdr:col>
      <xdr:colOff>561531</xdr:colOff>
      <xdr:row>10</xdr:row>
      <xdr:rowOff>25375</xdr:rowOff>
    </xdr:to>
    <xdr:sp macro="" textlink="">
      <xdr:nvSpPr>
        <xdr:cNvPr id="7" name=" "/>
        <xdr:cNvSpPr txBox="1"/>
      </xdr:nvSpPr>
      <xdr:spPr>
        <a:xfrm>
          <a:off x="104775" y="428625"/>
          <a:ext cx="6286500" cy="1695450"/>
        </a:xfrm>
        <a:prstGeom prst="rect">
          <a:avLst/>
        </a:prstGeom>
        <a:solidFill>
          <a:srgbClr val="FFFFFF"/>
        </a:solid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1440" tIns="45720" rIns="91440" bIns="45720" anchor="ctr" upright="1"/>
        <a:lstStyle/>
        <a:p>
          <a:pPr algn="ctr"/>
          <a:r>
            <a:rPr lang="en-US" altLang="zh-CN" sz="2800" b="1">
              <a:solidFill>
                <a:srgbClr val="000000"/>
              </a:solidFill>
              <a:latin typeface="Trebuchet MS" panose="00000000000000000000" charset="0"/>
              <a:ea typeface="Trebuchet MS" panose="00000000000000000000" charset="0"/>
            </a:rPr>
            <a:t>R A P O R</a:t>
          </a:r>
        </a:p>
        <a:p>
          <a:pPr algn="ctr"/>
          <a:r>
            <a:rPr lang="en-US" altLang="zh-CN" sz="2800" b="1">
              <a:solidFill>
                <a:srgbClr val="000000"/>
              </a:solidFill>
              <a:latin typeface="Trebuchet MS" panose="00000000000000000000" charset="0"/>
              <a:ea typeface="Trebuchet MS" panose="00000000000000000000" charset="0"/>
            </a:rPr>
            <a:t>SEKOLAH MENENGAH ATAS</a:t>
          </a:r>
        </a:p>
        <a:p>
          <a:pPr algn="ctr"/>
          <a:r>
            <a:rPr lang="en-US" altLang="zh-CN" sz="2800" b="1">
              <a:solidFill>
                <a:srgbClr val="000000"/>
              </a:solidFill>
              <a:latin typeface="Trebuchet MS" panose="00000000000000000000" charset="0"/>
              <a:ea typeface="Trebuchet MS" panose="00000000000000000000" charset="0"/>
            </a:rPr>
            <a:t>( SMA )</a:t>
          </a:r>
        </a:p>
      </xdr:txBody>
    </xdr:sp>
    <xdr:clientData/>
  </xdr:twoCellAnchor>
  <xdr:twoCellAnchor>
    <xdr:from>
      <xdr:col>3</xdr:col>
      <xdr:colOff>504163</xdr:colOff>
      <xdr:row>12</xdr:row>
      <xdr:rowOff>164529</xdr:rowOff>
    </xdr:from>
    <xdr:to>
      <xdr:col>6</xdr:col>
      <xdr:colOff>151856</xdr:colOff>
      <xdr:row>20</xdr:row>
      <xdr:rowOff>76125</xdr:rowOff>
    </xdr:to>
    <xdr:pic>
      <xdr:nvPicPr>
        <xdr:cNvPr id="8" name="Picture 9" descr="logo pemkot"/>
        <xdr:cNvPicPr/>
      </xdr:nvPicPr>
      <xdr:blipFill>
        <a:blip xmlns:r="http://schemas.openxmlformats.org/officeDocument/2006/relationships" r:embed="rId3">
          <a:grayscl/>
        </a:blip>
        <a:srcRect/>
        <a:stretch>
          <a:fillRect/>
        </a:stretch>
      </xdr:blipFill>
      <xdr:spPr>
        <a:xfrm>
          <a:off x="2333625" y="2686050"/>
          <a:ext cx="1476376" cy="1581150"/>
        </a:xfrm>
        <a:prstGeom prst="rect">
          <a:avLst/>
        </a:prstGeom>
        <a:noFill/>
        <a:ln>
          <a:noFill/>
        </a:ln>
        <a:effectLst/>
      </xdr:spPr>
    </xdr:pic>
    <xdr:clientData/>
  </xdr:twoCellAnchor>
  <xdr:twoCellAnchor>
    <xdr:from>
      <xdr:col>10</xdr:col>
      <xdr:colOff>552083</xdr:colOff>
      <xdr:row>16</xdr:row>
      <xdr:rowOff>50750</xdr:rowOff>
    </xdr:from>
    <xdr:to>
      <xdr:col>12</xdr:col>
      <xdr:colOff>218673</xdr:colOff>
      <xdr:row>17</xdr:row>
      <xdr:rowOff>164529</xdr:rowOff>
    </xdr:to>
    <xdr:sp macro="" textlink="">
      <xdr:nvSpPr>
        <xdr:cNvPr id="9" name="rect"/>
        <xdr:cNvSpPr/>
      </xdr:nvSpPr>
      <xdr:spPr>
        <a:xfrm>
          <a:off x="6648450" y="3409950"/>
          <a:ext cx="885825" cy="323850"/>
        </a:xfrm>
        <a:prstGeom prst="rect">
          <a:avLst/>
        </a:prstGeom>
        <a:solidFill>
          <a:srgbClr val="9BBB59"/>
        </a:solidFill>
        <a:ln w="9525" cap="flat" cmpd="sng">
          <a:solidFill>
            <a:srgbClr val="9BBB59"/>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200" b="1">
              <a:solidFill>
                <a:srgbClr val="FFFFFF"/>
              </a:solidFill>
              <a:latin typeface="Arial" panose="00000000000000000000" charset="0"/>
              <a:ea typeface="Arial" panose="00000000000000000000" charset="0"/>
            </a:rPr>
            <a:t>BIODATA</a:t>
          </a:r>
        </a:p>
      </xdr:txBody>
    </xdr:sp>
    <xdr:clientData/>
  </xdr:twoCellAnchor>
  <xdr:twoCellAnchor>
    <xdr:from>
      <xdr:col>12</xdr:col>
      <xdr:colOff>56693</xdr:colOff>
      <xdr:row>18</xdr:row>
      <xdr:rowOff>88403</xdr:rowOff>
    </xdr:from>
    <xdr:to>
      <xdr:col>13</xdr:col>
      <xdr:colOff>380653</xdr:colOff>
      <xdr:row>20</xdr:row>
      <xdr:rowOff>0</xdr:rowOff>
    </xdr:to>
    <xdr:sp macro="" textlink="">
      <xdr:nvSpPr>
        <xdr:cNvPr id="10" name="rect"/>
        <xdr:cNvSpPr/>
      </xdr:nvSpPr>
      <xdr:spPr>
        <a:xfrm>
          <a:off x="7372350" y="3867150"/>
          <a:ext cx="933450" cy="323850"/>
        </a:xfrm>
        <a:prstGeom prst="rect">
          <a:avLst/>
        </a:prstGeom>
        <a:solidFill>
          <a:srgbClr val="9BBB59"/>
        </a:solidFill>
        <a:ln w="9525" cap="flat" cmpd="sng">
          <a:solidFill>
            <a:srgbClr val="9BBB59"/>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200" b="1">
              <a:solidFill>
                <a:srgbClr val="FFFFFF"/>
              </a:solidFill>
              <a:latin typeface="Arial" panose="00000000000000000000" charset="0"/>
              <a:ea typeface="Arial" panose="00000000000000000000" charset="0"/>
            </a:rPr>
            <a:t>IDENTITAS</a:t>
          </a:r>
        </a:p>
      </xdr:txBody>
    </xdr:sp>
    <xdr:clientData/>
  </xdr:twoCellAnchor>
  <xdr:twoCellAnchor>
    <xdr:from>
      <xdr:col>13</xdr:col>
      <xdr:colOff>47244</xdr:colOff>
      <xdr:row>21</xdr:row>
      <xdr:rowOff>37653</xdr:rowOff>
    </xdr:from>
    <xdr:to>
      <xdr:col>14</xdr:col>
      <xdr:colOff>323393</xdr:colOff>
      <xdr:row>22</xdr:row>
      <xdr:rowOff>152251</xdr:rowOff>
    </xdr:to>
    <xdr:sp macro="" textlink="">
      <xdr:nvSpPr>
        <xdr:cNvPr id="11" name="rect"/>
        <xdr:cNvSpPr/>
      </xdr:nvSpPr>
      <xdr:spPr>
        <a:xfrm>
          <a:off x="7972425" y="4448175"/>
          <a:ext cx="885825" cy="323850"/>
        </a:xfrm>
        <a:prstGeom prst="rect">
          <a:avLst/>
        </a:prstGeom>
        <a:solidFill>
          <a:srgbClr val="9BBB59"/>
        </a:solidFill>
        <a:ln w="9525" cap="flat" cmpd="sng">
          <a:solidFill>
            <a:srgbClr val="9BBB59"/>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200" b="1">
              <a:solidFill>
                <a:srgbClr val="FFFFFF"/>
              </a:solidFill>
              <a:latin typeface="Arial" panose="00000000000000000000" charset="0"/>
              <a:ea typeface="Arial" panose="00000000000000000000" charset="0"/>
            </a:rPr>
            <a:t>RAPOR</a:t>
          </a:r>
        </a:p>
      </xdr:txBody>
    </xdr:sp>
    <xdr:clientData/>
  </xdr:twoCellAnchor>
  <xdr:twoCellAnchor>
    <xdr:from>
      <xdr:col>15</xdr:col>
      <xdr:colOff>28346</xdr:colOff>
      <xdr:row>23</xdr:row>
      <xdr:rowOff>25375</xdr:rowOff>
    </xdr:from>
    <xdr:to>
      <xdr:col>16</xdr:col>
      <xdr:colOff>399551</xdr:colOff>
      <xdr:row>24</xdr:row>
      <xdr:rowOff>139303</xdr:rowOff>
    </xdr:to>
    <xdr:sp macro="" textlink="">
      <xdr:nvSpPr>
        <xdr:cNvPr id="12" name="rect"/>
        <xdr:cNvSpPr/>
      </xdr:nvSpPr>
      <xdr:spPr>
        <a:xfrm>
          <a:off x="9077325" y="4848225"/>
          <a:ext cx="981075" cy="323850"/>
        </a:xfrm>
        <a:prstGeom prst="rect">
          <a:avLst/>
        </a:prstGeom>
        <a:solidFill>
          <a:srgbClr val="9BBB59"/>
        </a:solidFill>
        <a:ln w="9525" cap="flat" cmpd="sng">
          <a:solidFill>
            <a:srgbClr val="9BBB59"/>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200" b="1">
              <a:solidFill>
                <a:srgbClr val="FFFFFF"/>
              </a:solidFill>
              <a:latin typeface="Arial" panose="00000000000000000000" charset="0"/>
              <a:ea typeface="Arial" panose="00000000000000000000" charset="0"/>
            </a:rPr>
            <a:t>P_MASUK</a:t>
          </a:r>
        </a:p>
      </xdr:txBody>
    </xdr:sp>
    <xdr:clientData/>
  </xdr:twoCellAnchor>
  <xdr:twoCellAnchor>
    <xdr:from>
      <xdr:col>16</xdr:col>
      <xdr:colOff>56693</xdr:colOff>
      <xdr:row>25</xdr:row>
      <xdr:rowOff>139382</xdr:rowOff>
    </xdr:from>
    <xdr:to>
      <xdr:col>17</xdr:col>
      <xdr:colOff>428573</xdr:colOff>
      <xdr:row>26</xdr:row>
      <xdr:rowOff>189904</xdr:rowOff>
    </xdr:to>
    <xdr:sp macro="" textlink="">
      <xdr:nvSpPr>
        <xdr:cNvPr id="13" name="rect"/>
        <xdr:cNvSpPr/>
      </xdr:nvSpPr>
      <xdr:spPr>
        <a:xfrm>
          <a:off x="9715500" y="5400675"/>
          <a:ext cx="981075" cy="323850"/>
        </a:xfrm>
        <a:prstGeom prst="rect">
          <a:avLst/>
        </a:prstGeom>
        <a:solidFill>
          <a:srgbClr val="9BBB59"/>
        </a:solidFill>
        <a:ln w="9525" cap="flat" cmpd="sng">
          <a:solidFill>
            <a:srgbClr val="9BBB59"/>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200" b="1">
              <a:solidFill>
                <a:srgbClr val="FFFFFF"/>
              </a:solidFill>
              <a:latin typeface="Arial" panose="00000000000000000000" charset="0"/>
              <a:ea typeface="Arial" panose="00000000000000000000" charset="0"/>
            </a:rPr>
            <a:t>P_KELUAR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1274536</xdr:colOff>
      <xdr:row>31</xdr:row>
      <xdr:rowOff>189904</xdr:rowOff>
    </xdr:from>
    <xdr:to>
      <xdr:col>3</xdr:col>
      <xdr:colOff>377771</xdr:colOff>
      <xdr:row>37</xdr:row>
      <xdr:rowOff>189904</xdr:rowOff>
    </xdr:to>
    <xdr:sp macro="" textlink="">
      <xdr:nvSpPr>
        <xdr:cNvPr id="2" name=" "/>
        <xdr:cNvSpPr txBox="1"/>
      </xdr:nvSpPr>
      <xdr:spPr>
        <a:xfrm>
          <a:off x="1514474" y="7458075"/>
          <a:ext cx="1038225" cy="1247775"/>
        </a:xfrm>
        <a:prstGeom prst="rect">
          <a:avLst/>
        </a:prstGeom>
        <a:solidFill>
          <a:srgbClr val="FFFFFF"/>
        </a:solidFill>
        <a:ln w="9525" cap="flat" cmpd="sng">
          <a:solidFill>
            <a:srgbClr val="595959"/>
          </a:solidFill>
          <a:prstDash val="dash"/>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800">
              <a:solidFill>
                <a:srgbClr val="000000"/>
              </a:solidFill>
              <a:latin typeface="Arial" panose="00000000000000000000" charset="0"/>
              <a:ea typeface="Arial" panose="00000000000000000000" charset="0"/>
            </a:rPr>
            <a:t>Pas Photo</a:t>
          </a:r>
        </a:p>
        <a:p>
          <a:pPr algn="ctr"/>
          <a:r>
            <a:rPr lang="en-US" altLang="zh-CN" sz="800">
              <a:solidFill>
                <a:srgbClr val="000000"/>
              </a:solidFill>
              <a:latin typeface="Arial" panose="00000000000000000000" charset="0"/>
              <a:ea typeface="Arial" panose="00000000000000000000" charset="0"/>
            </a:rPr>
            <a:t>3 x 4</a:t>
          </a:r>
        </a:p>
      </xdr:txBody>
    </xdr:sp>
    <xdr:clientData/>
  </xdr:twoCellAnchor>
  <xdr:twoCellAnchor>
    <xdr:from>
      <xdr:col>5</xdr:col>
      <xdr:colOff>247020</xdr:colOff>
      <xdr:row>2</xdr:row>
      <xdr:rowOff>228346</xdr:rowOff>
    </xdr:from>
    <xdr:to>
      <xdr:col>6</xdr:col>
      <xdr:colOff>523736</xdr:colOff>
      <xdr:row>4</xdr:row>
      <xdr:rowOff>49857</xdr:rowOff>
    </xdr:to>
    <xdr:sp macro="" textlink="">
      <xdr:nvSpPr>
        <xdr:cNvPr id="3" name="rect"/>
        <xdr:cNvSpPr/>
      </xdr:nvSpPr>
      <xdr:spPr>
        <a:xfrm>
          <a:off x="6448425" y="619125"/>
          <a:ext cx="885825" cy="323850"/>
        </a:xfrm>
        <a:prstGeom prst="rect">
          <a:avLst/>
        </a:prstGeom>
        <a:solidFill>
          <a:srgbClr val="9BBB59"/>
        </a:solidFill>
        <a:ln w="9525" cap="flat" cmpd="sng">
          <a:solidFill>
            <a:srgbClr val="9BBB59"/>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200" b="1">
              <a:solidFill>
                <a:srgbClr val="FFFFFF"/>
              </a:solidFill>
              <a:latin typeface="Arial" panose="00000000000000000000" charset="0"/>
              <a:ea typeface="Arial" panose="00000000000000000000" charset="0"/>
            </a:rPr>
            <a:t>BIODATA</a:t>
          </a:r>
        </a:p>
      </xdr:txBody>
    </xdr:sp>
    <xdr:clientData/>
  </xdr:twoCellAnchor>
  <xdr:twoCellAnchor>
    <xdr:from>
      <xdr:col>7</xdr:col>
      <xdr:colOff>37795</xdr:colOff>
      <xdr:row>2</xdr:row>
      <xdr:rowOff>228346</xdr:rowOff>
    </xdr:from>
    <xdr:to>
      <xdr:col>8</xdr:col>
      <xdr:colOff>313836</xdr:colOff>
      <xdr:row>4</xdr:row>
      <xdr:rowOff>62820</xdr:rowOff>
    </xdr:to>
    <xdr:sp macro="" textlink="">
      <xdr:nvSpPr>
        <xdr:cNvPr id="4" name="rect"/>
        <xdr:cNvSpPr/>
      </xdr:nvSpPr>
      <xdr:spPr>
        <a:xfrm>
          <a:off x="7458075" y="628650"/>
          <a:ext cx="885825" cy="323850"/>
        </a:xfrm>
        <a:prstGeom prst="rect">
          <a:avLst/>
        </a:prstGeom>
        <a:solidFill>
          <a:srgbClr val="9BBB59"/>
        </a:solidFill>
        <a:ln w="9525" cap="flat" cmpd="sng">
          <a:solidFill>
            <a:srgbClr val="9BBB59"/>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200" b="1">
              <a:solidFill>
                <a:srgbClr val="FFFFFF"/>
              </a:solidFill>
              <a:latin typeface="Arial" panose="00000000000000000000" charset="0"/>
              <a:ea typeface="Arial" panose="00000000000000000000" charset="0"/>
            </a:rPr>
            <a:t>LEGER</a:t>
          </a:r>
        </a:p>
      </xdr:txBody>
    </xdr:sp>
    <xdr:clientData/>
  </xdr:twoCellAnchor>
  <xdr:twoCellAnchor>
    <xdr:from>
      <xdr:col>5</xdr:col>
      <xdr:colOff>257143</xdr:colOff>
      <xdr:row>4</xdr:row>
      <xdr:rowOff>151566</xdr:rowOff>
    </xdr:from>
    <xdr:to>
      <xdr:col>6</xdr:col>
      <xdr:colOff>533185</xdr:colOff>
      <xdr:row>5</xdr:row>
      <xdr:rowOff>228346</xdr:rowOff>
    </xdr:to>
    <xdr:sp macro="" textlink="">
      <xdr:nvSpPr>
        <xdr:cNvPr id="5" name="rect"/>
        <xdr:cNvSpPr/>
      </xdr:nvSpPr>
      <xdr:spPr>
        <a:xfrm>
          <a:off x="6457950" y="1047750"/>
          <a:ext cx="885825" cy="323850"/>
        </a:xfrm>
        <a:prstGeom prst="rect">
          <a:avLst/>
        </a:prstGeom>
        <a:solidFill>
          <a:srgbClr val="9BBB59"/>
        </a:solidFill>
        <a:ln w="9525" cap="flat" cmpd="sng">
          <a:solidFill>
            <a:srgbClr val="9BBB59"/>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200" b="1">
              <a:solidFill>
                <a:srgbClr val="FFFFFF"/>
              </a:solidFill>
              <a:latin typeface="Arial" panose="00000000000000000000" charset="0"/>
              <a:ea typeface="Arial" panose="00000000000000000000" charset="0"/>
            </a:rPr>
            <a:t>RAPOR</a:t>
          </a:r>
        </a:p>
      </xdr:txBody>
    </xdr:sp>
    <xdr:clientData/>
  </xdr:twoCellAnchor>
  <xdr:twoCellAnchor>
    <xdr:from>
      <xdr:col>7</xdr:col>
      <xdr:colOff>37795</xdr:colOff>
      <xdr:row>4</xdr:row>
      <xdr:rowOff>151566</xdr:rowOff>
    </xdr:from>
    <xdr:to>
      <xdr:col>8</xdr:col>
      <xdr:colOff>313836</xdr:colOff>
      <xdr:row>5</xdr:row>
      <xdr:rowOff>228346</xdr:rowOff>
    </xdr:to>
    <xdr:sp macro="" textlink="">
      <xdr:nvSpPr>
        <xdr:cNvPr id="6" name="rect"/>
        <xdr:cNvSpPr/>
      </xdr:nvSpPr>
      <xdr:spPr>
        <a:xfrm>
          <a:off x="7458075" y="1047750"/>
          <a:ext cx="885825" cy="323850"/>
        </a:xfrm>
        <a:prstGeom prst="rect">
          <a:avLst/>
        </a:prstGeom>
        <a:solidFill>
          <a:srgbClr val="9BBB59"/>
        </a:solidFill>
        <a:ln w="9525" cap="flat" cmpd="sng">
          <a:solidFill>
            <a:srgbClr val="9BBB59"/>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200" b="1">
              <a:solidFill>
                <a:srgbClr val="FFFFFF"/>
              </a:solidFill>
              <a:latin typeface="Arial" panose="00000000000000000000" charset="0"/>
              <a:ea typeface="Arial" panose="00000000000000000000" charset="0"/>
            </a:rPr>
            <a:t>COVER</a:t>
          </a:r>
        </a:p>
      </xdr:txBody>
    </xdr:sp>
    <xdr:clientData/>
  </xdr:twoCellAnchor>
  <xdr:twoCellAnchor>
    <xdr:from>
      <xdr:col>3</xdr:col>
      <xdr:colOff>847002</xdr:colOff>
      <xdr:row>33</xdr:row>
      <xdr:rowOff>113779</xdr:rowOff>
    </xdr:from>
    <xdr:to>
      <xdr:col>3</xdr:col>
      <xdr:colOff>2731881</xdr:colOff>
      <xdr:row>36</xdr:row>
      <xdr:rowOff>37653</xdr:rowOff>
    </xdr:to>
    <xdr:pic>
      <xdr:nvPicPr>
        <xdr:cNvPr id="7" name="Picture 2" descr=" "/>
        <xdr:cNvPicPr/>
      </xdr:nvPicPr>
      <xdr:blipFill>
        <a:blip xmlns:r="http://schemas.openxmlformats.org/officeDocument/2006/relationships" r:embed="rId1">
          <a:biLevel thresh="75000"/>
        </a:blip>
        <a:srcRect/>
        <a:stretch>
          <a:fillRect/>
        </a:stretch>
      </xdr:blipFill>
      <xdr:spPr>
        <a:xfrm>
          <a:off x="2981325" y="7591425"/>
          <a:ext cx="1885950" cy="558691"/>
        </a:xfrm>
        <a:prstGeom prst="rect">
          <a:avLst/>
        </a:prstGeom>
        <a:noFill/>
        <a:ln>
          <a:noFill/>
        </a:ln>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361756</xdr:colOff>
      <xdr:row>4</xdr:row>
      <xdr:rowOff>12650</xdr:rowOff>
    </xdr:from>
    <xdr:to>
      <xdr:col>8</xdr:col>
      <xdr:colOff>28058</xdr:colOff>
      <xdr:row>5</xdr:row>
      <xdr:rowOff>177105</xdr:rowOff>
    </xdr:to>
    <xdr:sp macro="" textlink="">
      <xdr:nvSpPr>
        <xdr:cNvPr id="2" name="rect"/>
        <xdr:cNvSpPr/>
      </xdr:nvSpPr>
      <xdr:spPr>
        <a:xfrm>
          <a:off x="7334250" y="828675"/>
          <a:ext cx="885825" cy="352425"/>
        </a:xfrm>
        <a:prstGeom prst="rect">
          <a:avLst/>
        </a:prstGeom>
        <a:solidFill>
          <a:srgbClr val="9BBB59"/>
        </a:solidFill>
        <a:ln w="9525" cap="flat" cmpd="sng">
          <a:solidFill>
            <a:srgbClr val="9BBB59"/>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100" b="1">
              <a:solidFill>
                <a:srgbClr val="FFFFFF"/>
              </a:solidFill>
              <a:latin typeface="Arial" panose="00000000000000000000" charset="0"/>
              <a:ea typeface="Arial" panose="00000000000000000000" charset="0"/>
            </a:rPr>
            <a:t>RAPOR</a:t>
          </a:r>
        </a:p>
      </xdr:txBody>
    </xdr:sp>
    <xdr:clientData/>
  </xdr:twoCellAnchor>
  <xdr:twoCellAnchor>
    <xdr:from>
      <xdr:col>8</xdr:col>
      <xdr:colOff>228156</xdr:colOff>
      <xdr:row>4</xdr:row>
      <xdr:rowOff>25300</xdr:rowOff>
    </xdr:from>
    <xdr:to>
      <xdr:col>9</xdr:col>
      <xdr:colOff>504308</xdr:colOff>
      <xdr:row>5</xdr:row>
      <xdr:rowOff>189607</xdr:rowOff>
    </xdr:to>
    <xdr:sp macro="" textlink="">
      <xdr:nvSpPr>
        <xdr:cNvPr id="3" name="rect"/>
        <xdr:cNvSpPr/>
      </xdr:nvSpPr>
      <xdr:spPr>
        <a:xfrm>
          <a:off x="8420100" y="838200"/>
          <a:ext cx="885825" cy="352425"/>
        </a:xfrm>
        <a:prstGeom prst="rect">
          <a:avLst/>
        </a:prstGeom>
        <a:solidFill>
          <a:srgbClr val="9BBB59"/>
        </a:solidFill>
        <a:ln w="9525" cap="flat" cmpd="sng">
          <a:solidFill>
            <a:srgbClr val="9BBB59"/>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100" b="1">
              <a:solidFill>
                <a:srgbClr val="FFFFFF"/>
              </a:solidFill>
              <a:latin typeface="Arial" panose="00000000000000000000" charset="0"/>
              <a:ea typeface="Arial" panose="00000000000000000000" charset="0"/>
            </a:rPr>
            <a:t>COVER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561901</xdr:colOff>
      <xdr:row>3</xdr:row>
      <xdr:rowOff>25375</xdr:rowOff>
    </xdr:from>
    <xdr:to>
      <xdr:col>9</xdr:col>
      <xdr:colOff>304209</xdr:colOff>
      <xdr:row>4</xdr:row>
      <xdr:rowOff>164455</xdr:rowOff>
    </xdr:to>
    <xdr:sp macro="" textlink="">
      <xdr:nvSpPr>
        <xdr:cNvPr id="2" name="rect"/>
        <xdr:cNvSpPr/>
      </xdr:nvSpPr>
      <xdr:spPr>
        <a:xfrm>
          <a:off x="7620000" y="628650"/>
          <a:ext cx="962025" cy="352425"/>
        </a:xfrm>
        <a:prstGeom prst="rect">
          <a:avLst/>
        </a:prstGeom>
        <a:solidFill>
          <a:srgbClr val="9BBB59"/>
        </a:solidFill>
        <a:ln w="9525" cap="flat" cmpd="sng">
          <a:solidFill>
            <a:srgbClr val="9BBB59"/>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200" b="1">
              <a:solidFill>
                <a:srgbClr val="FFFFFF"/>
              </a:solidFill>
              <a:latin typeface="Arial" panose="00000000000000000000" charset="0"/>
              <a:ea typeface="Arial" panose="00000000000000000000" charset="0"/>
            </a:rPr>
            <a:t>RAPOR</a:t>
          </a:r>
        </a:p>
      </xdr:txBody>
    </xdr:sp>
    <xdr:clientData/>
  </xdr:twoCellAnchor>
  <xdr:twoCellAnchor>
    <xdr:from>
      <xdr:col>9</xdr:col>
      <xdr:colOff>485110</xdr:colOff>
      <xdr:row>3</xdr:row>
      <xdr:rowOff>37653</xdr:rowOff>
    </xdr:from>
    <xdr:to>
      <xdr:col>11</xdr:col>
      <xdr:colOff>228156</xdr:colOff>
      <xdr:row>4</xdr:row>
      <xdr:rowOff>177105</xdr:rowOff>
    </xdr:to>
    <xdr:sp macro="" textlink="">
      <xdr:nvSpPr>
        <xdr:cNvPr id="3" name="rect"/>
        <xdr:cNvSpPr/>
      </xdr:nvSpPr>
      <xdr:spPr>
        <a:xfrm>
          <a:off x="8763000" y="638175"/>
          <a:ext cx="962025" cy="352425"/>
        </a:xfrm>
        <a:prstGeom prst="rect">
          <a:avLst/>
        </a:prstGeom>
        <a:solidFill>
          <a:srgbClr val="9BBB59"/>
        </a:solidFill>
        <a:ln w="9525" cap="flat" cmpd="sng">
          <a:solidFill>
            <a:srgbClr val="9BBB59"/>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200" b="1">
              <a:solidFill>
                <a:srgbClr val="FFFFFF"/>
              </a:solidFill>
              <a:latin typeface="Arial" panose="00000000000000000000" charset="0"/>
              <a:ea typeface="Arial" panose="00000000000000000000" charset="0"/>
            </a:rPr>
            <a:t>COVER</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V29"/>
  <sheetViews>
    <sheetView showGridLines="0" topLeftCell="A64" workbookViewId="0">
      <selection activeCell="B16" sqref="B16"/>
    </sheetView>
  </sheetViews>
  <sheetFormatPr defaultColWidth="9" defaultRowHeight="12.75"/>
  <cols>
    <col min="1" max="1" width="3.28515625" style="1" customWidth="1"/>
    <col min="2" max="2" width="136.85546875" style="2" customWidth="1"/>
    <col min="3" max="3" width="2.7109375" style="1" customWidth="1"/>
    <col min="4" max="256" width="9.140625" style="1" customWidth="1"/>
  </cols>
  <sheetData>
    <row r="1" spans="1:3" ht="12.75" customHeight="1">
      <c r="A1" s="3"/>
      <c r="B1" s="4" t="s">
        <v>150</v>
      </c>
      <c r="C1" s="5"/>
    </row>
    <row r="2" spans="1:3" ht="30">
      <c r="A2" s="6"/>
      <c r="B2" s="7" t="s">
        <v>149</v>
      </c>
      <c r="C2" s="5"/>
    </row>
    <row r="3" spans="1:3" ht="15">
      <c r="A3" s="8">
        <v>1</v>
      </c>
      <c r="B3" s="9" t="s">
        <v>239</v>
      </c>
      <c r="C3" s="5"/>
    </row>
    <row r="4" spans="1:3" ht="15">
      <c r="A4" s="8">
        <v>2</v>
      </c>
      <c r="B4" s="9" t="s">
        <v>240</v>
      </c>
      <c r="C4" s="5"/>
    </row>
    <row r="5" spans="1:3" ht="15">
      <c r="A5" s="8">
        <v>3</v>
      </c>
      <c r="B5" s="9" t="s">
        <v>241</v>
      </c>
      <c r="C5" s="5"/>
    </row>
    <row r="6" spans="1:3" ht="30">
      <c r="A6" s="8">
        <v>4</v>
      </c>
      <c r="B6" s="9" t="s">
        <v>338</v>
      </c>
      <c r="C6" s="5"/>
    </row>
    <row r="7" spans="1:3" ht="15">
      <c r="A7" s="8">
        <v>5</v>
      </c>
      <c r="B7" s="10" t="s">
        <v>242</v>
      </c>
      <c r="C7" s="5"/>
    </row>
    <row r="8" spans="1:3" ht="15">
      <c r="A8" s="8">
        <v>6</v>
      </c>
      <c r="B8" s="9" t="s">
        <v>243</v>
      </c>
      <c r="C8" s="5"/>
    </row>
    <row r="9" spans="1:3" ht="15">
      <c r="A9" s="8">
        <v>7</v>
      </c>
      <c r="B9" s="9" t="s">
        <v>257</v>
      </c>
      <c r="C9" s="5"/>
    </row>
    <row r="10" spans="1:3" ht="15">
      <c r="A10" s="8">
        <v>8</v>
      </c>
      <c r="B10" s="9" t="s">
        <v>244</v>
      </c>
      <c r="C10" s="5"/>
    </row>
    <row r="11" spans="1:3" ht="30">
      <c r="A11" s="8">
        <v>9</v>
      </c>
      <c r="B11" s="9" t="s">
        <v>245</v>
      </c>
      <c r="C11" s="5"/>
    </row>
    <row r="12" spans="1:3" ht="30">
      <c r="A12" s="8">
        <v>10</v>
      </c>
      <c r="B12" s="9" t="s">
        <v>246</v>
      </c>
      <c r="C12" s="5"/>
    </row>
    <row r="13" spans="1:3" ht="30">
      <c r="A13" s="8">
        <v>11</v>
      </c>
      <c r="B13" s="9" t="s">
        <v>247</v>
      </c>
      <c r="C13" s="5"/>
    </row>
    <row r="14" spans="1:3" ht="30">
      <c r="A14" s="8">
        <v>12</v>
      </c>
      <c r="B14" s="9" t="s">
        <v>248</v>
      </c>
      <c r="C14" s="5"/>
    </row>
    <row r="15" spans="1:3" ht="15">
      <c r="A15" s="8">
        <v>13</v>
      </c>
      <c r="B15" s="9" t="s">
        <v>249</v>
      </c>
      <c r="C15" s="5"/>
    </row>
    <row r="16" spans="1:3" ht="15">
      <c r="A16" s="8">
        <v>14</v>
      </c>
      <c r="B16" s="9" t="s">
        <v>250</v>
      </c>
      <c r="C16" s="5"/>
    </row>
    <row r="17" spans="1:3" ht="15">
      <c r="A17" s="8">
        <v>15</v>
      </c>
      <c r="B17" s="9" t="s">
        <v>251</v>
      </c>
      <c r="C17" s="5"/>
    </row>
    <row r="18" spans="1:3" ht="15">
      <c r="A18" s="6"/>
      <c r="B18" s="11"/>
      <c r="C18" s="5"/>
    </row>
    <row r="19" spans="1:3" ht="15.75">
      <c r="A19" s="3"/>
      <c r="B19" s="4" t="s">
        <v>255</v>
      </c>
      <c r="C19" s="5"/>
    </row>
    <row r="20" spans="1:3" ht="15">
      <c r="A20" s="8">
        <v>1</v>
      </c>
      <c r="B20" s="9" t="s">
        <v>252</v>
      </c>
      <c r="C20" s="5"/>
    </row>
    <row r="21" spans="1:3" ht="15">
      <c r="A21" s="8">
        <v>2</v>
      </c>
      <c r="B21" s="9" t="s">
        <v>253</v>
      </c>
      <c r="C21" s="5"/>
    </row>
    <row r="22" spans="1:3" ht="15">
      <c r="A22" s="8">
        <v>3</v>
      </c>
      <c r="B22" s="9" t="s">
        <v>237</v>
      </c>
      <c r="C22" s="5"/>
    </row>
    <row r="23" spans="1:3" ht="15">
      <c r="A23" s="8">
        <v>4</v>
      </c>
      <c r="B23" s="9" t="s">
        <v>274</v>
      </c>
      <c r="C23" s="5"/>
    </row>
    <row r="24" spans="1:3" ht="15">
      <c r="A24" s="8">
        <v>5</v>
      </c>
      <c r="B24" s="9" t="s">
        <v>238</v>
      </c>
      <c r="C24" s="5"/>
    </row>
    <row r="25" spans="1:3" ht="15">
      <c r="A25" s="8">
        <v>6</v>
      </c>
      <c r="B25" s="9" t="s">
        <v>339</v>
      </c>
      <c r="C25" s="5"/>
    </row>
    <row r="26" spans="1:3" ht="15">
      <c r="A26" s="3"/>
      <c r="B26" s="12" t="s">
        <v>254</v>
      </c>
      <c r="C26" s="5"/>
    </row>
    <row r="27" spans="1:3" ht="15">
      <c r="A27" s="3"/>
      <c r="B27" s="6"/>
      <c r="C27" s="5"/>
    </row>
    <row r="28" spans="1:3" ht="15">
      <c r="A28" s="3"/>
      <c r="B28" s="13" t="s">
        <v>256</v>
      </c>
      <c r="C28" s="5"/>
    </row>
    <row r="29" spans="1:3">
      <c r="A29" s="5"/>
      <c r="B29" s="14"/>
      <c r="C29" s="5"/>
    </row>
  </sheetData>
  <sheetProtection sheet="1" objects="1" scenarios="1"/>
  <printOptions horizontalCentered="1"/>
  <pageMargins left="0.39370078740157483" right="0.23622047244094491" top="0.47244094488188981" bottom="0.35433070866141736" header="0.47244094488188981" footer="0.35433070866141736"/>
  <pageSetup paperSize="9" fitToWidth="0"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28"/>
  <sheetViews>
    <sheetView showGridLines="0" workbookViewId="0">
      <selection activeCell="C8" sqref="C8:D14"/>
    </sheetView>
  </sheetViews>
  <sheetFormatPr defaultColWidth="9" defaultRowHeight="16.5"/>
  <cols>
    <col min="1" max="1" width="12.42578125" style="443" customWidth="1"/>
    <col min="2" max="2" width="12.85546875" style="443" customWidth="1"/>
    <col min="3" max="3" width="1.140625" style="443" customWidth="1"/>
    <col min="4" max="4" width="30.140625" style="443" customWidth="1"/>
    <col min="5" max="5" width="32.42578125" style="443" customWidth="1"/>
    <col min="6" max="7" width="9.140625" style="443" customWidth="1"/>
    <col min="8" max="256" width="10" customWidth="1"/>
  </cols>
  <sheetData>
    <row r="1" spans="1:10" ht="18">
      <c r="A1" s="705" t="s">
        <v>193</v>
      </c>
      <c r="B1" s="705"/>
      <c r="C1" s="705"/>
      <c r="D1" s="705"/>
      <c r="E1" s="705"/>
      <c r="F1" s="444"/>
      <c r="G1" s="444"/>
      <c r="H1" s="444"/>
      <c r="I1" s="444"/>
    </row>
    <row r="2" spans="1:10" s="445" customFormat="1" ht="15">
      <c r="A2" s="446"/>
      <c r="B2" s="446"/>
      <c r="C2" s="446"/>
      <c r="D2" s="446"/>
      <c r="E2" s="446"/>
      <c r="F2" s="446"/>
      <c r="G2" s="446"/>
    </row>
    <row r="3" spans="1:10">
      <c r="A3" s="443" t="s">
        <v>14</v>
      </c>
      <c r="C3" s="447" t="s">
        <v>3</v>
      </c>
    </row>
    <row r="4" spans="1:10">
      <c r="A4" s="443" t="s">
        <v>194</v>
      </c>
      <c r="C4" s="447" t="s">
        <v>3</v>
      </c>
    </row>
    <row r="5" spans="1:10" s="445" customFormat="1" ht="15">
      <c r="A5" s="446"/>
      <c r="B5" s="446"/>
      <c r="C5" s="446"/>
      <c r="D5" s="446"/>
      <c r="E5" s="446"/>
      <c r="F5" s="446"/>
      <c r="G5" s="446"/>
    </row>
    <row r="6" spans="1:10" ht="21" customHeight="1">
      <c r="A6" s="706" t="s">
        <v>195</v>
      </c>
      <c r="B6" s="707"/>
      <c r="C6" s="707"/>
      <c r="D6" s="707"/>
      <c r="E6" s="708"/>
      <c r="F6" s="448"/>
      <c r="G6" s="448"/>
      <c r="H6" s="448"/>
      <c r="I6" s="448"/>
      <c r="J6" s="448"/>
    </row>
    <row r="7" spans="1:10" ht="49.5">
      <c r="A7" s="449" t="s">
        <v>196</v>
      </c>
      <c r="B7" s="450" t="s">
        <v>197</v>
      </c>
      <c r="C7" s="709" t="s">
        <v>198</v>
      </c>
      <c r="D7" s="709"/>
      <c r="E7" s="450" t="s">
        <v>199</v>
      </c>
    </row>
    <row r="8" spans="1:10" ht="21" customHeight="1">
      <c r="A8" s="712"/>
      <c r="B8" s="712"/>
      <c r="C8" s="713"/>
      <c r="D8" s="714"/>
      <c r="E8" s="451" t="s">
        <v>200</v>
      </c>
    </row>
    <row r="9" spans="1:10">
      <c r="A9" s="710"/>
      <c r="B9" s="710"/>
      <c r="C9" s="715"/>
      <c r="D9" s="716"/>
      <c r="E9" s="452" t="s">
        <v>1</v>
      </c>
    </row>
    <row r="10" spans="1:10" ht="50.1" customHeight="1">
      <c r="A10" s="710"/>
      <c r="B10" s="710"/>
      <c r="C10" s="715"/>
      <c r="D10" s="716"/>
      <c r="E10" s="453" t="s">
        <v>201</v>
      </c>
    </row>
    <row r="11" spans="1:10">
      <c r="A11" s="710"/>
      <c r="B11" s="710"/>
      <c r="C11" s="715"/>
      <c r="D11" s="716"/>
      <c r="E11" s="454" t="s">
        <v>202</v>
      </c>
    </row>
    <row r="12" spans="1:10">
      <c r="A12" s="710"/>
      <c r="B12" s="710"/>
      <c r="C12" s="715"/>
      <c r="D12" s="716"/>
      <c r="E12" s="452" t="s">
        <v>203</v>
      </c>
    </row>
    <row r="13" spans="1:10" ht="50.1" customHeight="1">
      <c r="A13" s="710"/>
      <c r="B13" s="710"/>
      <c r="C13" s="715"/>
      <c r="D13" s="716"/>
      <c r="E13" s="453" t="s">
        <v>204</v>
      </c>
    </row>
    <row r="14" spans="1:10">
      <c r="A14" s="711"/>
      <c r="B14" s="711"/>
      <c r="C14" s="717"/>
      <c r="D14" s="718"/>
      <c r="E14" s="455"/>
    </row>
    <row r="15" spans="1:10" ht="21" customHeight="1">
      <c r="A15" s="719"/>
      <c r="B15" s="719"/>
      <c r="C15" s="720"/>
      <c r="D15" s="721"/>
      <c r="E15" s="456" t="s">
        <v>200</v>
      </c>
    </row>
    <row r="16" spans="1:10">
      <c r="A16" s="710"/>
      <c r="B16" s="710"/>
      <c r="C16" s="715"/>
      <c r="D16" s="716"/>
      <c r="E16" s="452" t="s">
        <v>1</v>
      </c>
    </row>
    <row r="17" spans="1:7" ht="50.1" customHeight="1">
      <c r="A17" s="710"/>
      <c r="B17" s="710"/>
      <c r="C17" s="715"/>
      <c r="D17" s="716"/>
      <c r="E17" s="453" t="s">
        <v>201</v>
      </c>
      <c r="F17"/>
      <c r="G17"/>
    </row>
    <row r="18" spans="1:7">
      <c r="A18" s="710"/>
      <c r="B18" s="710"/>
      <c r="C18" s="715"/>
      <c r="D18" s="716"/>
      <c r="E18" s="454" t="s">
        <v>202</v>
      </c>
      <c r="F18"/>
      <c r="G18"/>
    </row>
    <row r="19" spans="1:7">
      <c r="A19" s="710"/>
      <c r="B19" s="710"/>
      <c r="C19" s="715"/>
      <c r="D19" s="716"/>
      <c r="E19" s="452" t="s">
        <v>203</v>
      </c>
      <c r="F19"/>
      <c r="G19"/>
    </row>
    <row r="20" spans="1:7" ht="50.1" customHeight="1">
      <c r="A20" s="710"/>
      <c r="B20" s="710"/>
      <c r="C20" s="715"/>
      <c r="D20" s="716"/>
      <c r="E20" s="453" t="s">
        <v>204</v>
      </c>
      <c r="F20"/>
      <c r="G20"/>
    </row>
    <row r="21" spans="1:7">
      <c r="A21" s="711"/>
      <c r="B21" s="711"/>
      <c r="C21" s="717"/>
      <c r="D21" s="718"/>
      <c r="E21" s="457"/>
      <c r="F21"/>
      <c r="G21"/>
    </row>
    <row r="22" spans="1:7" ht="21" customHeight="1">
      <c r="A22" s="710"/>
      <c r="B22" s="710"/>
      <c r="C22" s="715"/>
      <c r="D22" s="716"/>
      <c r="E22" s="455" t="s">
        <v>200</v>
      </c>
      <c r="F22"/>
      <c r="G22"/>
    </row>
    <row r="23" spans="1:7">
      <c r="A23" s="710"/>
      <c r="B23" s="710"/>
      <c r="C23" s="715"/>
      <c r="D23" s="716"/>
      <c r="E23" s="452" t="s">
        <v>1</v>
      </c>
      <c r="F23"/>
      <c r="G23"/>
    </row>
    <row r="24" spans="1:7" ht="50.1" customHeight="1">
      <c r="A24" s="710"/>
      <c r="B24" s="710"/>
      <c r="C24" s="715"/>
      <c r="D24" s="716"/>
      <c r="E24" s="453" t="s">
        <v>201</v>
      </c>
      <c r="F24"/>
      <c r="G24"/>
    </row>
    <row r="25" spans="1:7">
      <c r="A25" s="710"/>
      <c r="B25" s="710"/>
      <c r="C25" s="715"/>
      <c r="D25" s="716"/>
      <c r="E25" s="454" t="s">
        <v>202</v>
      </c>
      <c r="F25"/>
      <c r="G25"/>
    </row>
    <row r="26" spans="1:7">
      <c r="A26" s="710"/>
      <c r="B26" s="710"/>
      <c r="C26" s="715"/>
      <c r="D26" s="716"/>
      <c r="E26" s="452" t="s">
        <v>203</v>
      </c>
      <c r="F26"/>
      <c r="G26"/>
    </row>
    <row r="27" spans="1:7" ht="50.1" customHeight="1">
      <c r="A27" s="710"/>
      <c r="B27" s="710"/>
      <c r="C27" s="715"/>
      <c r="D27" s="716"/>
      <c r="E27" s="453" t="s">
        <v>204</v>
      </c>
      <c r="F27"/>
      <c r="G27"/>
    </row>
    <row r="28" spans="1:7">
      <c r="A28" s="711"/>
      <c r="B28" s="711"/>
      <c r="C28" s="717"/>
      <c r="D28" s="718"/>
      <c r="E28" s="458"/>
      <c r="F28"/>
      <c r="G28"/>
    </row>
  </sheetData>
  <sheetProtection sheet="1" objects="1" scenarios="1"/>
  <mergeCells count="12">
    <mergeCell ref="A1:E1"/>
    <mergeCell ref="A6:E6"/>
    <mergeCell ref="C7:D7"/>
    <mergeCell ref="B22:B28"/>
    <mergeCell ref="A8:A14"/>
    <mergeCell ref="A22:A28"/>
    <mergeCell ref="C8:D14"/>
    <mergeCell ref="B8:B14"/>
    <mergeCell ref="A15:A21"/>
    <mergeCell ref="B15:B21"/>
    <mergeCell ref="C15:D21"/>
    <mergeCell ref="C22:D28"/>
  </mergeCells>
  <printOptions horizontalCentered="1"/>
  <pageMargins left="0.62992125984251968" right="0.15748031496062992" top="0.74803149606299213" bottom="0.43307086614173229" header="0.31496062992125984" footer="0.31496062992125984"/>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30"/>
  <sheetViews>
    <sheetView showGridLines="0" workbookViewId="0">
      <selection activeCell="G17" sqref="G17"/>
    </sheetView>
  </sheetViews>
  <sheetFormatPr defaultColWidth="9" defaultRowHeight="16.5"/>
  <cols>
    <col min="1" max="1" width="4.7109375" style="459" customWidth="1"/>
    <col min="2" max="2" width="19.85546875" style="443" customWidth="1"/>
    <col min="3" max="3" width="1.85546875" style="443" customWidth="1"/>
    <col min="4" max="4" width="11.7109375" style="443" customWidth="1"/>
    <col min="5" max="5" width="14.7109375" style="443" customWidth="1"/>
    <col min="6" max="6" width="32.7109375" style="460" customWidth="1"/>
    <col min="7" max="256" width="10" customWidth="1"/>
  </cols>
  <sheetData>
    <row r="1" spans="1:6" ht="18">
      <c r="A1" s="705" t="s">
        <v>193</v>
      </c>
      <c r="B1" s="705"/>
      <c r="C1" s="705"/>
      <c r="D1" s="705"/>
      <c r="E1" s="705"/>
      <c r="F1" s="705"/>
    </row>
    <row r="2" spans="1:6" s="445" customFormat="1" ht="15">
      <c r="A2" s="461"/>
      <c r="B2" s="446"/>
      <c r="C2" s="446"/>
      <c r="D2" s="446"/>
      <c r="E2" s="446"/>
      <c r="F2" s="460"/>
    </row>
    <row r="3" spans="1:6">
      <c r="A3" s="459" t="s">
        <v>14</v>
      </c>
      <c r="C3" s="447" t="s">
        <v>3</v>
      </c>
      <c r="D3" s="459" t="str">
        <f>RAPORT!E3</f>
        <v>AGUNG BUDI PRASTAWA</v>
      </c>
      <c r="E3" s="459"/>
    </row>
    <row r="4" spans="1:6">
      <c r="A4" s="459" t="s">
        <v>194</v>
      </c>
      <c r="C4" s="447" t="s">
        <v>3</v>
      </c>
      <c r="D4" s="462" t="str">
        <f>RAPORT!E4</f>
        <v>181910014</v>
      </c>
      <c r="E4" s="462" t="str">
        <f>RAPORT!H4</f>
        <v>/    -</v>
      </c>
    </row>
    <row r="5" spans="1:6" s="445" customFormat="1" ht="15">
      <c r="A5" s="461"/>
      <c r="B5" s="446"/>
      <c r="C5" s="446"/>
      <c r="D5" s="446"/>
      <c r="E5" s="446"/>
      <c r="F5" s="460"/>
    </row>
    <row r="6" spans="1:6" ht="24.95" customHeight="1">
      <c r="A6" s="463" t="s">
        <v>192</v>
      </c>
      <c r="B6" s="724" t="s">
        <v>205</v>
      </c>
      <c r="C6" s="724"/>
      <c r="D6" s="724"/>
      <c r="E6" s="724"/>
      <c r="F6" s="724"/>
    </row>
    <row r="7" spans="1:6" ht="24.95" customHeight="1">
      <c r="A7" s="452">
        <v>1</v>
      </c>
      <c r="B7" s="464" t="s">
        <v>206</v>
      </c>
      <c r="C7" s="447" t="s">
        <v>3</v>
      </c>
      <c r="D7" s="722" t="str">
        <f>IFERROR($D$3,"")</f>
        <v>AGUNG BUDI PRASTAWA</v>
      </c>
      <c r="E7" s="714"/>
      <c r="F7" s="455" t="str">
        <f>"Banjaran, "&amp;D11</f>
        <v>Banjaran, 16 Juli 2018</v>
      </c>
    </row>
    <row r="8" spans="1:6" ht="24.95" customHeight="1">
      <c r="A8" s="452">
        <v>2</v>
      </c>
      <c r="B8" s="465" t="s">
        <v>194</v>
      </c>
      <c r="C8" s="447" t="s">
        <v>3</v>
      </c>
      <c r="D8" s="723" t="str">
        <f>$D$4</f>
        <v>181910014</v>
      </c>
      <c r="E8" s="716"/>
      <c r="F8" s="455" t="s">
        <v>208</v>
      </c>
    </row>
    <row r="9" spans="1:6" ht="24.95" customHeight="1">
      <c r="A9" s="452">
        <v>3</v>
      </c>
      <c r="B9" s="465" t="s">
        <v>186</v>
      </c>
      <c r="C9" s="447" t="s">
        <v>3</v>
      </c>
      <c r="D9" s="723" t="s">
        <v>188</v>
      </c>
      <c r="E9" s="716"/>
      <c r="F9" s="455"/>
    </row>
    <row r="10" spans="1:6" ht="24.95" customHeight="1">
      <c r="A10" s="452">
        <v>4</v>
      </c>
      <c r="B10" s="465" t="s">
        <v>279</v>
      </c>
      <c r="C10" s="447"/>
      <c r="D10" s="723"/>
      <c r="E10" s="716"/>
      <c r="F10" s="455"/>
    </row>
    <row r="11" spans="1:6" ht="24.95" customHeight="1">
      <c r="A11" s="452"/>
      <c r="B11" s="465" t="s">
        <v>209</v>
      </c>
      <c r="C11" s="447" t="s">
        <v>3</v>
      </c>
      <c r="D11" s="723" t="str">
        <f>VLOOKUP($D$4,Biodata!$B$9:$N$48,13,TRUE)</f>
        <v>16 Juli 2018</v>
      </c>
      <c r="E11" s="716"/>
      <c r="F11" s="453">
        <f>RAPORT!G122</f>
        <v>0</v>
      </c>
    </row>
    <row r="12" spans="1:6" ht="24.95" customHeight="1">
      <c r="A12" s="452"/>
      <c r="B12" s="465" t="s">
        <v>211</v>
      </c>
      <c r="C12" s="447" t="s">
        <v>3</v>
      </c>
      <c r="D12" s="723" t="str">
        <f>VLOOKUP($D$4,Biodata!$B$9:$N$48,12,TRUE)</f>
        <v>X</v>
      </c>
      <c r="E12" s="716"/>
      <c r="F12" s="466">
        <f>RAPORT!G123</f>
        <v>0</v>
      </c>
    </row>
    <row r="13" spans="1:6" ht="24.95" customHeight="1">
      <c r="A13" s="467">
        <v>5</v>
      </c>
      <c r="B13" s="468" t="s">
        <v>47</v>
      </c>
      <c r="C13" s="447" t="s">
        <v>3</v>
      </c>
      <c r="D13" s="723" t="s">
        <v>299</v>
      </c>
      <c r="E13" s="716"/>
      <c r="F13" s="469"/>
    </row>
    <row r="14" spans="1:6" ht="24.95" customHeight="1">
      <c r="A14" s="452">
        <v>1</v>
      </c>
      <c r="B14" s="470" t="s">
        <v>206</v>
      </c>
      <c r="C14" s="471" t="s">
        <v>3</v>
      </c>
      <c r="D14" s="725"/>
      <c r="E14" s="721"/>
      <c r="F14" s="455" t="s">
        <v>207</v>
      </c>
    </row>
    <row r="15" spans="1:6" ht="24.95" customHeight="1">
      <c r="A15" s="452">
        <v>2</v>
      </c>
      <c r="B15" s="465" t="s">
        <v>194</v>
      </c>
      <c r="C15" s="447" t="s">
        <v>3</v>
      </c>
      <c r="D15" s="723"/>
      <c r="E15" s="716"/>
      <c r="F15" s="455" t="s">
        <v>208</v>
      </c>
    </row>
    <row r="16" spans="1:6" ht="24.95" customHeight="1">
      <c r="A16" s="452">
        <v>3</v>
      </c>
      <c r="B16" s="465" t="s">
        <v>186</v>
      </c>
      <c r="C16" s="447" t="s">
        <v>3</v>
      </c>
      <c r="D16" s="723"/>
      <c r="E16" s="716"/>
      <c r="F16" s="455"/>
    </row>
    <row r="17" spans="1:6" ht="24.95" customHeight="1">
      <c r="A17" s="452">
        <v>4</v>
      </c>
      <c r="B17" s="465" t="s">
        <v>279</v>
      </c>
      <c r="C17" s="447"/>
      <c r="D17" s="723"/>
      <c r="E17" s="716"/>
      <c r="F17" s="455"/>
    </row>
    <row r="18" spans="1:6" ht="24.95" customHeight="1">
      <c r="A18" s="452"/>
      <c r="B18" s="465" t="s">
        <v>213</v>
      </c>
      <c r="C18" s="447" t="s">
        <v>3</v>
      </c>
      <c r="D18" s="723"/>
      <c r="E18" s="716"/>
      <c r="F18" s="453" t="s">
        <v>210</v>
      </c>
    </row>
    <row r="19" spans="1:6" ht="24.95" customHeight="1">
      <c r="A19" s="452"/>
      <c r="B19" s="465" t="s">
        <v>214</v>
      </c>
      <c r="C19" s="447" t="s">
        <v>3</v>
      </c>
      <c r="D19" s="723"/>
      <c r="E19" s="716"/>
      <c r="F19" s="454" t="s">
        <v>212</v>
      </c>
    </row>
    <row r="20" spans="1:6" ht="24.95" customHeight="1">
      <c r="A20" s="467">
        <v>5</v>
      </c>
      <c r="B20" s="468" t="s">
        <v>47</v>
      </c>
      <c r="C20" s="447" t="s">
        <v>3</v>
      </c>
      <c r="D20" s="723"/>
      <c r="E20" s="716"/>
      <c r="F20" s="469"/>
    </row>
    <row r="21" spans="1:6" ht="24.95" customHeight="1">
      <c r="A21" s="452">
        <v>1</v>
      </c>
      <c r="B21" s="470" t="s">
        <v>206</v>
      </c>
      <c r="C21" s="471" t="s">
        <v>3</v>
      </c>
      <c r="D21" s="725"/>
      <c r="E21" s="721"/>
      <c r="F21" s="455" t="s">
        <v>207</v>
      </c>
    </row>
    <row r="22" spans="1:6" ht="24.95" customHeight="1">
      <c r="A22" s="452">
        <v>2</v>
      </c>
      <c r="B22" s="465" t="s">
        <v>194</v>
      </c>
      <c r="C22" s="447" t="s">
        <v>3</v>
      </c>
      <c r="D22" s="723"/>
      <c r="E22" s="716"/>
      <c r="F22" s="455" t="s">
        <v>208</v>
      </c>
    </row>
    <row r="23" spans="1:6" ht="24.95" customHeight="1">
      <c r="A23" s="452">
        <v>3</v>
      </c>
      <c r="B23" s="465" t="s">
        <v>186</v>
      </c>
      <c r="C23" s="447" t="s">
        <v>3</v>
      </c>
      <c r="D23" s="723"/>
      <c r="E23" s="716"/>
      <c r="F23" s="455"/>
    </row>
    <row r="24" spans="1:6" ht="24.95" customHeight="1">
      <c r="A24" s="452">
        <v>4</v>
      </c>
      <c r="B24" s="465" t="s">
        <v>279</v>
      </c>
      <c r="C24" s="447"/>
      <c r="D24" s="723"/>
      <c r="E24" s="716"/>
      <c r="F24" s="455"/>
    </row>
    <row r="25" spans="1:6" ht="24.95" customHeight="1">
      <c r="A25" s="452"/>
      <c r="B25" s="465" t="s">
        <v>215</v>
      </c>
      <c r="C25" s="447" t="s">
        <v>3</v>
      </c>
      <c r="D25" s="723"/>
      <c r="E25" s="716"/>
      <c r="F25" s="453" t="s">
        <v>210</v>
      </c>
    </row>
    <row r="26" spans="1:6" ht="24.95" customHeight="1">
      <c r="A26" s="452"/>
      <c r="B26" s="465" t="s">
        <v>216</v>
      </c>
      <c r="C26" s="447" t="s">
        <v>3</v>
      </c>
      <c r="D26" s="723"/>
      <c r="E26" s="716"/>
      <c r="F26" s="454" t="s">
        <v>212</v>
      </c>
    </row>
    <row r="27" spans="1:6" ht="24.95" customHeight="1">
      <c r="A27" s="467">
        <v>5</v>
      </c>
      <c r="B27" s="468" t="s">
        <v>47</v>
      </c>
      <c r="C27" s="447" t="s">
        <v>3</v>
      </c>
      <c r="D27" s="723"/>
      <c r="E27" s="716"/>
      <c r="F27" s="469"/>
    </row>
    <row r="28" spans="1:6">
      <c r="A28" s="472"/>
      <c r="C28" s="473"/>
      <c r="D28" s="473"/>
      <c r="E28" s="473"/>
    </row>
    <row r="29" spans="1:6">
      <c r="A29" s="472"/>
    </row>
    <row r="30" spans="1:6">
      <c r="A30" s="472"/>
    </row>
  </sheetData>
  <sheetProtection sheet="1" objects="1" scenarios="1"/>
  <mergeCells count="23">
    <mergeCell ref="D27:E27"/>
    <mergeCell ref="D25:E25"/>
    <mergeCell ref="D9:E9"/>
    <mergeCell ref="D11:E11"/>
    <mergeCell ref="D20:E20"/>
    <mergeCell ref="D21:E21"/>
    <mergeCell ref="D13:E13"/>
    <mergeCell ref="D19:E19"/>
    <mergeCell ref="D17:E17"/>
    <mergeCell ref="D14:E14"/>
    <mergeCell ref="D15:E15"/>
    <mergeCell ref="D16:E16"/>
    <mergeCell ref="D22:E22"/>
    <mergeCell ref="D26:E26"/>
    <mergeCell ref="A1:F1"/>
    <mergeCell ref="D7:E7"/>
    <mergeCell ref="D18:E18"/>
    <mergeCell ref="D8:E8"/>
    <mergeCell ref="D24:E24"/>
    <mergeCell ref="D10:E10"/>
    <mergeCell ref="D12:E12"/>
    <mergeCell ref="B6:F6"/>
    <mergeCell ref="D23:E23"/>
  </mergeCells>
  <printOptions horizontalCentered="1"/>
  <pageMargins left="0.76" right="0.15748031496062992" top="0.74803149606299213" bottom="0.57999999999999996" header="0.31496062992125984" footer="0.31496062992125984"/>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0"/>
  <sheetViews>
    <sheetView topLeftCell="C1" workbookViewId="0">
      <selection activeCell="H51" sqref="H51"/>
    </sheetView>
  </sheetViews>
  <sheetFormatPr defaultColWidth="9" defaultRowHeight="12.75"/>
  <cols>
    <col min="1" max="1" width="3.7109375" style="474" customWidth="1"/>
    <col min="2" max="2" width="7.140625" style="474" customWidth="1"/>
    <col min="3" max="3" width="21.7109375" style="475" customWidth="1"/>
    <col min="4" max="4" width="11.85546875" style="474" customWidth="1"/>
    <col min="5" max="5" width="8" style="474" customWidth="1"/>
    <col min="6" max="6" width="12" style="474" customWidth="1"/>
    <col min="7" max="7" width="8" style="474" customWidth="1"/>
    <col min="8" max="8" width="5.28515625" style="474" customWidth="1"/>
    <col min="9" max="9" width="20.7109375" style="474" customWidth="1"/>
    <col min="10" max="10" width="6.42578125" style="474" customWidth="1"/>
    <col min="11" max="11" width="20.7109375" style="474" customWidth="1"/>
    <col min="12" max="17" width="9.140625" style="475" customWidth="1"/>
    <col min="18" max="18" width="26.140625" style="475" customWidth="1"/>
    <col min="19" max="256" width="9.140625" style="475" customWidth="1"/>
  </cols>
  <sheetData>
    <row r="1" spans="1:19">
      <c r="C1" s="476" t="s">
        <v>329</v>
      </c>
      <c r="D1" s="477" t="str">
        <f>Biodata!C4</f>
        <v xml:space="preserve"> X / IPS_5</v>
      </c>
    </row>
    <row r="2" spans="1:19">
      <c r="C2" s="476" t="s">
        <v>330</v>
      </c>
      <c r="D2" s="477" t="str">
        <f>Biodata!C5</f>
        <v>1 / Ganjil</v>
      </c>
    </row>
    <row r="3" spans="1:19">
      <c r="D3" s="477"/>
    </row>
    <row r="4" spans="1:19">
      <c r="C4" s="476" t="s">
        <v>331</v>
      </c>
      <c r="D4" s="477" t="str">
        <f>LEGER!F6</f>
        <v>Pendidikan Agama dan Budi Pekerti</v>
      </c>
    </row>
    <row r="5" spans="1:19">
      <c r="C5" s="476" t="s">
        <v>332</v>
      </c>
      <c r="D5" s="477">
        <f>RAPORT!C84</f>
        <v>70</v>
      </c>
    </row>
    <row r="6" spans="1:19">
      <c r="A6" s="474" t="s">
        <v>325</v>
      </c>
      <c r="B6" s="474" t="s">
        <v>10</v>
      </c>
      <c r="C6" s="475" t="s">
        <v>324</v>
      </c>
      <c r="D6" s="474" t="s">
        <v>75</v>
      </c>
      <c r="E6" s="474" t="s">
        <v>71</v>
      </c>
      <c r="F6" s="474" t="s">
        <v>147</v>
      </c>
      <c r="G6" s="474" t="s">
        <v>71</v>
      </c>
      <c r="H6" s="474" t="s">
        <v>326</v>
      </c>
      <c r="I6" s="474" t="s">
        <v>327</v>
      </c>
      <c r="J6" s="474" t="s">
        <v>328</v>
      </c>
      <c r="K6" s="474" t="s">
        <v>327</v>
      </c>
      <c r="Q6" s="219" t="s">
        <v>71</v>
      </c>
      <c r="R6" s="219" t="s">
        <v>333</v>
      </c>
      <c r="S6" s="219" t="s">
        <v>334</v>
      </c>
    </row>
    <row r="7" spans="1:19">
      <c r="A7" s="474">
        <f>Biodata!A9</f>
        <v>1</v>
      </c>
      <c r="B7" s="478" t="str">
        <f>Biodata!B9</f>
        <v>181910008</v>
      </c>
      <c r="C7" s="479" t="str">
        <f>Biodata!C9</f>
        <v>ADITA TRI KURNIA PUTRI</v>
      </c>
      <c r="D7" s="474">
        <v>47</v>
      </c>
      <c r="E7" s="474" t="s">
        <v>429</v>
      </c>
      <c r="F7" s="474">
        <v>80</v>
      </c>
      <c r="G7" s="474" t="s">
        <v>6</v>
      </c>
      <c r="H7" s="474" t="s">
        <v>18</v>
      </c>
      <c r="I7" s="479" t="str">
        <f>IFERROR(VLOOKUP(H7,$Q$7:$S$10,2,TRUE),"-")</f>
        <v>Selalu bersyukur dan selalu berdoa sebelum melakukan kegiatan, memiliki toleran pada agama yang berbeda, ketaatan beribadah perlu ditingkatkan.</v>
      </c>
      <c r="J7" s="474" t="str">
        <f t="shared" ref="J7:J46" si="0">IFERROR(VLOOKUP(B7&amp;"A",leggerx1,21,0),"")</f>
        <v>B</v>
      </c>
      <c r="K7" s="479" t="str">
        <f>IFERROR(VLOOKUP(J7,$Q$7:$S$10,3,TRUE),"-")</f>
        <v>Memiliki sikap santun, disiplin, tanggung jawab yang baik, sikap kepedulian mulai meningkat.</v>
      </c>
      <c r="Q7" s="219" t="s">
        <v>288</v>
      </c>
      <c r="R7" s="480" t="s">
        <v>169</v>
      </c>
      <c r="S7" s="481" t="s">
        <v>172</v>
      </c>
    </row>
    <row r="8" spans="1:19">
      <c r="A8" s="474">
        <f>Biodata!A10</f>
        <v>2</v>
      </c>
      <c r="B8" s="478" t="str">
        <f>Biodata!B10</f>
        <v>181910011</v>
      </c>
      <c r="C8" s="479" t="str">
        <f>Biodata!C10</f>
        <v xml:space="preserve">ADNES KOMALA DEWI </v>
      </c>
      <c r="D8" s="474">
        <v>50</v>
      </c>
      <c r="E8" s="474" t="s">
        <v>429</v>
      </c>
      <c r="F8" s="474">
        <v>80</v>
      </c>
      <c r="G8" s="474" t="s">
        <v>6</v>
      </c>
      <c r="H8" s="474" t="s">
        <v>18</v>
      </c>
      <c r="I8" s="482" t="str">
        <f t="shared" ref="I8:I46" si="1">IFERROR(VLOOKUP(H8,$Q$7:$S$10,2,TRUE),"-")</f>
        <v>Selalu bersyukur dan selalu berdoa sebelum melakukan kegiatan, memiliki toleran pada agama yang berbeda, ketaatan beribadah perlu ditingkatkan.</v>
      </c>
      <c r="J8" s="474" t="s">
        <v>18</v>
      </c>
      <c r="K8" s="482" t="str">
        <f t="shared" ref="K8:K46" si="2">IFERROR(VLOOKUP(J8,$Q$7:$S$10,3,TRUE),"-")</f>
        <v>Memiliki sikap santun, disiplin, dan tanggung jawab yang baik, sikap kepedulian perlu ditingkatkan.</v>
      </c>
      <c r="Q8" s="219" t="s">
        <v>6</v>
      </c>
      <c r="R8" s="480" t="s">
        <v>170</v>
      </c>
      <c r="S8" s="481" t="s">
        <v>173</v>
      </c>
    </row>
    <row r="9" spans="1:19">
      <c r="A9" s="474">
        <f>Biodata!A11</f>
        <v>3</v>
      </c>
      <c r="B9" s="478" t="str">
        <f>Biodata!B11</f>
        <v>181910014</v>
      </c>
      <c r="C9" s="479" t="str">
        <f>Biodata!C11</f>
        <v>AGUNG BUDI PRASTAWA</v>
      </c>
      <c r="D9" s="474">
        <v>55</v>
      </c>
      <c r="E9" s="474" t="s">
        <v>429</v>
      </c>
      <c r="F9" s="474">
        <v>80</v>
      </c>
      <c r="G9" s="474" t="s">
        <v>6</v>
      </c>
      <c r="H9" s="474" t="s">
        <v>18</v>
      </c>
      <c r="I9" s="482" t="str">
        <f t="shared" si="1"/>
        <v>Selalu bersyukur dan selalu berdoa sebelum melakukan kegiatan, memiliki toleran pada agama yang berbeda, ketaatan beribadah perlu ditingkatkan.</v>
      </c>
      <c r="J9" s="474" t="s">
        <v>6</v>
      </c>
      <c r="K9" s="482" t="str">
        <f t="shared" si="2"/>
        <v>Memiliki sikap santun, disiplin, tanggung jawab yang baik, sikap kepedulian mulai meningkat.</v>
      </c>
      <c r="Q9" s="219" t="s">
        <v>18</v>
      </c>
      <c r="R9" s="480" t="s">
        <v>171</v>
      </c>
      <c r="S9" s="481" t="s">
        <v>174</v>
      </c>
    </row>
    <row r="10" spans="1:19">
      <c r="A10" s="474">
        <f>Biodata!A12</f>
        <v>4</v>
      </c>
      <c r="B10" s="478" t="str">
        <f>Biodata!B12</f>
        <v>181910021</v>
      </c>
      <c r="C10" s="479" t="str">
        <f>Biodata!C12</f>
        <v>AISYAH</v>
      </c>
      <c r="D10" s="474">
        <v>47</v>
      </c>
      <c r="E10" s="474" t="s">
        <v>429</v>
      </c>
      <c r="F10" s="474">
        <v>80</v>
      </c>
      <c r="G10" s="474" t="s">
        <v>6</v>
      </c>
      <c r="H10" s="474" t="s">
        <v>18</v>
      </c>
      <c r="I10" s="482" t="str">
        <f t="shared" si="1"/>
        <v>Selalu bersyukur dan selalu berdoa sebelum melakukan kegiatan, memiliki toleran pada agama yang berbeda, ketaatan beribadah perlu ditingkatkan.</v>
      </c>
      <c r="J10" s="474" t="s">
        <v>18</v>
      </c>
      <c r="K10" s="482" t="str">
        <f t="shared" si="2"/>
        <v>Memiliki sikap santun, disiplin, dan tanggung jawab yang baik, sikap kepedulian perlu ditingkatkan.</v>
      </c>
      <c r="Q10" s="219" t="s">
        <v>297</v>
      </c>
      <c r="R10" s="480" t="s">
        <v>181</v>
      </c>
      <c r="S10" s="481" t="s">
        <v>182</v>
      </c>
    </row>
    <row r="11" spans="1:19">
      <c r="A11" s="474">
        <f>Biodata!A13</f>
        <v>5</v>
      </c>
      <c r="B11" s="478" t="str">
        <f>Biodata!B13</f>
        <v>181910045</v>
      </c>
      <c r="C11" s="479" t="str">
        <f>Biodata!C13</f>
        <v>ARYA DYTA WIGUNA</v>
      </c>
      <c r="D11" s="474">
        <v>80</v>
      </c>
      <c r="E11" s="474" t="s">
        <v>6</v>
      </c>
      <c r="F11" s="474">
        <v>80</v>
      </c>
      <c r="G11" s="474" t="s">
        <v>6</v>
      </c>
      <c r="H11" s="474" t="s">
        <v>6</v>
      </c>
      <c r="I11" s="482" t="str">
        <f t="shared" si="1"/>
        <v>Selalu bersyukur dan selalu berdoa sebelum melakukan kegiatan, memiliki toleran pada agama yang berbeda, ketaatan beribadah mulai berkembang.</v>
      </c>
      <c r="J11" s="474" t="s">
        <v>6</v>
      </c>
      <c r="K11" s="482" t="str">
        <f t="shared" si="2"/>
        <v>Memiliki sikap santun, disiplin, tanggung jawab yang baik, sikap kepedulian mulai meningkat.</v>
      </c>
    </row>
    <row r="12" spans="1:19">
      <c r="A12" s="474">
        <f>Biodata!A14</f>
        <v>6</v>
      </c>
      <c r="B12" s="478" t="str">
        <f>Biodata!B14</f>
        <v>181910054</v>
      </c>
      <c r="C12" s="479" t="str">
        <f>Biodata!C14</f>
        <v>AZRIEL TAMA SANTIAJI</v>
      </c>
      <c r="D12" s="474">
        <v>42</v>
      </c>
      <c r="E12" s="474" t="s">
        <v>429</v>
      </c>
      <c r="F12" s="474">
        <v>60</v>
      </c>
      <c r="G12" s="474" t="s">
        <v>19</v>
      </c>
      <c r="H12" s="474" t="s">
        <v>18</v>
      </c>
      <c r="I12" s="482" t="str">
        <f t="shared" si="1"/>
        <v>Selalu bersyukur dan selalu berdoa sebelum melakukan kegiatan, memiliki toleran pada agama yang berbeda, ketaatan beribadah perlu ditingkatkan.</v>
      </c>
      <c r="J12" s="474" t="s">
        <v>18</v>
      </c>
      <c r="K12" s="482" t="str">
        <f t="shared" si="2"/>
        <v>Memiliki sikap santun, disiplin, dan tanggung jawab yang baik, sikap kepedulian perlu ditingkatkan.</v>
      </c>
    </row>
    <row r="13" spans="1:19">
      <c r="A13" s="474">
        <f>Biodata!A15</f>
        <v>7</v>
      </c>
      <c r="B13" s="478" t="str">
        <f>Biodata!B15</f>
        <v>181910055</v>
      </c>
      <c r="C13" s="479" t="str">
        <f>Biodata!C15</f>
        <v>AZZUHRI HAUDI</v>
      </c>
      <c r="D13" s="474">
        <v>72</v>
      </c>
      <c r="E13" s="474" t="s">
        <v>18</v>
      </c>
      <c r="F13" s="474">
        <v>70</v>
      </c>
      <c r="G13" s="474" t="s">
        <v>18</v>
      </c>
      <c r="H13" s="474" t="s">
        <v>18</v>
      </c>
      <c r="I13" s="482" t="str">
        <f t="shared" si="1"/>
        <v>Selalu bersyukur dan selalu berdoa sebelum melakukan kegiatan, memiliki toleran pada agama yang berbeda, ketaatan beribadah perlu ditingkatkan.</v>
      </c>
      <c r="J13" s="474" t="s">
        <v>18</v>
      </c>
      <c r="K13" s="482" t="str">
        <f t="shared" si="2"/>
        <v>Memiliki sikap santun, disiplin, dan tanggung jawab yang baik, sikap kepedulian perlu ditingkatkan.</v>
      </c>
    </row>
    <row r="14" spans="1:19">
      <c r="A14" s="474">
        <f>Biodata!A16</f>
        <v>8</v>
      </c>
      <c r="B14" s="478" t="str">
        <f>Biodata!B16</f>
        <v>181910056</v>
      </c>
      <c r="C14" s="479" t="str">
        <f>Biodata!C16</f>
        <v>BAYU BATARA SURYA PUTRA</v>
      </c>
      <c r="D14" s="474">
        <v>72</v>
      </c>
      <c r="E14" s="474" t="s">
        <v>18</v>
      </c>
      <c r="F14" s="474">
        <v>70</v>
      </c>
      <c r="G14" s="474" t="s">
        <v>18</v>
      </c>
      <c r="H14" s="474" t="s">
        <v>18</v>
      </c>
      <c r="I14" s="482" t="str">
        <f t="shared" si="1"/>
        <v>Selalu bersyukur dan selalu berdoa sebelum melakukan kegiatan, memiliki toleran pada agama yang berbeda, ketaatan beribadah perlu ditingkatkan.</v>
      </c>
      <c r="J14" s="474" t="s">
        <v>18</v>
      </c>
      <c r="K14" s="482" t="str">
        <f t="shared" si="2"/>
        <v>Memiliki sikap santun, disiplin, dan tanggung jawab yang baik, sikap kepedulian perlu ditingkatkan.</v>
      </c>
    </row>
    <row r="15" spans="1:19">
      <c r="A15" s="474">
        <f>Biodata!A17</f>
        <v>9</v>
      </c>
      <c r="B15" s="478" t="str">
        <f>Biodata!B17</f>
        <v>181910069</v>
      </c>
      <c r="C15" s="479" t="str">
        <f>Biodata!C17</f>
        <v>DANDY ERVAN PRATAMA</v>
      </c>
      <c r="D15" s="474">
        <v>75</v>
      </c>
      <c r="E15" s="474" t="s">
        <v>6</v>
      </c>
      <c r="F15" s="474">
        <v>75</v>
      </c>
      <c r="G15" s="474" t="s">
        <v>6</v>
      </c>
      <c r="H15" s="474" t="s">
        <v>18</v>
      </c>
      <c r="I15" s="482" t="str">
        <f t="shared" si="1"/>
        <v>Selalu bersyukur dan selalu berdoa sebelum melakukan kegiatan, memiliki toleran pada agama yang berbeda, ketaatan beribadah perlu ditingkatkan.</v>
      </c>
      <c r="J15" s="474" t="s">
        <v>18</v>
      </c>
      <c r="K15" s="482" t="str">
        <f t="shared" si="2"/>
        <v>Memiliki sikap santun, disiplin, dan tanggung jawab yang baik, sikap kepedulian perlu ditingkatkan.</v>
      </c>
    </row>
    <row r="16" spans="1:19">
      <c r="A16" s="474">
        <f>Biodata!A18</f>
        <v>10</v>
      </c>
      <c r="B16" s="478" t="str">
        <f>Biodata!B18</f>
        <v>181910085</v>
      </c>
      <c r="C16" s="479" t="str">
        <f>Biodata!C18</f>
        <v>DENISA ASTI RAHMAWATI</v>
      </c>
      <c r="D16" s="474">
        <v>72</v>
      </c>
      <c r="E16" s="474" t="s">
        <v>18</v>
      </c>
      <c r="F16" s="474">
        <v>80</v>
      </c>
      <c r="G16" s="474" t="s">
        <v>6</v>
      </c>
      <c r="H16" s="474" t="s">
        <v>6</v>
      </c>
      <c r="I16" s="482" t="str">
        <f t="shared" si="1"/>
        <v>Selalu bersyukur dan selalu berdoa sebelum melakukan kegiatan, memiliki toleran pada agama yang berbeda, ketaatan beribadah mulai berkembang.</v>
      </c>
      <c r="J16" s="474" t="s">
        <v>6</v>
      </c>
      <c r="K16" s="482" t="str">
        <f t="shared" si="2"/>
        <v>Memiliki sikap santun, disiplin, tanggung jawab yang baik, sikap kepedulian mulai meningkat.</v>
      </c>
    </row>
    <row r="17" spans="1:11">
      <c r="A17" s="474">
        <f>Biodata!A19</f>
        <v>11</v>
      </c>
      <c r="B17" s="478" t="str">
        <f>Biodata!B19</f>
        <v>181910093</v>
      </c>
      <c r="C17" s="479" t="str">
        <f>Biodata!C19</f>
        <v>DIAN RAMDHAN SAPTIAN</v>
      </c>
      <c r="D17" s="474">
        <v>62</v>
      </c>
      <c r="E17" s="474" t="s">
        <v>19</v>
      </c>
      <c r="F17" s="474">
        <v>75</v>
      </c>
      <c r="G17" s="474" t="s">
        <v>6</v>
      </c>
      <c r="H17" s="474" t="s">
        <v>18</v>
      </c>
      <c r="I17" s="482" t="str">
        <f t="shared" si="1"/>
        <v>Selalu bersyukur dan selalu berdoa sebelum melakukan kegiatan, memiliki toleran pada agama yang berbeda, ketaatan beribadah perlu ditingkatkan.</v>
      </c>
      <c r="J17" s="474" t="s">
        <v>18</v>
      </c>
      <c r="K17" s="482" t="str">
        <f t="shared" si="2"/>
        <v>Memiliki sikap santun, disiplin, dan tanggung jawab yang baik, sikap kepedulian perlu ditingkatkan.</v>
      </c>
    </row>
    <row r="18" spans="1:11">
      <c r="A18" s="474">
        <f>Biodata!A20</f>
        <v>12</v>
      </c>
      <c r="B18" s="478" t="str">
        <f>Biodata!B20</f>
        <v>181910103</v>
      </c>
      <c r="C18" s="479" t="str">
        <f>Biodata!C20</f>
        <v>DIVYA ADHIANI NURDIN</v>
      </c>
      <c r="D18" s="474">
        <v>60</v>
      </c>
      <c r="E18" s="474" t="s">
        <v>19</v>
      </c>
      <c r="F18" s="474">
        <v>75</v>
      </c>
      <c r="G18" s="474" t="s">
        <v>6</v>
      </c>
      <c r="H18" s="474" t="s">
        <v>18</v>
      </c>
      <c r="I18" s="482" t="str">
        <f t="shared" si="1"/>
        <v>Selalu bersyukur dan selalu berdoa sebelum melakukan kegiatan, memiliki toleran pada agama yang berbeda, ketaatan beribadah perlu ditingkatkan.</v>
      </c>
      <c r="J18" s="474" t="s">
        <v>18</v>
      </c>
      <c r="K18" s="482" t="str">
        <f t="shared" si="2"/>
        <v>Memiliki sikap santun, disiplin, dan tanggung jawab yang baik, sikap kepedulian perlu ditingkatkan.</v>
      </c>
    </row>
    <row r="19" spans="1:11">
      <c r="A19" s="474">
        <f>Biodata!A21</f>
        <v>13</v>
      </c>
      <c r="B19" s="478" t="str">
        <f>Biodata!B21</f>
        <v>181910104</v>
      </c>
      <c r="C19" s="479" t="str">
        <f>Biodata!C21</f>
        <v>DWIKI DERMAWAN</v>
      </c>
      <c r="D19" s="474">
        <v>35</v>
      </c>
      <c r="E19" s="474" t="s">
        <v>429</v>
      </c>
      <c r="F19" s="474">
        <v>70</v>
      </c>
      <c r="G19" s="474" t="s">
        <v>19</v>
      </c>
      <c r="H19" s="474" t="s">
        <v>18</v>
      </c>
      <c r="I19" s="482" t="str">
        <f t="shared" si="1"/>
        <v>Selalu bersyukur dan selalu berdoa sebelum melakukan kegiatan, memiliki toleran pada agama yang berbeda, ketaatan beribadah perlu ditingkatkan.</v>
      </c>
      <c r="J19" s="474" t="s">
        <v>18</v>
      </c>
      <c r="K19" s="482" t="str">
        <f t="shared" si="2"/>
        <v>Memiliki sikap santun, disiplin, dan tanggung jawab yang baik, sikap kepedulian perlu ditingkatkan.</v>
      </c>
    </row>
    <row r="20" spans="1:11">
      <c r="A20" s="474">
        <f>Biodata!A22</f>
        <v>14</v>
      </c>
      <c r="B20" s="478" t="str">
        <f>Biodata!B22</f>
        <v>181910118</v>
      </c>
      <c r="C20" s="479" t="str">
        <f>Biodata!C22</f>
        <v>ENCEP CANDRA</v>
      </c>
      <c r="D20" s="474">
        <v>65</v>
      </c>
      <c r="E20" s="474" t="s">
        <v>19</v>
      </c>
      <c r="F20" s="474">
        <v>75</v>
      </c>
      <c r="G20" s="474" t="s">
        <v>6</v>
      </c>
      <c r="H20" s="474" t="s">
        <v>18</v>
      </c>
      <c r="I20" s="482" t="str">
        <f t="shared" si="1"/>
        <v>Selalu bersyukur dan selalu berdoa sebelum melakukan kegiatan, memiliki toleran pada agama yang berbeda, ketaatan beribadah perlu ditingkatkan.</v>
      </c>
      <c r="J20" s="474" t="s">
        <v>18</v>
      </c>
      <c r="K20" s="482" t="str">
        <f t="shared" si="2"/>
        <v>Memiliki sikap santun, disiplin, dan tanggung jawab yang baik, sikap kepedulian perlu ditingkatkan.</v>
      </c>
    </row>
    <row r="21" spans="1:11">
      <c r="A21" s="474">
        <f>Biodata!A23</f>
        <v>15</v>
      </c>
      <c r="B21" s="478" t="str">
        <f>Biodata!B23</f>
        <v>181910128</v>
      </c>
      <c r="C21" s="479" t="str">
        <f>Biodata!C23</f>
        <v>FAIZAL EGI</v>
      </c>
      <c r="D21" s="474">
        <v>72</v>
      </c>
      <c r="E21" s="474" t="s">
        <v>18</v>
      </c>
      <c r="F21" s="474">
        <v>70</v>
      </c>
      <c r="G21" s="474" t="s">
        <v>19</v>
      </c>
      <c r="H21" s="474" t="s">
        <v>18</v>
      </c>
      <c r="I21" s="482" t="str">
        <f t="shared" si="1"/>
        <v>Selalu bersyukur dan selalu berdoa sebelum melakukan kegiatan, memiliki toleran pada agama yang berbeda, ketaatan beribadah perlu ditingkatkan.</v>
      </c>
      <c r="J21" s="474" t="s">
        <v>18</v>
      </c>
      <c r="K21" s="482" t="str">
        <f t="shared" si="2"/>
        <v>Memiliki sikap santun, disiplin, dan tanggung jawab yang baik, sikap kepedulian perlu ditingkatkan.</v>
      </c>
    </row>
    <row r="22" spans="1:11">
      <c r="A22" s="474">
        <f>Biodata!A24</f>
        <v>16</v>
      </c>
      <c r="B22" s="478" t="str">
        <f>Biodata!B24</f>
        <v>181910133</v>
      </c>
      <c r="C22" s="479" t="str">
        <f>Biodata!C24</f>
        <v>FAUZI DHALFADLIL AZHANI</v>
      </c>
      <c r="D22" s="474">
        <v>70</v>
      </c>
      <c r="E22" s="474" t="s">
        <v>18</v>
      </c>
      <c r="F22" s="474">
        <v>70</v>
      </c>
      <c r="G22" s="474" t="s">
        <v>19</v>
      </c>
      <c r="H22" s="474" t="s">
        <v>18</v>
      </c>
      <c r="I22" s="482" t="str">
        <f t="shared" si="1"/>
        <v>Selalu bersyukur dan selalu berdoa sebelum melakukan kegiatan, memiliki toleran pada agama yang berbeda, ketaatan beribadah perlu ditingkatkan.</v>
      </c>
      <c r="J22" s="474" t="s">
        <v>18</v>
      </c>
      <c r="K22" s="482" t="str">
        <f t="shared" si="2"/>
        <v>Memiliki sikap santun, disiplin, dan tanggung jawab yang baik, sikap kepedulian perlu ditingkatkan.</v>
      </c>
    </row>
    <row r="23" spans="1:11">
      <c r="A23" s="474">
        <f>Biodata!A25</f>
        <v>17</v>
      </c>
      <c r="B23" s="478" t="str">
        <f>Biodata!B25</f>
        <v>181910161</v>
      </c>
      <c r="C23" s="479" t="str">
        <f>Biodata!C25</f>
        <v>HILMAN PUTRA PAMUNGKAS</v>
      </c>
      <c r="D23" s="474">
        <v>72</v>
      </c>
      <c r="E23" s="474" t="s">
        <v>18</v>
      </c>
      <c r="F23" s="474">
        <v>75</v>
      </c>
      <c r="G23" s="474" t="s">
        <v>6</v>
      </c>
      <c r="H23" s="474" t="s">
        <v>18</v>
      </c>
      <c r="I23" s="482" t="str">
        <f t="shared" si="1"/>
        <v>Selalu bersyukur dan selalu berdoa sebelum melakukan kegiatan, memiliki toleran pada agama yang berbeda, ketaatan beribadah perlu ditingkatkan.</v>
      </c>
      <c r="J23" s="474" t="s">
        <v>6</v>
      </c>
      <c r="K23" s="482" t="str">
        <f t="shared" si="2"/>
        <v>Memiliki sikap santun, disiplin, tanggung jawab yang baik, sikap kepedulian mulai meningkat.</v>
      </c>
    </row>
    <row r="24" spans="1:11">
      <c r="A24" s="474">
        <f>Biodata!A26</f>
        <v>18</v>
      </c>
      <c r="B24" s="478" t="str">
        <f>Biodata!B26</f>
        <v>181910165</v>
      </c>
      <c r="C24" s="479" t="str">
        <f>Biodata!C26</f>
        <v>IHSYA FADILLAH MUSLIM</v>
      </c>
      <c r="D24" s="474">
        <v>75</v>
      </c>
      <c r="E24" s="474" t="s">
        <v>6</v>
      </c>
      <c r="F24" s="474">
        <v>75</v>
      </c>
      <c r="G24" s="474" t="s">
        <v>6</v>
      </c>
      <c r="H24" s="474" t="s">
        <v>18</v>
      </c>
      <c r="I24" s="482" t="str">
        <f t="shared" si="1"/>
        <v>Selalu bersyukur dan selalu berdoa sebelum melakukan kegiatan, memiliki toleran pada agama yang berbeda, ketaatan beribadah perlu ditingkatkan.</v>
      </c>
      <c r="J24" s="474" t="s">
        <v>18</v>
      </c>
      <c r="K24" s="482" t="str">
        <f t="shared" si="2"/>
        <v>Memiliki sikap santun, disiplin, dan tanggung jawab yang baik, sikap kepedulian perlu ditingkatkan.</v>
      </c>
    </row>
    <row r="25" spans="1:11">
      <c r="A25" s="474">
        <f>Biodata!A27</f>
        <v>19</v>
      </c>
      <c r="B25" s="478" t="str">
        <f>Biodata!B27</f>
        <v>181910185</v>
      </c>
      <c r="C25" s="479" t="str">
        <f>Biodata!C27</f>
        <v>JIHAD AKBAR</v>
      </c>
      <c r="D25" s="474">
        <v>57</v>
      </c>
      <c r="E25" s="474" t="s">
        <v>19</v>
      </c>
      <c r="F25" s="474">
        <v>70</v>
      </c>
      <c r="G25" s="474" t="s">
        <v>19</v>
      </c>
      <c r="H25" s="474" t="s">
        <v>18</v>
      </c>
      <c r="I25" s="482" t="str">
        <f t="shared" si="1"/>
        <v>Selalu bersyukur dan selalu berdoa sebelum melakukan kegiatan, memiliki toleran pada agama yang berbeda, ketaatan beribadah perlu ditingkatkan.</v>
      </c>
      <c r="J25" s="474" t="s">
        <v>18</v>
      </c>
      <c r="K25" s="482" t="str">
        <f t="shared" si="2"/>
        <v>Memiliki sikap santun, disiplin, dan tanggung jawab yang baik, sikap kepedulian perlu ditingkatkan.</v>
      </c>
    </row>
    <row r="26" spans="1:11">
      <c r="A26" s="474">
        <f>Biodata!A28</f>
        <v>20</v>
      </c>
      <c r="B26" s="478" t="str">
        <f>Biodata!B28</f>
        <v>181910226</v>
      </c>
      <c r="C26" s="479" t="str">
        <f>Biodata!C28</f>
        <v>MUHAMAD IZZAZUL FIKRIAN</v>
      </c>
      <c r="D26" s="474">
        <v>70</v>
      </c>
      <c r="E26" s="474" t="s">
        <v>18</v>
      </c>
      <c r="F26" s="474">
        <v>75</v>
      </c>
      <c r="G26" s="474" t="s">
        <v>6</v>
      </c>
      <c r="H26" s="474" t="s">
        <v>18</v>
      </c>
      <c r="I26" s="482" t="str">
        <f t="shared" si="1"/>
        <v>Selalu bersyukur dan selalu berdoa sebelum melakukan kegiatan, memiliki toleran pada agama yang berbeda, ketaatan beribadah perlu ditingkatkan.</v>
      </c>
      <c r="J26" s="474" t="s">
        <v>18</v>
      </c>
      <c r="K26" s="482" t="str">
        <f t="shared" si="2"/>
        <v>Memiliki sikap santun, disiplin, dan tanggung jawab yang baik, sikap kepedulian perlu ditingkatkan.</v>
      </c>
    </row>
    <row r="27" spans="1:11">
      <c r="A27" s="474">
        <f>Biodata!A29</f>
        <v>21</v>
      </c>
      <c r="B27" s="478" t="str">
        <f>Biodata!B29</f>
        <v>181910240</v>
      </c>
      <c r="C27" s="479" t="str">
        <f>Biodata!C29</f>
        <v>NESHA RAUDHATUL ZANNAH</v>
      </c>
      <c r="D27" s="474">
        <v>60</v>
      </c>
      <c r="E27" s="474" t="s">
        <v>19</v>
      </c>
      <c r="F27" s="474">
        <v>75</v>
      </c>
      <c r="G27" s="474" t="s">
        <v>6</v>
      </c>
      <c r="H27" s="474" t="s">
        <v>18</v>
      </c>
      <c r="I27" s="482" t="str">
        <f t="shared" si="1"/>
        <v>Selalu bersyukur dan selalu berdoa sebelum melakukan kegiatan, memiliki toleran pada agama yang berbeda, ketaatan beribadah perlu ditingkatkan.</v>
      </c>
      <c r="J27" s="474" t="s">
        <v>18</v>
      </c>
      <c r="K27" s="482" t="str">
        <f t="shared" si="2"/>
        <v>Memiliki sikap santun, disiplin, dan tanggung jawab yang baik, sikap kepedulian perlu ditingkatkan.</v>
      </c>
    </row>
    <row r="28" spans="1:11">
      <c r="A28" s="474">
        <f>Biodata!A30</f>
        <v>22</v>
      </c>
      <c r="B28" s="478" t="str">
        <f>Biodata!B30</f>
        <v>181910262</v>
      </c>
      <c r="C28" s="479" t="str">
        <f>Biodata!C30</f>
        <v>PUTRI ANGGRAENI</v>
      </c>
      <c r="D28" s="474">
        <v>57</v>
      </c>
      <c r="E28" s="474" t="s">
        <v>429</v>
      </c>
      <c r="F28" s="474">
        <v>70</v>
      </c>
      <c r="G28" s="474" t="s">
        <v>18</v>
      </c>
      <c r="H28" s="474" t="s">
        <v>18</v>
      </c>
      <c r="I28" s="482" t="str">
        <f t="shared" si="1"/>
        <v>Selalu bersyukur dan selalu berdoa sebelum melakukan kegiatan, memiliki toleran pada agama yang berbeda, ketaatan beribadah perlu ditingkatkan.</v>
      </c>
      <c r="J28" s="474" t="s">
        <v>18</v>
      </c>
      <c r="K28" s="482" t="str">
        <f t="shared" si="2"/>
        <v>Memiliki sikap santun, disiplin, dan tanggung jawab yang baik, sikap kepedulian perlu ditingkatkan.</v>
      </c>
    </row>
    <row r="29" spans="1:11">
      <c r="A29" s="474">
        <f>Biodata!A31</f>
        <v>23</v>
      </c>
      <c r="B29" s="478" t="str">
        <f>Biodata!B31</f>
        <v>181910266</v>
      </c>
      <c r="C29" s="479" t="str">
        <f>Biodata!C31</f>
        <v>PUTRI WULANDARI</v>
      </c>
      <c r="D29" s="474">
        <v>62</v>
      </c>
      <c r="E29" s="474" t="s">
        <v>19</v>
      </c>
      <c r="F29" s="474">
        <v>70</v>
      </c>
      <c r="G29" s="474" t="s">
        <v>18</v>
      </c>
      <c r="H29" s="474" t="s">
        <v>18</v>
      </c>
      <c r="I29" s="482" t="str">
        <f t="shared" si="1"/>
        <v>Selalu bersyukur dan selalu berdoa sebelum melakukan kegiatan, memiliki toleran pada agama yang berbeda, ketaatan beribadah perlu ditingkatkan.</v>
      </c>
      <c r="J29" s="474" t="s">
        <v>18</v>
      </c>
      <c r="K29" s="482" t="str">
        <f t="shared" si="2"/>
        <v>Memiliki sikap santun, disiplin, dan tanggung jawab yang baik, sikap kepedulian perlu ditingkatkan.</v>
      </c>
    </row>
    <row r="30" spans="1:11">
      <c r="A30" s="474">
        <f>Biodata!A32</f>
        <v>24</v>
      </c>
      <c r="B30" s="478" t="str">
        <f>Biodata!B32</f>
        <v>181910272</v>
      </c>
      <c r="C30" s="479" t="str">
        <f>Biodata!C32</f>
        <v>RAFLY GYMNASTIAR</v>
      </c>
      <c r="D30" s="474">
        <v>50</v>
      </c>
      <c r="E30" s="474" t="s">
        <v>429</v>
      </c>
      <c r="F30" s="474">
        <v>70</v>
      </c>
      <c r="G30" s="474" t="s">
        <v>18</v>
      </c>
      <c r="H30" s="474" t="s">
        <v>18</v>
      </c>
      <c r="I30" s="482" t="str">
        <f t="shared" si="1"/>
        <v>Selalu bersyukur dan selalu berdoa sebelum melakukan kegiatan, memiliki toleran pada agama yang berbeda, ketaatan beribadah perlu ditingkatkan.</v>
      </c>
      <c r="J30" s="474" t="s">
        <v>18</v>
      </c>
      <c r="K30" s="482" t="str">
        <f t="shared" si="2"/>
        <v>Memiliki sikap santun, disiplin, dan tanggung jawab yang baik, sikap kepedulian perlu ditingkatkan.</v>
      </c>
    </row>
    <row r="31" spans="1:11">
      <c r="A31" s="474">
        <f>Biodata!A33</f>
        <v>25</v>
      </c>
      <c r="B31" s="478" t="str">
        <f>Biodata!B33</f>
        <v>181910280</v>
      </c>
      <c r="C31" s="479" t="str">
        <f>Biodata!C33</f>
        <v>REFIANA</v>
      </c>
      <c r="D31" s="474">
        <v>60</v>
      </c>
      <c r="E31" s="474" t="s">
        <v>19</v>
      </c>
      <c r="F31" s="474">
        <v>75</v>
      </c>
      <c r="G31" s="474" t="s">
        <v>6</v>
      </c>
      <c r="H31" s="474" t="s">
        <v>18</v>
      </c>
      <c r="I31" s="482" t="str">
        <f t="shared" si="1"/>
        <v>Selalu bersyukur dan selalu berdoa sebelum melakukan kegiatan, memiliki toleran pada agama yang berbeda, ketaatan beribadah perlu ditingkatkan.</v>
      </c>
      <c r="J31" s="474" t="s">
        <v>18</v>
      </c>
      <c r="K31" s="482" t="str">
        <f t="shared" si="2"/>
        <v>Memiliki sikap santun, disiplin, dan tanggung jawab yang baik, sikap kepedulian perlu ditingkatkan.</v>
      </c>
    </row>
    <row r="32" spans="1:11">
      <c r="A32" s="474">
        <f>Biodata!A34</f>
        <v>26</v>
      </c>
      <c r="B32" s="478" t="str">
        <f>Biodata!B34</f>
        <v>181910285</v>
      </c>
      <c r="C32" s="479" t="str">
        <f>Biodata!C34</f>
        <v>RENALDI PRIYATAMA</v>
      </c>
      <c r="D32" s="474">
        <v>55</v>
      </c>
      <c r="E32" s="474" t="s">
        <v>429</v>
      </c>
      <c r="F32" s="474">
        <v>70</v>
      </c>
      <c r="G32" s="474" t="s">
        <v>18</v>
      </c>
      <c r="H32" s="474" t="s">
        <v>18</v>
      </c>
      <c r="I32" s="482" t="str">
        <f t="shared" si="1"/>
        <v>Selalu bersyukur dan selalu berdoa sebelum melakukan kegiatan, memiliki toleran pada agama yang berbeda, ketaatan beribadah perlu ditingkatkan.</v>
      </c>
      <c r="J32" s="474" t="s">
        <v>18</v>
      </c>
      <c r="K32" s="482" t="str">
        <f t="shared" si="2"/>
        <v>Memiliki sikap santun, disiplin, dan tanggung jawab yang baik, sikap kepedulian perlu ditingkatkan.</v>
      </c>
    </row>
    <row r="33" spans="1:11">
      <c r="A33" s="474">
        <f>Biodata!A35</f>
        <v>27</v>
      </c>
      <c r="B33" s="478" t="str">
        <f>Biodata!B35</f>
        <v>181910286</v>
      </c>
      <c r="C33" s="479" t="str">
        <f>Biodata!C35</f>
        <v>RENATA</v>
      </c>
      <c r="D33" s="474">
        <v>62</v>
      </c>
      <c r="E33" s="474" t="s">
        <v>19</v>
      </c>
      <c r="F33" s="474">
        <v>80</v>
      </c>
      <c r="G33" s="474" t="s">
        <v>6</v>
      </c>
      <c r="H33" s="474" t="s">
        <v>18</v>
      </c>
      <c r="I33" s="482" t="str">
        <f t="shared" si="1"/>
        <v>Selalu bersyukur dan selalu berdoa sebelum melakukan kegiatan, memiliki toleran pada agama yang berbeda, ketaatan beribadah perlu ditingkatkan.</v>
      </c>
      <c r="J33" s="474" t="s">
        <v>18</v>
      </c>
      <c r="K33" s="482" t="str">
        <f t="shared" si="2"/>
        <v>Memiliki sikap santun, disiplin, dan tanggung jawab yang baik, sikap kepedulian perlu ditingkatkan.</v>
      </c>
    </row>
    <row r="34" spans="1:11">
      <c r="A34" s="474">
        <f>Biodata!A36</f>
        <v>28</v>
      </c>
      <c r="B34" s="478" t="str">
        <f>Biodata!B36</f>
        <v>181910293</v>
      </c>
      <c r="C34" s="479" t="str">
        <f>Biodata!C36</f>
        <v xml:space="preserve">REZA ERNANDA </v>
      </c>
      <c r="D34" s="474">
        <v>55</v>
      </c>
      <c r="E34" s="474" t="s">
        <v>19</v>
      </c>
      <c r="F34" s="474">
        <v>80</v>
      </c>
      <c r="G34" s="474" t="s">
        <v>6</v>
      </c>
      <c r="H34" s="474" t="s">
        <v>18</v>
      </c>
      <c r="I34" s="482" t="str">
        <f t="shared" si="1"/>
        <v>Selalu bersyukur dan selalu berdoa sebelum melakukan kegiatan, memiliki toleran pada agama yang berbeda, ketaatan beribadah perlu ditingkatkan.</v>
      </c>
      <c r="J34" s="474" t="s">
        <v>18</v>
      </c>
      <c r="K34" s="482" t="str">
        <f t="shared" si="2"/>
        <v>Memiliki sikap santun, disiplin, dan tanggung jawab yang baik, sikap kepedulian perlu ditingkatkan.</v>
      </c>
    </row>
    <row r="35" spans="1:11">
      <c r="A35" s="474">
        <f>Biodata!A37</f>
        <v>29</v>
      </c>
      <c r="B35" s="478" t="str">
        <f>Biodata!B37</f>
        <v>181910300</v>
      </c>
      <c r="C35" s="479" t="str">
        <f>Biodata!C37</f>
        <v>RIFAN MUHAMAD RIZKI</v>
      </c>
      <c r="D35" s="474">
        <f t="shared" ref="D35:D46" si="3">IFERROR(VLOOKUP(B35&amp;"A",leggerx1,3,0),"")</f>
        <v>0</v>
      </c>
      <c r="E35" s="474" t="str">
        <f t="shared" ref="E35:E46" si="4">IFERROR(VLOOKUP(B35&amp;"C",leggerx1,3,0),"")</f>
        <v/>
      </c>
      <c r="F35" s="474">
        <v>70</v>
      </c>
      <c r="G35" s="474" t="s">
        <v>18</v>
      </c>
      <c r="H35" s="474" t="s">
        <v>18</v>
      </c>
      <c r="I35" s="482" t="str">
        <f t="shared" si="1"/>
        <v>Selalu bersyukur dan selalu berdoa sebelum melakukan kegiatan, memiliki toleran pada agama yang berbeda, ketaatan beribadah perlu ditingkatkan.</v>
      </c>
      <c r="J35" s="474" t="s">
        <v>18</v>
      </c>
      <c r="K35" s="482" t="str">
        <f t="shared" si="2"/>
        <v>Memiliki sikap santun, disiplin, dan tanggung jawab yang baik, sikap kepedulian perlu ditingkatkan.</v>
      </c>
    </row>
    <row r="36" spans="1:11">
      <c r="A36" s="474">
        <f>Biodata!A38</f>
        <v>30</v>
      </c>
      <c r="B36" s="478" t="str">
        <f>Biodata!B38</f>
        <v>181910318</v>
      </c>
      <c r="C36" s="479" t="str">
        <f>Biodata!C38</f>
        <v>RISMA SURYANI</v>
      </c>
      <c r="D36" s="474">
        <v>72</v>
      </c>
      <c r="E36" s="474" t="s">
        <v>18</v>
      </c>
      <c r="F36" s="474">
        <v>80</v>
      </c>
      <c r="G36" s="474" t="s">
        <v>6</v>
      </c>
      <c r="H36" s="474" t="s">
        <v>18</v>
      </c>
      <c r="I36" s="482" t="str">
        <f t="shared" si="1"/>
        <v>Selalu bersyukur dan selalu berdoa sebelum melakukan kegiatan, memiliki toleran pada agama yang berbeda, ketaatan beribadah perlu ditingkatkan.</v>
      </c>
      <c r="J36" s="474" t="s">
        <v>18</v>
      </c>
      <c r="K36" s="482" t="str">
        <f t="shared" si="2"/>
        <v>Memiliki sikap santun, disiplin, dan tanggung jawab yang baik, sikap kepedulian perlu ditingkatkan.</v>
      </c>
    </row>
    <row r="37" spans="1:11">
      <c r="A37" s="474">
        <f>Biodata!A39</f>
        <v>31</v>
      </c>
      <c r="B37" s="478" t="str">
        <f>Biodata!B39</f>
        <v>181910320</v>
      </c>
      <c r="C37" s="479" t="str">
        <f>Biodata!C39</f>
        <v>RISNA TIRANI</v>
      </c>
      <c r="D37" s="474">
        <v>70</v>
      </c>
      <c r="E37" s="474" t="s">
        <v>18</v>
      </c>
      <c r="F37" s="474">
        <v>80</v>
      </c>
      <c r="G37" s="474" t="s">
        <v>6</v>
      </c>
      <c r="H37" s="474" t="s">
        <v>18</v>
      </c>
      <c r="I37" s="482" t="str">
        <f t="shared" si="1"/>
        <v>Selalu bersyukur dan selalu berdoa sebelum melakukan kegiatan, memiliki toleran pada agama yang berbeda, ketaatan beribadah perlu ditingkatkan.</v>
      </c>
      <c r="J37" s="474" t="s">
        <v>18</v>
      </c>
      <c r="K37" s="482" t="str">
        <f t="shared" si="2"/>
        <v>Memiliki sikap santun, disiplin, dan tanggung jawab yang baik, sikap kepedulian perlu ditingkatkan.</v>
      </c>
    </row>
    <row r="38" spans="1:11">
      <c r="A38" s="474">
        <f>Biodata!A40</f>
        <v>32</v>
      </c>
      <c r="B38" s="478" t="str">
        <f>Biodata!B40</f>
        <v>181910331</v>
      </c>
      <c r="C38" s="479" t="str">
        <f>Biodata!C40</f>
        <v>RULLY PRATAMA S.</v>
      </c>
      <c r="D38" s="474">
        <v>65</v>
      </c>
      <c r="E38" s="474" t="s">
        <v>19</v>
      </c>
      <c r="F38" s="474">
        <v>70</v>
      </c>
      <c r="G38" s="474" t="s">
        <v>18</v>
      </c>
      <c r="H38" s="474" t="s">
        <v>18</v>
      </c>
      <c r="I38" s="482" t="str">
        <f t="shared" si="1"/>
        <v>Selalu bersyukur dan selalu berdoa sebelum melakukan kegiatan, memiliki toleran pada agama yang berbeda, ketaatan beribadah perlu ditingkatkan.</v>
      </c>
      <c r="J38" s="474" t="s">
        <v>18</v>
      </c>
      <c r="K38" s="482" t="str">
        <f t="shared" si="2"/>
        <v>Memiliki sikap santun, disiplin, dan tanggung jawab yang baik, sikap kepedulian perlu ditingkatkan.</v>
      </c>
    </row>
    <row r="39" spans="1:11">
      <c r="A39" s="474">
        <f>Biodata!A41</f>
        <v>33</v>
      </c>
      <c r="B39" s="478" t="str">
        <f>Biodata!B41</f>
        <v>181910335</v>
      </c>
      <c r="C39" s="479" t="str">
        <f>Biodata!C41</f>
        <v>SALSA ASYKIYA</v>
      </c>
      <c r="D39" s="474">
        <v>80</v>
      </c>
      <c r="E39" s="474" t="s">
        <v>6</v>
      </c>
      <c r="F39" s="474">
        <v>80</v>
      </c>
      <c r="G39" s="474" t="s">
        <v>6</v>
      </c>
      <c r="H39" s="474" t="s">
        <v>7</v>
      </c>
      <c r="I39" s="482" t="str">
        <f t="shared" si="1"/>
        <v>-</v>
      </c>
      <c r="J39" s="474" t="s">
        <v>7</v>
      </c>
      <c r="K39" s="482" t="str">
        <f t="shared" si="2"/>
        <v>-</v>
      </c>
    </row>
    <row r="40" spans="1:11">
      <c r="A40" s="474">
        <f>Biodata!A42</f>
        <v>34</v>
      </c>
      <c r="B40" s="478" t="str">
        <f>Biodata!B42</f>
        <v>181910353</v>
      </c>
      <c r="C40" s="479" t="str">
        <f>Biodata!C42</f>
        <v>SILFI HAMIDAH</v>
      </c>
      <c r="D40" s="474">
        <v>65</v>
      </c>
      <c r="E40" s="474" t="s">
        <v>19</v>
      </c>
      <c r="F40" s="474">
        <v>80</v>
      </c>
      <c r="G40" s="474" t="s">
        <v>6</v>
      </c>
      <c r="H40" s="474" t="s">
        <v>6</v>
      </c>
      <c r="I40" s="482" t="str">
        <f t="shared" si="1"/>
        <v>Selalu bersyukur dan selalu berdoa sebelum melakukan kegiatan, memiliki toleran pada agama yang berbeda, ketaatan beribadah mulai berkembang.</v>
      </c>
      <c r="J40" s="474" t="s">
        <v>6</v>
      </c>
      <c r="K40" s="482" t="str">
        <f t="shared" si="2"/>
        <v>Memiliki sikap santun, disiplin, tanggung jawab yang baik, sikap kepedulian mulai meningkat.</v>
      </c>
    </row>
    <row r="41" spans="1:11">
      <c r="A41" s="474">
        <f>Biodata!A43</f>
        <v>35</v>
      </c>
      <c r="B41" s="478" t="str">
        <f>Biodata!B43</f>
        <v>181910408</v>
      </c>
      <c r="C41" s="479" t="str">
        <f>Biodata!C43</f>
        <v>YESHA RAHAYU</v>
      </c>
      <c r="D41" s="474">
        <v>55</v>
      </c>
      <c r="E41" s="474" t="s">
        <v>429</v>
      </c>
      <c r="F41" s="474">
        <v>80</v>
      </c>
      <c r="G41" s="474" t="s">
        <v>6</v>
      </c>
      <c r="H41" s="474" t="s">
        <v>18</v>
      </c>
      <c r="I41" s="482" t="str">
        <f t="shared" si="1"/>
        <v>Selalu bersyukur dan selalu berdoa sebelum melakukan kegiatan, memiliki toleran pada agama yang berbeda, ketaatan beribadah perlu ditingkatkan.</v>
      </c>
      <c r="J41" s="474" t="s">
        <v>18</v>
      </c>
      <c r="K41" s="482" t="str">
        <f t="shared" si="2"/>
        <v>Memiliki sikap santun, disiplin, dan tanggung jawab yang baik, sikap kepedulian perlu ditingkatkan.</v>
      </c>
    </row>
    <row r="42" spans="1:11">
      <c r="A42" s="474">
        <f>Biodata!A44</f>
        <v>36</v>
      </c>
      <c r="B42" s="478" t="str">
        <f>Biodata!B44</f>
        <v>181910433</v>
      </c>
      <c r="C42" s="479" t="str">
        <f>Biodata!C44</f>
        <v>MUHAMAD RIZAL</v>
      </c>
      <c r="D42" s="474">
        <v>65</v>
      </c>
      <c r="E42" s="474" t="s">
        <v>19</v>
      </c>
      <c r="F42" s="474">
        <v>80</v>
      </c>
      <c r="G42" s="474" t="s">
        <v>6</v>
      </c>
      <c r="H42" s="474" t="s">
        <v>18</v>
      </c>
      <c r="I42" s="482" t="str">
        <f t="shared" si="1"/>
        <v>Selalu bersyukur dan selalu berdoa sebelum melakukan kegiatan, memiliki toleran pada agama yang berbeda, ketaatan beribadah perlu ditingkatkan.</v>
      </c>
      <c r="J42" s="474" t="s">
        <v>18</v>
      </c>
      <c r="K42" s="482" t="str">
        <f t="shared" si="2"/>
        <v>Memiliki sikap santun, disiplin, dan tanggung jawab yang baik, sikap kepedulian perlu ditingkatkan.</v>
      </c>
    </row>
    <row r="43" spans="1:11">
      <c r="A43" s="474">
        <f>Biodata!A45</f>
        <v>37</v>
      </c>
      <c r="B43" s="478" t="str">
        <f>Biodata!B45</f>
        <v>037</v>
      </c>
      <c r="C43" s="479" t="str">
        <f>Biodata!C45</f>
        <v>A37</v>
      </c>
      <c r="D43" s="474">
        <f t="shared" si="3"/>
        <v>0</v>
      </c>
      <c r="E43" s="474" t="str">
        <f t="shared" si="4"/>
        <v/>
      </c>
      <c r="F43" s="474">
        <f t="shared" ref="F43:F46" si="5">IFERROR(VLOOKUP(B43&amp;"B",leggerx1,3,0),"")</f>
        <v>0</v>
      </c>
      <c r="G43" s="474" t="str">
        <f t="shared" ref="G43:G46" si="6">IFERROR(VLOOKUP(B43&amp;"D",leggerx1,3,0),"")</f>
        <v/>
      </c>
      <c r="H43" s="474" t="str">
        <f t="shared" ref="H43:H46" si="7">IFERROR(VLOOKUP(B43&amp;"A",leggerx1,20,0),"")</f>
        <v>-</v>
      </c>
      <c r="I43" s="482" t="str">
        <f t="shared" si="1"/>
        <v>-</v>
      </c>
      <c r="J43" s="474" t="str">
        <f t="shared" si="0"/>
        <v>-</v>
      </c>
      <c r="K43" s="482" t="str">
        <f t="shared" si="2"/>
        <v>-</v>
      </c>
    </row>
    <row r="44" spans="1:11">
      <c r="A44" s="474">
        <f>Biodata!A46</f>
        <v>38</v>
      </c>
      <c r="B44" s="478" t="str">
        <f>Biodata!B46</f>
        <v>038</v>
      </c>
      <c r="C44" s="479" t="str">
        <f>Biodata!C46</f>
        <v>A38</v>
      </c>
      <c r="D44" s="474">
        <f t="shared" si="3"/>
        <v>0</v>
      </c>
      <c r="E44" s="474" t="str">
        <f t="shared" si="4"/>
        <v/>
      </c>
      <c r="F44" s="474">
        <f t="shared" si="5"/>
        <v>0</v>
      </c>
      <c r="G44" s="474" t="str">
        <f t="shared" si="6"/>
        <v/>
      </c>
      <c r="H44" s="474" t="str">
        <f t="shared" si="7"/>
        <v>-</v>
      </c>
      <c r="I44" s="482" t="str">
        <f t="shared" si="1"/>
        <v>-</v>
      </c>
      <c r="J44" s="474" t="str">
        <f t="shared" si="0"/>
        <v>-</v>
      </c>
      <c r="K44" s="482" t="str">
        <f t="shared" si="2"/>
        <v>-</v>
      </c>
    </row>
    <row r="45" spans="1:11">
      <c r="A45" s="474">
        <f>Biodata!A47</f>
        <v>39</v>
      </c>
      <c r="B45" s="478" t="str">
        <f>Biodata!B47</f>
        <v>039</v>
      </c>
      <c r="C45" s="479" t="str">
        <f>Biodata!C47</f>
        <v>A39</v>
      </c>
      <c r="D45" s="474">
        <f t="shared" si="3"/>
        <v>0</v>
      </c>
      <c r="E45" s="474" t="str">
        <f t="shared" si="4"/>
        <v/>
      </c>
      <c r="F45" s="474">
        <f t="shared" si="5"/>
        <v>0</v>
      </c>
      <c r="G45" s="474" t="str">
        <f t="shared" si="6"/>
        <v/>
      </c>
      <c r="H45" s="474" t="str">
        <f t="shared" si="7"/>
        <v>-</v>
      </c>
      <c r="I45" s="482" t="str">
        <f t="shared" si="1"/>
        <v>-</v>
      </c>
      <c r="J45" s="474" t="str">
        <f t="shared" si="0"/>
        <v>-</v>
      </c>
      <c r="K45" s="482" t="str">
        <f t="shared" si="2"/>
        <v>-</v>
      </c>
    </row>
    <row r="46" spans="1:11">
      <c r="A46" s="474">
        <f>Biodata!A48</f>
        <v>40</v>
      </c>
      <c r="B46" s="478" t="str">
        <f>Biodata!B48</f>
        <v>040</v>
      </c>
      <c r="C46" s="479" t="str">
        <f>Biodata!C48</f>
        <v>A40</v>
      </c>
      <c r="D46" s="474">
        <f t="shared" si="3"/>
        <v>0</v>
      </c>
      <c r="E46" s="474" t="str">
        <f t="shared" si="4"/>
        <v/>
      </c>
      <c r="F46" s="474">
        <f t="shared" si="5"/>
        <v>0</v>
      </c>
      <c r="G46" s="474" t="str">
        <f t="shared" si="6"/>
        <v/>
      </c>
      <c r="H46" s="474" t="str">
        <f t="shared" si="7"/>
        <v>B</v>
      </c>
      <c r="I46" s="482" t="str">
        <f t="shared" si="1"/>
        <v>Selalu bersyukur dan selalu berdoa sebelum melakukan kegiatan, memiliki toleran pada agama yang berbeda, ketaatan beribadah mulai berkembang.</v>
      </c>
      <c r="J46" s="474" t="str">
        <f t="shared" si="0"/>
        <v>SB</v>
      </c>
      <c r="K46" s="482" t="str">
        <f t="shared" si="2"/>
        <v>Memiliki sikap santun, disiplin, dan tanggung jawab cukup baik, namun sikap kepedulian perlu ditingkatkan.</v>
      </c>
    </row>
    <row r="47" spans="1:11">
      <c r="C47" s="483"/>
    </row>
    <row r="48" spans="1:11">
      <c r="C48" s="483"/>
    </row>
    <row r="49" spans="3:3" s="475" customFormat="1" ht="11.25">
      <c r="C49" s="483"/>
    </row>
    <row r="50" spans="3:3" s="475" customFormat="1" ht="11.25">
      <c r="C50" s="48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0"/>
  <sheetViews>
    <sheetView workbookViewId="0">
      <selection activeCell="D42" sqref="D42"/>
    </sheetView>
  </sheetViews>
  <sheetFormatPr defaultColWidth="9" defaultRowHeight="12.75"/>
  <cols>
    <col min="1" max="1" width="3.7109375" style="474" customWidth="1"/>
    <col min="2" max="2" width="7.140625" style="474" customWidth="1"/>
    <col min="3" max="3" width="21.7109375" style="475" customWidth="1"/>
    <col min="4" max="4" width="11.85546875" style="474" customWidth="1"/>
    <col min="5" max="5" width="8" style="474" customWidth="1"/>
    <col min="6" max="6" width="12" style="474" customWidth="1"/>
    <col min="7" max="7" width="8" style="474" customWidth="1"/>
    <col min="8" max="8" width="5.28515625" style="474" customWidth="1"/>
    <col min="9" max="9" width="20.7109375" style="474" customWidth="1"/>
    <col min="10" max="10" width="6.42578125" style="474" customWidth="1"/>
    <col min="11" max="11" width="20.7109375" style="474" customWidth="1"/>
    <col min="12" max="17" width="9.140625" style="475" customWidth="1"/>
    <col min="18" max="18" width="26.140625" style="475" customWidth="1"/>
    <col min="19" max="256" width="9.140625" style="475" customWidth="1"/>
  </cols>
  <sheetData>
    <row r="1" spans="1:19">
      <c r="C1" s="476" t="s">
        <v>329</v>
      </c>
      <c r="D1" s="477" t="str">
        <f>Biodata!C4</f>
        <v xml:space="preserve"> X / IPS_5</v>
      </c>
    </row>
    <row r="2" spans="1:19">
      <c r="C2" s="476" t="s">
        <v>330</v>
      </c>
      <c r="D2" s="477" t="str">
        <f>Biodata!C5</f>
        <v>1 / Ganjil</v>
      </c>
    </row>
    <row r="3" spans="1:19">
      <c r="D3" s="477"/>
    </row>
    <row r="4" spans="1:19">
      <c r="C4" s="476" t="s">
        <v>331</v>
      </c>
      <c r="D4" s="477" t="str">
        <f>LEGER!G6</f>
        <v>Pendidikan Pancasila dan Kewarganegaraan</v>
      </c>
    </row>
    <row r="5" spans="1:19">
      <c r="C5" s="476" t="s">
        <v>332</v>
      </c>
      <c r="D5" s="477">
        <f>RAPORT!C84</f>
        <v>70</v>
      </c>
    </row>
    <row r="6" spans="1:19">
      <c r="A6" s="474" t="s">
        <v>325</v>
      </c>
      <c r="B6" s="474" t="s">
        <v>10</v>
      </c>
      <c r="C6" s="475" t="s">
        <v>324</v>
      </c>
      <c r="D6" s="474" t="s">
        <v>75</v>
      </c>
      <c r="E6" s="474" t="s">
        <v>71</v>
      </c>
      <c r="F6" s="474" t="s">
        <v>147</v>
      </c>
      <c r="G6" s="474" t="s">
        <v>71</v>
      </c>
      <c r="H6" s="474" t="s">
        <v>326</v>
      </c>
      <c r="I6" s="474" t="s">
        <v>327</v>
      </c>
      <c r="J6" s="474" t="s">
        <v>328</v>
      </c>
      <c r="K6" s="474" t="s">
        <v>327</v>
      </c>
      <c r="Q6" s="219" t="s">
        <v>71</v>
      </c>
      <c r="R6" s="219" t="s">
        <v>333</v>
      </c>
      <c r="S6" s="219" t="s">
        <v>334</v>
      </c>
    </row>
    <row r="7" spans="1:19">
      <c r="A7" s="474">
        <f>Biodata!A9</f>
        <v>1</v>
      </c>
      <c r="B7" s="478" t="str">
        <f>Biodata!B9</f>
        <v>181910008</v>
      </c>
      <c r="C7" s="479" t="str">
        <f>Biodata!C9</f>
        <v>ADITA TRI KURNIA PUTRI</v>
      </c>
      <c r="D7" s="474">
        <v>78</v>
      </c>
      <c r="E7" s="474" t="s">
        <v>6</v>
      </c>
      <c r="F7" s="474">
        <v>82</v>
      </c>
      <c r="G7" s="474" t="s">
        <v>6</v>
      </c>
      <c r="H7" s="474" t="s">
        <v>6</v>
      </c>
      <c r="I7" s="479" t="str">
        <f>IFERROR(VLOOKUP(H7,$Q$7:$S$10,2,TRUE),"-")</f>
        <v>Selalu bersyukur dan selalu berdoa sebelum melakukan kegiatan, memiliki toleran pada agama yang berbeda, ketaatan beribadah mulai berkembang.</v>
      </c>
      <c r="J7" s="474" t="str">
        <f t="shared" ref="J7:J46" si="0">IFERROR(VLOOKUP(B7&amp;"A",leggerx1,21,0),"")</f>
        <v>B</v>
      </c>
      <c r="K7" s="479" t="str">
        <f>IFERROR(VLOOKUP(J7,$Q$7:$S$10,3,TRUE),"-")</f>
        <v>Memiliki sikap santun, disiplin, tanggung jawab yang baik, sikap kepedulian mulai meningkat.</v>
      </c>
      <c r="Q7" s="219" t="s">
        <v>288</v>
      </c>
      <c r="R7" s="480" t="s">
        <v>169</v>
      </c>
      <c r="S7" s="481" t="s">
        <v>172</v>
      </c>
    </row>
    <row r="8" spans="1:19">
      <c r="A8" s="474">
        <f>Biodata!A10</f>
        <v>2</v>
      </c>
      <c r="B8" s="478" t="str">
        <f>Biodata!B10</f>
        <v>181910011</v>
      </c>
      <c r="C8" s="479" t="str">
        <f>Biodata!C10</f>
        <v xml:space="preserve">ADNES KOMALA DEWI </v>
      </c>
      <c r="D8" s="474">
        <v>70</v>
      </c>
      <c r="E8" s="474" t="s">
        <v>18</v>
      </c>
      <c r="F8" s="474">
        <v>70</v>
      </c>
      <c r="G8" s="474" t="s">
        <v>18</v>
      </c>
      <c r="H8" s="474" t="s">
        <v>6</v>
      </c>
      <c r="I8" s="482" t="str">
        <f t="shared" ref="I8:I46" si="1">IFERROR(VLOOKUP(H8,$Q$7:$S$10,2,TRUE),"-")</f>
        <v>Selalu bersyukur dan selalu berdoa sebelum melakukan kegiatan, memiliki toleran pada agama yang berbeda, ketaatan beribadah mulai berkembang.</v>
      </c>
      <c r="J8" s="474" t="s">
        <v>6</v>
      </c>
      <c r="K8" s="482" t="str">
        <f t="shared" ref="K8:K46" si="2">IFERROR(VLOOKUP(J8,$Q$7:$S$10,3,TRUE),"-")</f>
        <v>Memiliki sikap santun, disiplin, tanggung jawab yang baik, sikap kepedulian mulai meningkat.</v>
      </c>
      <c r="Q8" s="219" t="s">
        <v>6</v>
      </c>
      <c r="R8" s="480" t="s">
        <v>170</v>
      </c>
      <c r="S8" s="481" t="s">
        <v>173</v>
      </c>
    </row>
    <row r="9" spans="1:19">
      <c r="A9" s="474">
        <f>Biodata!A11</f>
        <v>3</v>
      </c>
      <c r="B9" s="478" t="str">
        <f>Biodata!B11</f>
        <v>181910014</v>
      </c>
      <c r="C9" s="479" t="str">
        <f>Biodata!C11</f>
        <v>AGUNG BUDI PRASTAWA</v>
      </c>
      <c r="D9" s="474">
        <v>18</v>
      </c>
      <c r="E9" s="474" t="s">
        <v>429</v>
      </c>
      <c r="F9" s="474">
        <v>20</v>
      </c>
      <c r="G9" s="474" t="s">
        <v>19</v>
      </c>
      <c r="H9" s="474" t="s">
        <v>6</v>
      </c>
      <c r="I9" s="482" t="str">
        <f t="shared" si="1"/>
        <v>Selalu bersyukur dan selalu berdoa sebelum melakukan kegiatan, memiliki toleran pada agama yang berbeda, ketaatan beribadah mulai berkembang.</v>
      </c>
      <c r="J9" s="474" t="s">
        <v>18</v>
      </c>
      <c r="K9" s="482" t="str">
        <f t="shared" si="2"/>
        <v>Memiliki sikap santun, disiplin, dan tanggung jawab yang baik, sikap kepedulian perlu ditingkatkan.</v>
      </c>
      <c r="Q9" s="219" t="s">
        <v>18</v>
      </c>
      <c r="R9" s="480" t="s">
        <v>171</v>
      </c>
      <c r="S9" s="481" t="s">
        <v>174</v>
      </c>
    </row>
    <row r="10" spans="1:19">
      <c r="A10" s="474">
        <f>Biodata!A12</f>
        <v>4</v>
      </c>
      <c r="B10" s="478" t="str">
        <f>Biodata!B12</f>
        <v>181910021</v>
      </c>
      <c r="C10" s="479" t="str">
        <f>Biodata!C12</f>
        <v>AISYAH</v>
      </c>
      <c r="D10" s="474">
        <v>74</v>
      </c>
      <c r="E10" s="474" t="s">
        <v>18</v>
      </c>
      <c r="F10" s="474">
        <v>80</v>
      </c>
      <c r="G10" s="474" t="s">
        <v>6</v>
      </c>
      <c r="H10" s="474" t="s">
        <v>6</v>
      </c>
      <c r="I10" s="482" t="str">
        <f t="shared" si="1"/>
        <v>Selalu bersyukur dan selalu berdoa sebelum melakukan kegiatan, memiliki toleran pada agama yang berbeda, ketaatan beribadah mulai berkembang.</v>
      </c>
      <c r="J10" s="474" t="s">
        <v>6</v>
      </c>
      <c r="K10" s="482" t="str">
        <f t="shared" si="2"/>
        <v>Memiliki sikap santun, disiplin, tanggung jawab yang baik, sikap kepedulian mulai meningkat.</v>
      </c>
      <c r="Q10" s="219" t="s">
        <v>297</v>
      </c>
      <c r="R10" s="480" t="s">
        <v>181</v>
      </c>
      <c r="S10" s="481" t="s">
        <v>182</v>
      </c>
    </row>
    <row r="11" spans="1:19">
      <c r="A11" s="474">
        <f>Biodata!A13</f>
        <v>5</v>
      </c>
      <c r="B11" s="478" t="str">
        <f>Biodata!B13</f>
        <v>181910045</v>
      </c>
      <c r="C11" s="479" t="str">
        <f>Biodata!C13</f>
        <v>ARYA DYTA WIGUNA</v>
      </c>
      <c r="D11" s="474">
        <v>78</v>
      </c>
      <c r="E11" s="474" t="s">
        <v>6</v>
      </c>
      <c r="F11" s="474">
        <v>78</v>
      </c>
      <c r="G11" s="474" t="s">
        <v>6</v>
      </c>
      <c r="H11" s="474" t="s">
        <v>6</v>
      </c>
      <c r="I11" s="482" t="str">
        <f t="shared" si="1"/>
        <v>Selalu bersyukur dan selalu berdoa sebelum melakukan kegiatan, memiliki toleran pada agama yang berbeda, ketaatan beribadah mulai berkembang.</v>
      </c>
      <c r="J11" s="474" t="s">
        <v>6</v>
      </c>
      <c r="K11" s="482" t="str">
        <f t="shared" si="2"/>
        <v>Memiliki sikap santun, disiplin, tanggung jawab yang baik, sikap kepedulian mulai meningkat.</v>
      </c>
    </row>
    <row r="12" spans="1:19">
      <c r="A12" s="474">
        <f>Biodata!A14</f>
        <v>6</v>
      </c>
      <c r="B12" s="478" t="str">
        <f>Biodata!B14</f>
        <v>181910054</v>
      </c>
      <c r="C12" s="479" t="str">
        <f>Biodata!C14</f>
        <v>AZRIEL TAMA SANTIAJI</v>
      </c>
      <c r="D12" s="474">
        <v>18</v>
      </c>
      <c r="E12" s="474" t="s">
        <v>429</v>
      </c>
      <c r="F12" s="474">
        <v>20</v>
      </c>
      <c r="G12" s="474" t="s">
        <v>429</v>
      </c>
      <c r="H12" s="474" t="s">
        <v>6</v>
      </c>
      <c r="I12" s="482" t="str">
        <f t="shared" si="1"/>
        <v>Selalu bersyukur dan selalu berdoa sebelum melakukan kegiatan, memiliki toleran pada agama yang berbeda, ketaatan beribadah mulai berkembang.</v>
      </c>
      <c r="J12" s="474" t="s">
        <v>18</v>
      </c>
      <c r="K12" s="482" t="str">
        <f t="shared" si="2"/>
        <v>Memiliki sikap santun, disiplin, dan tanggung jawab yang baik, sikap kepedulian perlu ditingkatkan.</v>
      </c>
    </row>
    <row r="13" spans="1:19">
      <c r="A13" s="474">
        <f>Biodata!A15</f>
        <v>7</v>
      </c>
      <c r="B13" s="478" t="str">
        <f>Biodata!B15</f>
        <v>181910055</v>
      </c>
      <c r="C13" s="479" t="str">
        <f>Biodata!C15</f>
        <v>AZZUHRI HAUDI</v>
      </c>
      <c r="D13" s="474">
        <v>80</v>
      </c>
      <c r="E13" s="474" t="s">
        <v>6</v>
      </c>
      <c r="F13" s="474">
        <v>78</v>
      </c>
      <c r="G13" s="474" t="s">
        <v>6</v>
      </c>
      <c r="H13" s="474" t="s">
        <v>6</v>
      </c>
      <c r="I13" s="482" t="str">
        <f t="shared" si="1"/>
        <v>Selalu bersyukur dan selalu berdoa sebelum melakukan kegiatan, memiliki toleran pada agama yang berbeda, ketaatan beribadah mulai berkembang.</v>
      </c>
      <c r="J13" s="474" t="s">
        <v>6</v>
      </c>
      <c r="K13" s="482" t="str">
        <f t="shared" si="2"/>
        <v>Memiliki sikap santun, disiplin, tanggung jawab yang baik, sikap kepedulian mulai meningkat.</v>
      </c>
    </row>
    <row r="14" spans="1:19">
      <c r="A14" s="474">
        <f>Biodata!A16</f>
        <v>8</v>
      </c>
      <c r="B14" s="478" t="str">
        <f>Biodata!B16</f>
        <v>181910056</v>
      </c>
      <c r="C14" s="479" t="str">
        <f>Biodata!C16</f>
        <v>BAYU BATARA SURYA PUTRA</v>
      </c>
      <c r="D14" s="474">
        <v>60</v>
      </c>
      <c r="E14" s="474" t="s">
        <v>19</v>
      </c>
      <c r="F14" s="474">
        <v>50</v>
      </c>
      <c r="G14" s="474" t="s">
        <v>429</v>
      </c>
      <c r="H14" s="474" t="s">
        <v>6</v>
      </c>
      <c r="I14" s="482" t="str">
        <f t="shared" si="1"/>
        <v>Selalu bersyukur dan selalu berdoa sebelum melakukan kegiatan, memiliki toleran pada agama yang berbeda, ketaatan beribadah mulai berkembang.</v>
      </c>
      <c r="J14" s="474" t="s">
        <v>18</v>
      </c>
      <c r="K14" s="482" t="str">
        <f t="shared" si="2"/>
        <v>Memiliki sikap santun, disiplin, dan tanggung jawab yang baik, sikap kepedulian perlu ditingkatkan.</v>
      </c>
    </row>
    <row r="15" spans="1:19">
      <c r="A15" s="474">
        <f>Biodata!A17</f>
        <v>9</v>
      </c>
      <c r="B15" s="478" t="str">
        <f>Biodata!B17</f>
        <v>181910069</v>
      </c>
      <c r="C15" s="479" t="str">
        <f>Biodata!C17</f>
        <v>DANDY ERVAN PRATAMA</v>
      </c>
      <c r="D15" s="474">
        <v>20</v>
      </c>
      <c r="E15" s="474" t="s">
        <v>18</v>
      </c>
      <c r="F15" s="474">
        <v>20</v>
      </c>
      <c r="G15" s="474" t="s">
        <v>429</v>
      </c>
      <c r="H15" s="474" t="s">
        <v>6</v>
      </c>
      <c r="I15" s="482" t="str">
        <f t="shared" si="1"/>
        <v>Selalu bersyukur dan selalu berdoa sebelum melakukan kegiatan, memiliki toleran pada agama yang berbeda, ketaatan beribadah mulai berkembang.</v>
      </c>
      <c r="J15" s="474" t="s">
        <v>18</v>
      </c>
      <c r="K15" s="482" t="str">
        <f t="shared" si="2"/>
        <v>Memiliki sikap santun, disiplin, dan tanggung jawab yang baik, sikap kepedulian perlu ditingkatkan.</v>
      </c>
    </row>
    <row r="16" spans="1:19">
      <c r="A16" s="474">
        <f>Biodata!A18</f>
        <v>10</v>
      </c>
      <c r="B16" s="478" t="str">
        <f>Biodata!B18</f>
        <v>181910085</v>
      </c>
      <c r="C16" s="479" t="str">
        <f>Biodata!C18</f>
        <v>DENISA ASTI RAHMAWATI</v>
      </c>
      <c r="D16" s="474">
        <v>74</v>
      </c>
      <c r="E16" s="474" t="s">
        <v>6</v>
      </c>
      <c r="F16" s="474">
        <v>70</v>
      </c>
      <c r="G16" s="474" t="s">
        <v>18</v>
      </c>
      <c r="H16" s="474" t="s">
        <v>6</v>
      </c>
      <c r="I16" s="482" t="str">
        <f t="shared" si="1"/>
        <v>Selalu bersyukur dan selalu berdoa sebelum melakukan kegiatan, memiliki toleran pada agama yang berbeda, ketaatan beribadah mulai berkembang.</v>
      </c>
      <c r="J16" s="474" t="s">
        <v>6</v>
      </c>
      <c r="K16" s="482" t="str">
        <f t="shared" si="2"/>
        <v>Memiliki sikap santun, disiplin, tanggung jawab yang baik, sikap kepedulian mulai meningkat.</v>
      </c>
    </row>
    <row r="17" spans="1:11">
      <c r="A17" s="474">
        <f>Biodata!A19</f>
        <v>11</v>
      </c>
      <c r="B17" s="478" t="str">
        <f>Biodata!B19</f>
        <v>181910093</v>
      </c>
      <c r="C17" s="479" t="str">
        <f>Biodata!C19</f>
        <v>DIAN RAMDHAN SAPTIAN</v>
      </c>
      <c r="D17" s="474">
        <v>25</v>
      </c>
      <c r="E17" s="474" t="s">
        <v>429</v>
      </c>
      <c r="F17" s="474">
        <v>20</v>
      </c>
      <c r="G17" s="474" t="s">
        <v>429</v>
      </c>
      <c r="H17" s="474" t="s">
        <v>6</v>
      </c>
      <c r="I17" s="482" t="str">
        <f t="shared" si="1"/>
        <v>Selalu bersyukur dan selalu berdoa sebelum melakukan kegiatan, memiliki toleran pada agama yang berbeda, ketaatan beribadah mulai berkembang.</v>
      </c>
      <c r="J17" s="474" t="s">
        <v>18</v>
      </c>
      <c r="K17" s="482" t="str">
        <f t="shared" si="2"/>
        <v>Memiliki sikap santun, disiplin, dan tanggung jawab yang baik, sikap kepedulian perlu ditingkatkan.</v>
      </c>
    </row>
    <row r="18" spans="1:11">
      <c r="A18" s="474">
        <f>Biodata!A20</f>
        <v>12</v>
      </c>
      <c r="B18" s="478" t="str">
        <f>Biodata!B20</f>
        <v>181910103</v>
      </c>
      <c r="C18" s="479" t="str">
        <f>Biodata!C20</f>
        <v>DIVYA ADHIANI NURDIN</v>
      </c>
      <c r="D18" s="474">
        <v>80</v>
      </c>
      <c r="E18" s="474" t="s">
        <v>6</v>
      </c>
      <c r="F18" s="474">
        <v>80</v>
      </c>
      <c r="G18" s="474" t="s">
        <v>6</v>
      </c>
      <c r="H18" s="474" t="s">
        <v>6</v>
      </c>
      <c r="I18" s="482" t="str">
        <f t="shared" si="1"/>
        <v>Selalu bersyukur dan selalu berdoa sebelum melakukan kegiatan, memiliki toleran pada agama yang berbeda, ketaatan beribadah mulai berkembang.</v>
      </c>
      <c r="J18" s="474" t="s">
        <v>6</v>
      </c>
      <c r="K18" s="482" t="str">
        <f t="shared" si="2"/>
        <v>Memiliki sikap santun, disiplin, tanggung jawab yang baik, sikap kepedulian mulai meningkat.</v>
      </c>
    </row>
    <row r="19" spans="1:11">
      <c r="A19" s="474">
        <f>Biodata!A21</f>
        <v>13</v>
      </c>
      <c r="B19" s="478" t="str">
        <f>Biodata!B21</f>
        <v>181910104</v>
      </c>
      <c r="C19" s="479" t="str">
        <f>Biodata!C21</f>
        <v>DWIKI DERMAWAN</v>
      </c>
      <c r="D19" s="474">
        <v>18</v>
      </c>
      <c r="E19" s="474" t="s">
        <v>429</v>
      </c>
      <c r="F19" s="474">
        <v>20</v>
      </c>
      <c r="G19" s="474" t="s">
        <v>429</v>
      </c>
      <c r="H19" s="474" t="s">
        <v>6</v>
      </c>
      <c r="I19" s="482" t="str">
        <f t="shared" si="1"/>
        <v>Selalu bersyukur dan selalu berdoa sebelum melakukan kegiatan, memiliki toleran pada agama yang berbeda, ketaatan beribadah mulai berkembang.</v>
      </c>
      <c r="J19" s="474" t="s">
        <v>18</v>
      </c>
      <c r="K19" s="482" t="str">
        <f t="shared" si="2"/>
        <v>Memiliki sikap santun, disiplin, dan tanggung jawab yang baik, sikap kepedulian perlu ditingkatkan.</v>
      </c>
    </row>
    <row r="20" spans="1:11">
      <c r="A20" s="474">
        <f>Biodata!A22</f>
        <v>14</v>
      </c>
      <c r="B20" s="478" t="str">
        <f>Biodata!B22</f>
        <v>181910118</v>
      </c>
      <c r="C20" s="479" t="str">
        <f>Biodata!C22</f>
        <v>ENCEP CANDRA</v>
      </c>
      <c r="D20" s="474">
        <v>78</v>
      </c>
      <c r="E20" s="474" t="s">
        <v>429</v>
      </c>
      <c r="F20" s="474">
        <v>78</v>
      </c>
      <c r="G20" s="474" t="s">
        <v>6</v>
      </c>
      <c r="H20" s="474" t="s">
        <v>6</v>
      </c>
      <c r="I20" s="482" t="str">
        <f t="shared" si="1"/>
        <v>Selalu bersyukur dan selalu berdoa sebelum melakukan kegiatan, memiliki toleran pada agama yang berbeda, ketaatan beribadah mulai berkembang.</v>
      </c>
      <c r="J20" s="474" t="s">
        <v>6</v>
      </c>
      <c r="K20" s="482" t="str">
        <f t="shared" si="2"/>
        <v>Memiliki sikap santun, disiplin, tanggung jawab yang baik, sikap kepedulian mulai meningkat.</v>
      </c>
    </row>
    <row r="21" spans="1:11">
      <c r="A21" s="474">
        <f>Biodata!A23</f>
        <v>15</v>
      </c>
      <c r="B21" s="478" t="str">
        <f>Biodata!B23</f>
        <v>181910128</v>
      </c>
      <c r="C21" s="479" t="str">
        <f>Biodata!C23</f>
        <v>FAIZAL EGI</v>
      </c>
      <c r="D21" s="474">
        <v>25</v>
      </c>
      <c r="E21" s="474" t="s">
        <v>429</v>
      </c>
      <c r="F21" s="474">
        <v>20</v>
      </c>
      <c r="G21" s="474" t="s">
        <v>429</v>
      </c>
      <c r="H21" s="474" t="s">
        <v>6</v>
      </c>
      <c r="I21" s="482" t="str">
        <f t="shared" si="1"/>
        <v>Selalu bersyukur dan selalu berdoa sebelum melakukan kegiatan, memiliki toleran pada agama yang berbeda, ketaatan beribadah mulai berkembang.</v>
      </c>
      <c r="J21" s="474" t="s">
        <v>18</v>
      </c>
      <c r="K21" s="482" t="str">
        <f t="shared" si="2"/>
        <v>Memiliki sikap santun, disiplin, dan tanggung jawab yang baik, sikap kepedulian perlu ditingkatkan.</v>
      </c>
    </row>
    <row r="22" spans="1:11">
      <c r="A22" s="474">
        <f>Biodata!A24</f>
        <v>16</v>
      </c>
      <c r="B22" s="478" t="str">
        <f>Biodata!B24</f>
        <v>181910133</v>
      </c>
      <c r="C22" s="479" t="str">
        <f>Biodata!C24</f>
        <v>FAUZI DHALFADLIL AZHANI</v>
      </c>
      <c r="D22" s="474">
        <v>50</v>
      </c>
      <c r="E22" s="474" t="s">
        <v>19</v>
      </c>
      <c r="F22" s="474">
        <v>50</v>
      </c>
      <c r="G22" s="474" t="s">
        <v>19</v>
      </c>
      <c r="H22" s="474" t="s">
        <v>6</v>
      </c>
      <c r="I22" s="482" t="str">
        <f t="shared" si="1"/>
        <v>Selalu bersyukur dan selalu berdoa sebelum melakukan kegiatan, memiliki toleran pada agama yang berbeda, ketaatan beribadah mulai berkembang.</v>
      </c>
      <c r="J22" s="474" t="s">
        <v>18</v>
      </c>
      <c r="K22" s="482" t="str">
        <f t="shared" si="2"/>
        <v>Memiliki sikap santun, disiplin, dan tanggung jawab yang baik, sikap kepedulian perlu ditingkatkan.</v>
      </c>
    </row>
    <row r="23" spans="1:11">
      <c r="A23" s="474">
        <f>Biodata!A25</f>
        <v>17</v>
      </c>
      <c r="B23" s="478" t="str">
        <f>Biodata!B25</f>
        <v>181910161</v>
      </c>
      <c r="C23" s="479" t="str">
        <f>Biodata!C25</f>
        <v>HILMAN PUTRA PAMUNGKAS</v>
      </c>
      <c r="D23" s="474">
        <v>82</v>
      </c>
      <c r="E23" s="474" t="s">
        <v>6</v>
      </c>
      <c r="F23" s="474">
        <v>80</v>
      </c>
      <c r="G23" s="474" t="s">
        <v>6</v>
      </c>
      <c r="H23" s="474" t="s">
        <v>6</v>
      </c>
      <c r="I23" s="482" t="str">
        <f t="shared" si="1"/>
        <v>Selalu bersyukur dan selalu berdoa sebelum melakukan kegiatan, memiliki toleran pada agama yang berbeda, ketaatan beribadah mulai berkembang.</v>
      </c>
      <c r="J23" s="474" t="s">
        <v>6</v>
      </c>
      <c r="K23" s="482" t="str">
        <f t="shared" si="2"/>
        <v>Memiliki sikap santun, disiplin, tanggung jawab yang baik, sikap kepedulian mulai meningkat.</v>
      </c>
    </row>
    <row r="24" spans="1:11">
      <c r="A24" s="474">
        <f>Biodata!A26</f>
        <v>18</v>
      </c>
      <c r="B24" s="478" t="str">
        <f>Biodata!B26</f>
        <v>181910165</v>
      </c>
      <c r="C24" s="479" t="str">
        <f>Biodata!C26</f>
        <v>IHSYA FADILLAH MUSLIM</v>
      </c>
      <c r="D24" s="474">
        <v>72</v>
      </c>
      <c r="E24" s="474" t="s">
        <v>18</v>
      </c>
      <c r="F24" s="474">
        <v>70</v>
      </c>
      <c r="G24" s="474" t="s">
        <v>18</v>
      </c>
      <c r="H24" s="474" t="s">
        <v>6</v>
      </c>
      <c r="I24" s="482" t="str">
        <f t="shared" si="1"/>
        <v>Selalu bersyukur dan selalu berdoa sebelum melakukan kegiatan, memiliki toleran pada agama yang berbeda, ketaatan beribadah mulai berkembang.</v>
      </c>
      <c r="J24" s="474" t="s">
        <v>6</v>
      </c>
      <c r="K24" s="482" t="str">
        <f t="shared" si="2"/>
        <v>Memiliki sikap santun, disiplin, tanggung jawab yang baik, sikap kepedulian mulai meningkat.</v>
      </c>
    </row>
    <row r="25" spans="1:11">
      <c r="A25" s="474">
        <f>Biodata!A27</f>
        <v>19</v>
      </c>
      <c r="B25" s="478" t="str">
        <f>Biodata!B27</f>
        <v>181910185</v>
      </c>
      <c r="C25" s="479" t="str">
        <f>Biodata!C27</f>
        <v>JIHAD AKBAR</v>
      </c>
      <c r="D25" s="474">
        <v>65</v>
      </c>
      <c r="E25" s="474" t="s">
        <v>19</v>
      </c>
      <c r="F25" s="474">
        <v>70</v>
      </c>
      <c r="G25" s="474" t="s">
        <v>18</v>
      </c>
      <c r="H25" s="474" t="s">
        <v>6</v>
      </c>
      <c r="I25" s="482" t="str">
        <f t="shared" si="1"/>
        <v>Selalu bersyukur dan selalu berdoa sebelum melakukan kegiatan, memiliki toleran pada agama yang berbeda, ketaatan beribadah mulai berkembang.</v>
      </c>
      <c r="J25" s="474" t="s">
        <v>6</v>
      </c>
      <c r="K25" s="482" t="str">
        <f t="shared" si="2"/>
        <v>Memiliki sikap santun, disiplin, tanggung jawab yang baik, sikap kepedulian mulai meningkat.</v>
      </c>
    </row>
    <row r="26" spans="1:11">
      <c r="A26" s="474">
        <f>Biodata!A28</f>
        <v>20</v>
      </c>
      <c r="B26" s="478" t="str">
        <f>Biodata!B28</f>
        <v>181910226</v>
      </c>
      <c r="C26" s="479" t="str">
        <f>Biodata!C28</f>
        <v>MUHAMAD IZZAZUL FIKRIAN</v>
      </c>
      <c r="D26" s="474">
        <v>72</v>
      </c>
      <c r="E26" s="474" t="s">
        <v>18</v>
      </c>
      <c r="F26" s="474">
        <v>75</v>
      </c>
      <c r="G26" s="474" t="s">
        <v>18</v>
      </c>
      <c r="H26" s="474" t="s">
        <v>6</v>
      </c>
      <c r="I26" s="482" t="str">
        <f t="shared" si="1"/>
        <v>Selalu bersyukur dan selalu berdoa sebelum melakukan kegiatan, memiliki toleran pada agama yang berbeda, ketaatan beribadah mulai berkembang.</v>
      </c>
      <c r="J26" s="474" t="s">
        <v>6</v>
      </c>
      <c r="K26" s="482" t="str">
        <f t="shared" si="2"/>
        <v>Memiliki sikap santun, disiplin, tanggung jawab yang baik, sikap kepedulian mulai meningkat.</v>
      </c>
    </row>
    <row r="27" spans="1:11">
      <c r="A27" s="474">
        <f>Biodata!A29</f>
        <v>21</v>
      </c>
      <c r="B27" s="478" t="str">
        <f>Biodata!B29</f>
        <v>181910240</v>
      </c>
      <c r="C27" s="479" t="str">
        <f>Biodata!C29</f>
        <v>NESHA RAUDHATUL ZANNAH</v>
      </c>
      <c r="D27" s="474">
        <v>78</v>
      </c>
      <c r="E27" s="474" t="s">
        <v>6</v>
      </c>
      <c r="F27" s="474">
        <v>80</v>
      </c>
      <c r="G27" s="474" t="s">
        <v>6</v>
      </c>
      <c r="H27" s="474" t="s">
        <v>6</v>
      </c>
      <c r="I27" s="482" t="str">
        <f t="shared" si="1"/>
        <v>Selalu bersyukur dan selalu berdoa sebelum melakukan kegiatan, memiliki toleran pada agama yang berbeda, ketaatan beribadah mulai berkembang.</v>
      </c>
      <c r="J27" s="474" t="s">
        <v>6</v>
      </c>
      <c r="K27" s="482" t="str">
        <f t="shared" si="2"/>
        <v>Memiliki sikap santun, disiplin, tanggung jawab yang baik, sikap kepedulian mulai meningkat.</v>
      </c>
    </row>
    <row r="28" spans="1:11">
      <c r="A28" s="474">
        <f>Biodata!A30</f>
        <v>22</v>
      </c>
      <c r="B28" s="478" t="str">
        <f>Biodata!B30</f>
        <v>181910262</v>
      </c>
      <c r="C28" s="479" t="str">
        <f>Biodata!C30</f>
        <v>PUTRI ANGGRAENI</v>
      </c>
      <c r="D28" s="474">
        <v>72</v>
      </c>
      <c r="E28" s="474" t="s">
        <v>6</v>
      </c>
      <c r="F28" s="474">
        <v>78</v>
      </c>
      <c r="G28" s="474" t="s">
        <v>6</v>
      </c>
      <c r="H28" s="474" t="s">
        <v>6</v>
      </c>
      <c r="I28" s="482" t="str">
        <f t="shared" si="1"/>
        <v>Selalu bersyukur dan selalu berdoa sebelum melakukan kegiatan, memiliki toleran pada agama yang berbeda, ketaatan beribadah mulai berkembang.</v>
      </c>
      <c r="J28" s="474" t="s">
        <v>18</v>
      </c>
      <c r="K28" s="482" t="str">
        <f t="shared" si="2"/>
        <v>Memiliki sikap santun, disiplin, dan tanggung jawab yang baik, sikap kepedulian perlu ditingkatkan.</v>
      </c>
    </row>
    <row r="29" spans="1:11">
      <c r="A29" s="474">
        <f>Biodata!A31</f>
        <v>23</v>
      </c>
      <c r="B29" s="478" t="str">
        <f>Biodata!B31</f>
        <v>181910266</v>
      </c>
      <c r="C29" s="479" t="str">
        <f>Biodata!C31</f>
        <v>PUTRI WULANDARI</v>
      </c>
      <c r="D29" s="474">
        <v>72</v>
      </c>
      <c r="E29" s="474" t="s">
        <v>18</v>
      </c>
      <c r="F29" s="474">
        <v>74</v>
      </c>
      <c r="G29" s="474" t="s">
        <v>18</v>
      </c>
      <c r="H29" s="474" t="s">
        <v>6</v>
      </c>
      <c r="I29" s="482" t="str">
        <f t="shared" si="1"/>
        <v>Selalu bersyukur dan selalu berdoa sebelum melakukan kegiatan, memiliki toleran pada agama yang berbeda, ketaatan beribadah mulai berkembang.</v>
      </c>
      <c r="J29" s="474" t="s">
        <v>6</v>
      </c>
      <c r="K29" s="482" t="str">
        <f t="shared" si="2"/>
        <v>Memiliki sikap santun, disiplin, tanggung jawab yang baik, sikap kepedulian mulai meningkat.</v>
      </c>
    </row>
    <row r="30" spans="1:11">
      <c r="A30" s="474">
        <f>Biodata!A32</f>
        <v>24</v>
      </c>
      <c r="B30" s="478" t="str">
        <f>Biodata!B32</f>
        <v>181910272</v>
      </c>
      <c r="C30" s="479" t="str">
        <f>Biodata!C32</f>
        <v>RAFLY GYMNASTIAR</v>
      </c>
      <c r="D30" s="474">
        <v>18</v>
      </c>
      <c r="E30" s="474" t="s">
        <v>429</v>
      </c>
      <c r="F30" s="474">
        <v>20</v>
      </c>
      <c r="G30" s="474" t="s">
        <v>429</v>
      </c>
      <c r="H30" s="474" t="s">
        <v>6</v>
      </c>
      <c r="I30" s="482" t="str">
        <f t="shared" si="1"/>
        <v>Selalu bersyukur dan selalu berdoa sebelum melakukan kegiatan, memiliki toleran pada agama yang berbeda, ketaatan beribadah mulai berkembang.</v>
      </c>
      <c r="J30" s="474" t="s">
        <v>18</v>
      </c>
      <c r="K30" s="482" t="str">
        <f t="shared" si="2"/>
        <v>Memiliki sikap santun, disiplin, dan tanggung jawab yang baik, sikap kepedulian perlu ditingkatkan.</v>
      </c>
    </row>
    <row r="31" spans="1:11">
      <c r="A31" s="474">
        <f>Biodata!A33</f>
        <v>25</v>
      </c>
      <c r="B31" s="478" t="str">
        <f>Biodata!B33</f>
        <v>181910280</v>
      </c>
      <c r="C31" s="479" t="str">
        <f>Biodata!C33</f>
        <v>REFIANA</v>
      </c>
      <c r="D31" s="474">
        <v>70</v>
      </c>
      <c r="E31" s="474" t="s">
        <v>18</v>
      </c>
      <c r="F31" s="474">
        <v>70</v>
      </c>
      <c r="G31" s="474" t="s">
        <v>18</v>
      </c>
      <c r="H31" s="474" t="s">
        <v>6</v>
      </c>
      <c r="I31" s="482" t="str">
        <f t="shared" si="1"/>
        <v>Selalu bersyukur dan selalu berdoa sebelum melakukan kegiatan, memiliki toleran pada agama yang berbeda, ketaatan beribadah mulai berkembang.</v>
      </c>
      <c r="J31" s="474" t="s">
        <v>6</v>
      </c>
      <c r="K31" s="482" t="str">
        <f t="shared" si="2"/>
        <v>Memiliki sikap santun, disiplin, tanggung jawab yang baik, sikap kepedulian mulai meningkat.</v>
      </c>
    </row>
    <row r="32" spans="1:11">
      <c r="A32" s="474">
        <f>Biodata!A34</f>
        <v>26</v>
      </c>
      <c r="B32" s="478" t="str">
        <f>Biodata!B34</f>
        <v>181910285</v>
      </c>
      <c r="C32" s="479" t="str">
        <f>Biodata!C34</f>
        <v>RENALDI PRIYATAMA</v>
      </c>
      <c r="D32" s="474">
        <v>18</v>
      </c>
      <c r="E32" s="474" t="s">
        <v>429</v>
      </c>
      <c r="F32" s="474">
        <v>20</v>
      </c>
      <c r="G32" s="474" t="s">
        <v>429</v>
      </c>
      <c r="H32" s="474" t="s">
        <v>6</v>
      </c>
      <c r="I32" s="482" t="str">
        <f t="shared" si="1"/>
        <v>Selalu bersyukur dan selalu berdoa sebelum melakukan kegiatan, memiliki toleran pada agama yang berbeda, ketaatan beribadah mulai berkembang.</v>
      </c>
      <c r="J32" s="474" t="s">
        <v>6</v>
      </c>
      <c r="K32" s="482" t="str">
        <f t="shared" si="2"/>
        <v>Memiliki sikap santun, disiplin, tanggung jawab yang baik, sikap kepedulian mulai meningkat.</v>
      </c>
    </row>
    <row r="33" spans="1:11">
      <c r="A33" s="474">
        <f>Biodata!A35</f>
        <v>27</v>
      </c>
      <c r="B33" s="478" t="str">
        <f>Biodata!B35</f>
        <v>181910286</v>
      </c>
      <c r="C33" s="479" t="str">
        <f>Biodata!C35</f>
        <v>RENATA</v>
      </c>
      <c r="D33" s="474">
        <v>80</v>
      </c>
      <c r="E33" s="474" t="s">
        <v>6</v>
      </c>
      <c r="F33" s="474">
        <v>82</v>
      </c>
      <c r="G33" s="474" t="s">
        <v>6</v>
      </c>
      <c r="H33" s="474" t="s">
        <v>6</v>
      </c>
      <c r="I33" s="482" t="str">
        <f t="shared" si="1"/>
        <v>Selalu bersyukur dan selalu berdoa sebelum melakukan kegiatan, memiliki toleran pada agama yang berbeda, ketaatan beribadah mulai berkembang.</v>
      </c>
      <c r="J33" s="474" t="s">
        <v>18</v>
      </c>
      <c r="K33" s="482" t="str">
        <f t="shared" si="2"/>
        <v>Memiliki sikap santun, disiplin, dan tanggung jawab yang baik, sikap kepedulian perlu ditingkatkan.</v>
      </c>
    </row>
    <row r="34" spans="1:11">
      <c r="A34" s="474">
        <f>Biodata!A36</f>
        <v>28</v>
      </c>
      <c r="B34" s="478" t="str">
        <f>Biodata!B36</f>
        <v>181910293</v>
      </c>
      <c r="C34" s="479" t="str">
        <f>Biodata!C36</f>
        <v xml:space="preserve">REZA ERNANDA </v>
      </c>
      <c r="D34" s="474">
        <v>80</v>
      </c>
      <c r="E34" s="474" t="s">
        <v>6</v>
      </c>
      <c r="F34" s="474">
        <v>82</v>
      </c>
      <c r="G34" s="474" t="s">
        <v>6</v>
      </c>
      <c r="H34" s="474" t="s">
        <v>6</v>
      </c>
      <c r="I34" s="482" t="str">
        <f t="shared" si="1"/>
        <v>Selalu bersyukur dan selalu berdoa sebelum melakukan kegiatan, memiliki toleran pada agama yang berbeda, ketaatan beribadah mulai berkembang.</v>
      </c>
      <c r="J34" s="474" t="s">
        <v>6</v>
      </c>
      <c r="K34" s="482" t="str">
        <f t="shared" si="2"/>
        <v>Memiliki sikap santun, disiplin, tanggung jawab yang baik, sikap kepedulian mulai meningkat.</v>
      </c>
    </row>
    <row r="35" spans="1:11">
      <c r="A35" s="474">
        <f>Biodata!A37</f>
        <v>29</v>
      </c>
      <c r="B35" s="478" t="str">
        <f>Biodata!B37</f>
        <v>181910300</v>
      </c>
      <c r="C35" s="479" t="str">
        <f>Biodata!C37</f>
        <v>RIFAN MUHAMAD RIZKI</v>
      </c>
      <c r="D35" s="474">
        <v>25</v>
      </c>
      <c r="E35" s="474" t="s">
        <v>429</v>
      </c>
      <c r="F35" s="474">
        <v>20</v>
      </c>
      <c r="G35" s="474" t="s">
        <v>429</v>
      </c>
      <c r="H35" s="474" t="s">
        <v>6</v>
      </c>
      <c r="I35" s="482" t="str">
        <f t="shared" si="1"/>
        <v>Selalu bersyukur dan selalu berdoa sebelum melakukan kegiatan, memiliki toleran pada agama yang berbeda, ketaatan beribadah mulai berkembang.</v>
      </c>
      <c r="J35" s="474" t="s">
        <v>6</v>
      </c>
      <c r="K35" s="482" t="str">
        <f t="shared" si="2"/>
        <v>Memiliki sikap santun, disiplin, tanggung jawab yang baik, sikap kepedulian mulai meningkat.</v>
      </c>
    </row>
    <row r="36" spans="1:11">
      <c r="A36" s="474">
        <f>Biodata!A38</f>
        <v>30</v>
      </c>
      <c r="B36" s="478" t="str">
        <f>Biodata!B38</f>
        <v>181910318</v>
      </c>
      <c r="C36" s="479" t="str">
        <f>Biodata!C38</f>
        <v>RISMA SURYANI</v>
      </c>
      <c r="D36" s="474">
        <v>80</v>
      </c>
      <c r="E36" s="474" t="s">
        <v>6</v>
      </c>
      <c r="F36" s="474">
        <v>82</v>
      </c>
      <c r="G36" s="474" t="s">
        <v>6</v>
      </c>
      <c r="H36" s="474" t="s">
        <v>6</v>
      </c>
      <c r="I36" s="482" t="str">
        <f t="shared" si="1"/>
        <v>Selalu bersyukur dan selalu berdoa sebelum melakukan kegiatan, memiliki toleran pada agama yang berbeda, ketaatan beribadah mulai berkembang.</v>
      </c>
      <c r="J36" s="474" t="s">
        <v>6</v>
      </c>
      <c r="K36" s="482" t="str">
        <f t="shared" si="2"/>
        <v>Memiliki sikap santun, disiplin, tanggung jawab yang baik, sikap kepedulian mulai meningkat.</v>
      </c>
    </row>
    <row r="37" spans="1:11">
      <c r="A37" s="474">
        <f>Biodata!A39</f>
        <v>31</v>
      </c>
      <c r="B37" s="478" t="str">
        <f>Biodata!B39</f>
        <v>181910320</v>
      </c>
      <c r="C37" s="479" t="str">
        <f>Biodata!C39</f>
        <v>RISNA TIRANI</v>
      </c>
      <c r="D37" s="474">
        <v>85</v>
      </c>
      <c r="E37" s="474" t="s">
        <v>6</v>
      </c>
      <c r="F37" s="474">
        <v>84</v>
      </c>
      <c r="G37" s="474" t="s">
        <v>6</v>
      </c>
      <c r="H37" s="474" t="s">
        <v>6</v>
      </c>
      <c r="I37" s="482" t="str">
        <f t="shared" si="1"/>
        <v>Selalu bersyukur dan selalu berdoa sebelum melakukan kegiatan, memiliki toleran pada agama yang berbeda, ketaatan beribadah mulai berkembang.</v>
      </c>
      <c r="J37" s="474" t="s">
        <v>18</v>
      </c>
      <c r="K37" s="482" t="str">
        <f t="shared" si="2"/>
        <v>Memiliki sikap santun, disiplin, dan tanggung jawab yang baik, sikap kepedulian perlu ditingkatkan.</v>
      </c>
    </row>
    <row r="38" spans="1:11">
      <c r="A38" s="474">
        <f>Biodata!A40</f>
        <v>32</v>
      </c>
      <c r="B38" s="478" t="str">
        <f>Biodata!B40</f>
        <v>181910331</v>
      </c>
      <c r="C38" s="479" t="str">
        <f>Biodata!C40</f>
        <v>RULLY PRATAMA S.</v>
      </c>
      <c r="D38" s="474">
        <v>60</v>
      </c>
      <c r="E38" s="474" t="s">
        <v>19</v>
      </c>
      <c r="F38" s="474">
        <v>50</v>
      </c>
      <c r="G38" s="474" t="s">
        <v>429</v>
      </c>
      <c r="H38" s="474" t="s">
        <v>6</v>
      </c>
      <c r="I38" s="482" t="str">
        <f t="shared" si="1"/>
        <v>Selalu bersyukur dan selalu berdoa sebelum melakukan kegiatan, memiliki toleran pada agama yang berbeda, ketaatan beribadah mulai berkembang.</v>
      </c>
      <c r="J38" s="474" t="s">
        <v>18</v>
      </c>
      <c r="K38" s="482" t="str">
        <f t="shared" si="2"/>
        <v>Memiliki sikap santun, disiplin, dan tanggung jawab yang baik, sikap kepedulian perlu ditingkatkan.</v>
      </c>
    </row>
    <row r="39" spans="1:11">
      <c r="A39" s="474">
        <f>Biodata!A41</f>
        <v>33</v>
      </c>
      <c r="B39" s="478" t="str">
        <f>Biodata!B41</f>
        <v>181910335</v>
      </c>
      <c r="C39" s="479" t="str">
        <f>Biodata!C41</f>
        <v>SALSA ASYKIYA</v>
      </c>
      <c r="D39" s="474">
        <v>82</v>
      </c>
      <c r="E39" s="474" t="s">
        <v>6</v>
      </c>
      <c r="F39" s="474">
        <v>82</v>
      </c>
      <c r="G39" s="474" t="s">
        <v>6</v>
      </c>
      <c r="H39" s="474" t="s">
        <v>6</v>
      </c>
      <c r="I39" s="482" t="str">
        <f t="shared" si="1"/>
        <v>Selalu bersyukur dan selalu berdoa sebelum melakukan kegiatan, memiliki toleran pada agama yang berbeda, ketaatan beribadah mulai berkembang.</v>
      </c>
      <c r="J39" s="474" t="s">
        <v>6</v>
      </c>
      <c r="K39" s="482" t="str">
        <f t="shared" si="2"/>
        <v>Memiliki sikap santun, disiplin, tanggung jawab yang baik, sikap kepedulian mulai meningkat.</v>
      </c>
    </row>
    <row r="40" spans="1:11">
      <c r="A40" s="474">
        <f>Biodata!A42</f>
        <v>34</v>
      </c>
      <c r="B40" s="478" t="str">
        <f>Biodata!B42</f>
        <v>181910353</v>
      </c>
      <c r="C40" s="479" t="str">
        <f>Biodata!C42</f>
        <v>SILFI HAMIDAH</v>
      </c>
      <c r="D40" s="474">
        <v>78</v>
      </c>
      <c r="E40" s="474" t="s">
        <v>6</v>
      </c>
      <c r="F40" s="474">
        <v>80</v>
      </c>
      <c r="G40" s="474" t="s">
        <v>6</v>
      </c>
      <c r="H40" s="474" t="s">
        <v>6</v>
      </c>
      <c r="I40" s="482" t="str">
        <f t="shared" si="1"/>
        <v>Selalu bersyukur dan selalu berdoa sebelum melakukan kegiatan, memiliki toleran pada agama yang berbeda, ketaatan beribadah mulai berkembang.</v>
      </c>
      <c r="J40" s="474" t="s">
        <v>6</v>
      </c>
      <c r="K40" s="482" t="str">
        <f t="shared" si="2"/>
        <v>Memiliki sikap santun, disiplin, tanggung jawab yang baik, sikap kepedulian mulai meningkat.</v>
      </c>
    </row>
    <row r="41" spans="1:11">
      <c r="A41" s="474">
        <f>Biodata!A43</f>
        <v>35</v>
      </c>
      <c r="B41" s="478" t="str">
        <f>Biodata!B43</f>
        <v>181910408</v>
      </c>
      <c r="C41" s="479" t="str">
        <f>Biodata!C43</f>
        <v>YESHA RAHAYU</v>
      </c>
      <c r="D41" s="474">
        <v>70</v>
      </c>
      <c r="E41" s="474" t="s">
        <v>18</v>
      </c>
      <c r="F41" s="474">
        <v>70</v>
      </c>
      <c r="G41" s="474" t="s">
        <v>18</v>
      </c>
      <c r="H41" s="474" t="s">
        <v>6</v>
      </c>
      <c r="I41" s="482" t="str">
        <f t="shared" si="1"/>
        <v>Selalu bersyukur dan selalu berdoa sebelum melakukan kegiatan, memiliki toleran pada agama yang berbeda, ketaatan beribadah mulai berkembang.</v>
      </c>
      <c r="J41" s="474" t="s">
        <v>18</v>
      </c>
      <c r="K41" s="482" t="str">
        <f t="shared" si="2"/>
        <v>Memiliki sikap santun, disiplin, dan tanggung jawab yang baik, sikap kepedulian perlu ditingkatkan.</v>
      </c>
    </row>
    <row r="42" spans="1:11">
      <c r="A42" s="474">
        <f>Biodata!A44</f>
        <v>36</v>
      </c>
      <c r="B42" s="478" t="str">
        <f>Biodata!B44</f>
        <v>181910433</v>
      </c>
      <c r="C42" s="479" t="str">
        <f>Biodata!C44</f>
        <v>MUHAMAD RIZAL</v>
      </c>
      <c r="D42" s="474">
        <v>10</v>
      </c>
      <c r="E42" s="474" t="s">
        <v>429</v>
      </c>
      <c r="F42" s="474">
        <v>10</v>
      </c>
      <c r="G42" s="474" t="s">
        <v>429</v>
      </c>
      <c r="H42" s="474" t="s">
        <v>6</v>
      </c>
      <c r="I42" s="482" t="str">
        <f t="shared" si="1"/>
        <v>Selalu bersyukur dan selalu berdoa sebelum melakukan kegiatan, memiliki toleran pada agama yang berbeda, ketaatan beribadah mulai berkembang.</v>
      </c>
      <c r="J42" s="474" t="s">
        <v>18</v>
      </c>
      <c r="K42" s="482" t="str">
        <f t="shared" si="2"/>
        <v>Memiliki sikap santun, disiplin, dan tanggung jawab yang baik, sikap kepedulian perlu ditingkatkan.</v>
      </c>
    </row>
    <row r="43" spans="1:11">
      <c r="A43" s="474">
        <f>Biodata!A45</f>
        <v>37</v>
      </c>
      <c r="B43" s="478" t="str">
        <f>Biodata!B45</f>
        <v>037</v>
      </c>
      <c r="C43" s="479" t="str">
        <f>Biodata!C45</f>
        <v>A37</v>
      </c>
      <c r="D43" s="474">
        <f t="shared" ref="D43:D46" si="3">IFERROR(VLOOKUP(B43&amp;"A",leggerx1,4,0),"")</f>
        <v>0</v>
      </c>
      <c r="E43" s="474" t="str">
        <f t="shared" ref="E43:E46" si="4">IFERROR(VLOOKUP(B43&amp;"C",leggerx1,4,0),"")</f>
        <v/>
      </c>
      <c r="F43" s="474">
        <v>0</v>
      </c>
      <c r="G43" s="474" t="str">
        <f t="shared" ref="G43:G46" si="5">IFERROR(VLOOKUP(B43&amp;"D",leggerx1,4,0),"")</f>
        <v/>
      </c>
      <c r="H43" s="474" t="str">
        <f t="shared" ref="H43:H46" si="6">IFERROR(VLOOKUP(B43&amp;"A",leggerx1,20,0),"")</f>
        <v>-</v>
      </c>
      <c r="I43" s="482" t="str">
        <f t="shared" si="1"/>
        <v>-</v>
      </c>
      <c r="K43" s="482" t="str">
        <f t="shared" si="2"/>
        <v>-</v>
      </c>
    </row>
    <row r="44" spans="1:11">
      <c r="A44" s="474">
        <f>Biodata!A46</f>
        <v>38</v>
      </c>
      <c r="B44" s="478" t="str">
        <f>Biodata!B46</f>
        <v>038</v>
      </c>
      <c r="C44" s="479" t="str">
        <f>Biodata!C46</f>
        <v>A38</v>
      </c>
      <c r="D44" s="474">
        <f t="shared" si="3"/>
        <v>0</v>
      </c>
      <c r="E44" s="474" t="str">
        <f t="shared" si="4"/>
        <v/>
      </c>
      <c r="F44" s="474">
        <v>0</v>
      </c>
      <c r="G44" s="474" t="str">
        <f t="shared" si="5"/>
        <v/>
      </c>
      <c r="H44" s="474" t="str">
        <f t="shared" si="6"/>
        <v>-</v>
      </c>
      <c r="I44" s="482" t="str">
        <f t="shared" si="1"/>
        <v>-</v>
      </c>
      <c r="J44" s="474" t="str">
        <f t="shared" si="0"/>
        <v>-</v>
      </c>
      <c r="K44" s="482" t="str">
        <f t="shared" si="2"/>
        <v>-</v>
      </c>
    </row>
    <row r="45" spans="1:11">
      <c r="A45" s="474">
        <f>Biodata!A47</f>
        <v>39</v>
      </c>
      <c r="B45" s="478" t="str">
        <f>Biodata!B47</f>
        <v>039</v>
      </c>
      <c r="C45" s="479" t="str">
        <f>Biodata!C47</f>
        <v>A39</v>
      </c>
      <c r="D45" s="474">
        <f t="shared" si="3"/>
        <v>0</v>
      </c>
      <c r="E45" s="474" t="str">
        <f t="shared" si="4"/>
        <v/>
      </c>
      <c r="F45" s="474">
        <f t="shared" ref="F45:F46" si="7">IFERROR(VLOOKUP(B45&amp;"B",leggerx1,4,0),"")</f>
        <v>0</v>
      </c>
      <c r="G45" s="474" t="str">
        <f t="shared" si="5"/>
        <v/>
      </c>
      <c r="H45" s="474" t="str">
        <f t="shared" si="6"/>
        <v>-</v>
      </c>
      <c r="I45" s="482" t="str">
        <f t="shared" si="1"/>
        <v>-</v>
      </c>
      <c r="J45" s="474" t="str">
        <f t="shared" si="0"/>
        <v>-</v>
      </c>
      <c r="K45" s="482" t="str">
        <f t="shared" si="2"/>
        <v>-</v>
      </c>
    </row>
    <row r="46" spans="1:11">
      <c r="A46" s="474">
        <f>Biodata!A48</f>
        <v>40</v>
      </c>
      <c r="B46" s="478" t="str">
        <f>Biodata!B48</f>
        <v>040</v>
      </c>
      <c r="C46" s="479" t="str">
        <f>Biodata!C48</f>
        <v>A40</v>
      </c>
      <c r="D46" s="474">
        <f t="shared" si="3"/>
        <v>0</v>
      </c>
      <c r="E46" s="474" t="str">
        <f t="shared" si="4"/>
        <v/>
      </c>
      <c r="F46" s="474">
        <f t="shared" si="7"/>
        <v>0</v>
      </c>
      <c r="G46" s="474" t="str">
        <f t="shared" si="5"/>
        <v/>
      </c>
      <c r="H46" s="474" t="str">
        <f t="shared" si="6"/>
        <v>B</v>
      </c>
      <c r="I46" s="482" t="str">
        <f t="shared" si="1"/>
        <v>Selalu bersyukur dan selalu berdoa sebelum melakukan kegiatan, memiliki toleran pada agama yang berbeda, ketaatan beribadah mulai berkembang.</v>
      </c>
      <c r="J46" s="474" t="str">
        <f t="shared" si="0"/>
        <v>SB</v>
      </c>
      <c r="K46" s="482" t="str">
        <f t="shared" si="2"/>
        <v>Memiliki sikap santun, disiplin, dan tanggung jawab cukup baik, namun sikap kepedulian perlu ditingkatkan.</v>
      </c>
    </row>
    <row r="47" spans="1:11">
      <c r="C47" s="483"/>
    </row>
    <row r="48" spans="1:11">
      <c r="C48" s="483"/>
    </row>
    <row r="49" spans="3:3" s="475" customFormat="1" ht="11.25">
      <c r="C49" s="483"/>
    </row>
    <row r="50" spans="3:3" s="475" customFormat="1" ht="11.25">
      <c r="C50" s="48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0"/>
  <sheetViews>
    <sheetView workbookViewId="0">
      <selection activeCell="H43" sqref="H43"/>
    </sheetView>
  </sheetViews>
  <sheetFormatPr defaultColWidth="9" defaultRowHeight="12.75"/>
  <cols>
    <col min="1" max="1" width="3.7109375" style="474" customWidth="1"/>
    <col min="2" max="2" width="7.140625" style="474" customWidth="1"/>
    <col min="3" max="3" width="21.7109375" style="475" customWidth="1"/>
    <col min="4" max="4" width="11.85546875" style="474" customWidth="1"/>
    <col min="5" max="5" width="8" style="474" customWidth="1"/>
    <col min="6" max="6" width="12" style="474" customWidth="1"/>
    <col min="7" max="7" width="8" style="474" customWidth="1"/>
    <col min="8" max="8" width="5.28515625" style="474" customWidth="1"/>
    <col min="9" max="9" width="20.7109375" style="474" customWidth="1"/>
    <col min="10" max="10" width="6.42578125" style="474" customWidth="1"/>
    <col min="11" max="11" width="20.7109375" style="474" customWidth="1"/>
    <col min="12" max="17" width="9.140625" style="475" customWidth="1"/>
    <col min="18" max="18" width="26.140625" style="475" customWidth="1"/>
    <col min="19" max="256" width="9.140625" style="475" customWidth="1"/>
  </cols>
  <sheetData>
    <row r="1" spans="1:19">
      <c r="C1" s="476" t="s">
        <v>329</v>
      </c>
      <c r="D1" s="477" t="str">
        <f>Biodata!C4</f>
        <v xml:space="preserve"> X / IPS_5</v>
      </c>
    </row>
    <row r="2" spans="1:19">
      <c r="C2" s="476" t="s">
        <v>330</v>
      </c>
      <c r="D2" s="477" t="str">
        <f>Biodata!C5</f>
        <v>1 / Ganjil</v>
      </c>
    </row>
    <row r="3" spans="1:19">
      <c r="D3" s="477"/>
    </row>
    <row r="4" spans="1:19">
      <c r="C4" s="476" t="s">
        <v>331</v>
      </c>
      <c r="D4" s="477" t="str">
        <f>LEGER!H6</f>
        <v>Bahasa Indonesia</v>
      </c>
    </row>
    <row r="5" spans="1:19">
      <c r="C5" s="476" t="s">
        <v>332</v>
      </c>
      <c r="D5" s="477">
        <f>RAPORT!C84</f>
        <v>70</v>
      </c>
    </row>
    <row r="6" spans="1:19">
      <c r="A6" s="474" t="s">
        <v>325</v>
      </c>
      <c r="B6" s="474" t="s">
        <v>10</v>
      </c>
      <c r="C6" s="475" t="s">
        <v>324</v>
      </c>
      <c r="D6" s="474" t="s">
        <v>75</v>
      </c>
      <c r="E6" s="474" t="s">
        <v>71</v>
      </c>
      <c r="F6" s="474" t="s">
        <v>147</v>
      </c>
      <c r="G6" s="474" t="s">
        <v>71</v>
      </c>
      <c r="H6" s="474" t="s">
        <v>326</v>
      </c>
      <c r="I6" s="474" t="s">
        <v>327</v>
      </c>
      <c r="J6" s="474" t="s">
        <v>328</v>
      </c>
      <c r="K6" s="474" t="s">
        <v>327</v>
      </c>
      <c r="Q6" s="219" t="s">
        <v>71</v>
      </c>
      <c r="R6" s="219" t="s">
        <v>333</v>
      </c>
      <c r="S6" s="219" t="s">
        <v>334</v>
      </c>
    </row>
    <row r="7" spans="1:19">
      <c r="A7" s="474">
        <f>Biodata!A9</f>
        <v>1</v>
      </c>
      <c r="B7" s="478" t="str">
        <f>Biodata!B9</f>
        <v>181910008</v>
      </c>
      <c r="C7" s="479" t="str">
        <f>Biodata!C9</f>
        <v>ADITA TRI KURNIA PUTRI</v>
      </c>
      <c r="D7" s="474">
        <v>74</v>
      </c>
      <c r="E7" s="474" t="s">
        <v>18</v>
      </c>
      <c r="F7" s="474">
        <v>72</v>
      </c>
      <c r="G7" s="474" t="s">
        <v>18</v>
      </c>
      <c r="H7" s="474" t="s">
        <v>18</v>
      </c>
      <c r="I7" s="479" t="str">
        <f>IFERROR(VLOOKUP(H7,$Q$7:$S$10,2,TRUE),"-")</f>
        <v>Selalu bersyukur dan selalu berdoa sebelum melakukan kegiatan, memiliki toleran pada agama yang berbeda, ketaatan beribadah perlu ditingkatkan.</v>
      </c>
      <c r="J7" s="474" t="str">
        <f t="shared" ref="J7:J46" si="0">IFERROR(VLOOKUP(B7&amp;"A",leggerx1,21,0),"")</f>
        <v>B</v>
      </c>
      <c r="K7" s="479" t="str">
        <f>IFERROR(VLOOKUP(J7,$Q$7:$S$10,3,TRUE),"-")</f>
        <v>Memiliki sikap santun, disiplin, tanggung jawab yang baik, sikap kepedulian mulai meningkat.</v>
      </c>
      <c r="Q7" s="219" t="s">
        <v>288</v>
      </c>
      <c r="R7" s="480" t="s">
        <v>169</v>
      </c>
      <c r="S7" s="481" t="s">
        <v>172</v>
      </c>
    </row>
    <row r="8" spans="1:19">
      <c r="A8" s="474">
        <f>Biodata!A10</f>
        <v>2</v>
      </c>
      <c r="B8" s="478" t="str">
        <f>Biodata!B10</f>
        <v>181910011</v>
      </c>
      <c r="C8" s="479" t="str">
        <f>Biodata!C10</f>
        <v xml:space="preserve">ADNES KOMALA DEWI </v>
      </c>
      <c r="D8" s="474">
        <v>74</v>
      </c>
      <c r="E8" s="474" t="s">
        <v>18</v>
      </c>
      <c r="F8" s="474">
        <v>71</v>
      </c>
      <c r="G8" s="474" t="s">
        <v>18</v>
      </c>
      <c r="H8" s="474" t="s">
        <v>18</v>
      </c>
      <c r="I8" s="482" t="str">
        <f t="shared" ref="I8:I46" si="1">IFERROR(VLOOKUP(H8,$Q$7:$S$10,2,TRUE),"-")</f>
        <v>Selalu bersyukur dan selalu berdoa sebelum melakukan kegiatan, memiliki toleran pada agama yang berbeda, ketaatan beribadah perlu ditingkatkan.</v>
      </c>
      <c r="J8" s="474" t="str">
        <f t="shared" si="0"/>
        <v>B</v>
      </c>
      <c r="K8" s="482" t="str">
        <f t="shared" ref="K8:K46" si="2">IFERROR(VLOOKUP(J8,$Q$7:$S$10,3,TRUE),"-")</f>
        <v>Memiliki sikap santun, disiplin, tanggung jawab yang baik, sikap kepedulian mulai meningkat.</v>
      </c>
      <c r="Q8" s="219" t="s">
        <v>6</v>
      </c>
      <c r="R8" s="480" t="s">
        <v>170</v>
      </c>
      <c r="S8" s="481" t="s">
        <v>173</v>
      </c>
    </row>
    <row r="9" spans="1:19">
      <c r="A9" s="474">
        <f>Biodata!A11</f>
        <v>3</v>
      </c>
      <c r="B9" s="478" t="str">
        <f>Biodata!B11</f>
        <v>181910014</v>
      </c>
      <c r="C9" s="479" t="str">
        <f>Biodata!C11</f>
        <v>AGUNG BUDI PRASTAWA</v>
      </c>
      <c r="D9" s="474">
        <v>72</v>
      </c>
      <c r="E9" s="474" t="s">
        <v>18</v>
      </c>
      <c r="F9" s="474">
        <v>71</v>
      </c>
      <c r="G9" s="474" t="s">
        <v>18</v>
      </c>
      <c r="H9" s="474" t="s">
        <v>18</v>
      </c>
      <c r="I9" s="482" t="str">
        <f t="shared" si="1"/>
        <v>Selalu bersyukur dan selalu berdoa sebelum melakukan kegiatan, memiliki toleran pada agama yang berbeda, ketaatan beribadah perlu ditingkatkan.</v>
      </c>
      <c r="J9" s="474" t="str">
        <f t="shared" si="0"/>
        <v>B</v>
      </c>
      <c r="K9" s="482" t="str">
        <f t="shared" si="2"/>
        <v>Memiliki sikap santun, disiplin, tanggung jawab yang baik, sikap kepedulian mulai meningkat.</v>
      </c>
      <c r="Q9" s="219" t="s">
        <v>18</v>
      </c>
      <c r="R9" s="480" t="s">
        <v>171</v>
      </c>
      <c r="S9" s="481" t="s">
        <v>174</v>
      </c>
    </row>
    <row r="10" spans="1:19">
      <c r="A10" s="474">
        <f>Biodata!A12</f>
        <v>4</v>
      </c>
      <c r="B10" s="478" t="str">
        <f>Biodata!B12</f>
        <v>181910021</v>
      </c>
      <c r="C10" s="479" t="str">
        <f>Biodata!C12</f>
        <v>AISYAH</v>
      </c>
      <c r="D10" s="474">
        <v>74</v>
      </c>
      <c r="E10" s="474" t="s">
        <v>18</v>
      </c>
      <c r="F10" s="474">
        <v>72</v>
      </c>
      <c r="G10" s="474" t="s">
        <v>18</v>
      </c>
      <c r="H10" s="474" t="s">
        <v>18</v>
      </c>
      <c r="I10" s="482" t="str">
        <f t="shared" si="1"/>
        <v>Selalu bersyukur dan selalu berdoa sebelum melakukan kegiatan, memiliki toleran pada agama yang berbeda, ketaatan beribadah perlu ditingkatkan.</v>
      </c>
      <c r="J10" s="474" t="str">
        <f t="shared" si="0"/>
        <v>B</v>
      </c>
      <c r="K10" s="482" t="str">
        <f t="shared" si="2"/>
        <v>Memiliki sikap santun, disiplin, tanggung jawab yang baik, sikap kepedulian mulai meningkat.</v>
      </c>
      <c r="Q10" s="219" t="s">
        <v>297</v>
      </c>
      <c r="R10" s="480" t="s">
        <v>181</v>
      </c>
      <c r="S10" s="481" t="s">
        <v>182</v>
      </c>
    </row>
    <row r="11" spans="1:19">
      <c r="A11" s="474">
        <f>Biodata!A13</f>
        <v>5</v>
      </c>
      <c r="B11" s="478" t="str">
        <f>Biodata!B13</f>
        <v>181910045</v>
      </c>
      <c r="C11" s="479" t="str">
        <f>Biodata!C13</f>
        <v>ARYA DYTA WIGUNA</v>
      </c>
      <c r="D11" s="474">
        <v>80</v>
      </c>
      <c r="E11" s="474" t="s">
        <v>6</v>
      </c>
      <c r="F11" s="474">
        <v>75</v>
      </c>
      <c r="G11" s="474" t="s">
        <v>18</v>
      </c>
      <c r="H11" s="474" t="s">
        <v>18</v>
      </c>
      <c r="I11" s="482" t="str">
        <f t="shared" si="1"/>
        <v>Selalu bersyukur dan selalu berdoa sebelum melakukan kegiatan, memiliki toleran pada agama yang berbeda, ketaatan beribadah perlu ditingkatkan.</v>
      </c>
      <c r="J11" s="474" t="str">
        <f t="shared" si="0"/>
        <v>SB</v>
      </c>
      <c r="K11" s="482" t="str">
        <f t="shared" si="2"/>
        <v>Memiliki sikap santun, disiplin, dan tanggung jawab cukup baik, namun sikap kepedulian perlu ditingkatkan.</v>
      </c>
    </row>
    <row r="12" spans="1:19">
      <c r="A12" s="474">
        <f>Biodata!A14</f>
        <v>6</v>
      </c>
      <c r="B12" s="478" t="str">
        <f>Biodata!B14</f>
        <v>181910054</v>
      </c>
      <c r="C12" s="479" t="str">
        <f>Biodata!C14</f>
        <v>AZRIEL TAMA SANTIAJI</v>
      </c>
      <c r="D12" s="474">
        <v>65</v>
      </c>
      <c r="E12" s="474" t="s">
        <v>19</v>
      </c>
      <c r="F12" s="474">
        <v>65</v>
      </c>
      <c r="G12" s="474" t="s">
        <v>19</v>
      </c>
      <c r="H12" s="474" t="s">
        <v>297</v>
      </c>
      <c r="I12" s="482" t="str">
        <f t="shared" si="1"/>
        <v>Selalu bersyukur dan selalu berdoa sebelum melakukan kegiatan, memiliki toleran pada agama yang berbeda, namun ketaatan beribadah perlu ditingkatkan lagi.</v>
      </c>
      <c r="J12" s="474" t="str">
        <f t="shared" si="0"/>
        <v>B</v>
      </c>
      <c r="K12" s="482" t="str">
        <f t="shared" si="2"/>
        <v>Memiliki sikap santun, disiplin, tanggung jawab yang baik, sikap kepedulian mulai meningkat.</v>
      </c>
    </row>
    <row r="13" spans="1:19">
      <c r="A13" s="474">
        <f>Biodata!A15</f>
        <v>7</v>
      </c>
      <c r="B13" s="478" t="str">
        <f>Biodata!B15</f>
        <v>181910055</v>
      </c>
      <c r="C13" s="479" t="str">
        <f>Biodata!C15</f>
        <v>AZZUHRI HAUDI</v>
      </c>
      <c r="D13" s="474">
        <v>78</v>
      </c>
      <c r="E13" s="474" t="s">
        <v>6</v>
      </c>
      <c r="F13" s="474">
        <v>80</v>
      </c>
      <c r="G13" s="474" t="s">
        <v>6</v>
      </c>
      <c r="H13" s="474" t="s">
        <v>6</v>
      </c>
      <c r="I13" s="482" t="str">
        <f t="shared" si="1"/>
        <v>Selalu bersyukur dan selalu berdoa sebelum melakukan kegiatan, memiliki toleran pada agama yang berbeda, ketaatan beribadah mulai berkembang.</v>
      </c>
      <c r="J13" s="474" t="str">
        <f t="shared" si="0"/>
        <v>B</v>
      </c>
      <c r="K13" s="482" t="str">
        <f t="shared" si="2"/>
        <v>Memiliki sikap santun, disiplin, tanggung jawab yang baik, sikap kepedulian mulai meningkat.</v>
      </c>
    </row>
    <row r="14" spans="1:19">
      <c r="A14" s="474">
        <f>Biodata!A16</f>
        <v>8</v>
      </c>
      <c r="B14" s="478" t="str">
        <f>Biodata!B16</f>
        <v>181910056</v>
      </c>
      <c r="C14" s="479" t="str">
        <f>Biodata!C16</f>
        <v>BAYU BATARA SURYA PUTRA</v>
      </c>
      <c r="D14" s="474">
        <v>71</v>
      </c>
      <c r="E14" s="474" t="s">
        <v>18</v>
      </c>
      <c r="F14" s="474">
        <v>71</v>
      </c>
      <c r="G14" s="474" t="s">
        <v>18</v>
      </c>
      <c r="H14" s="474" t="s">
        <v>18</v>
      </c>
      <c r="I14" s="482" t="str">
        <f t="shared" si="1"/>
        <v>Selalu bersyukur dan selalu berdoa sebelum melakukan kegiatan, memiliki toleran pada agama yang berbeda, ketaatan beribadah perlu ditingkatkan.</v>
      </c>
      <c r="J14" s="474" t="str">
        <f t="shared" si="0"/>
        <v>B</v>
      </c>
      <c r="K14" s="482" t="str">
        <f t="shared" si="2"/>
        <v>Memiliki sikap santun, disiplin, tanggung jawab yang baik, sikap kepedulian mulai meningkat.</v>
      </c>
    </row>
    <row r="15" spans="1:19">
      <c r="A15" s="474">
        <f>Biodata!A17</f>
        <v>9</v>
      </c>
      <c r="B15" s="478" t="str">
        <f>Biodata!B17</f>
        <v>181910069</v>
      </c>
      <c r="C15" s="479" t="str">
        <f>Biodata!C17</f>
        <v>DANDY ERVAN PRATAMA</v>
      </c>
      <c r="D15" s="474">
        <v>65</v>
      </c>
      <c r="E15" s="474" t="s">
        <v>19</v>
      </c>
      <c r="F15" s="474">
        <v>65</v>
      </c>
      <c r="G15" s="474" t="s">
        <v>19</v>
      </c>
      <c r="H15" s="474" t="s">
        <v>297</v>
      </c>
      <c r="I15" s="482" t="str">
        <f t="shared" si="1"/>
        <v>Selalu bersyukur dan selalu berdoa sebelum melakukan kegiatan, memiliki toleran pada agama yang berbeda, namun ketaatan beribadah perlu ditingkatkan lagi.</v>
      </c>
      <c r="J15" s="474" t="str">
        <f t="shared" si="0"/>
        <v>B</v>
      </c>
      <c r="K15" s="482" t="str">
        <f t="shared" si="2"/>
        <v>Memiliki sikap santun, disiplin, tanggung jawab yang baik, sikap kepedulian mulai meningkat.</v>
      </c>
    </row>
    <row r="16" spans="1:19">
      <c r="A16" s="474">
        <f>Biodata!A18</f>
        <v>10</v>
      </c>
      <c r="B16" s="478" t="str">
        <f>Biodata!B18</f>
        <v>181910085</v>
      </c>
      <c r="C16" s="479" t="str">
        <f>Biodata!C18</f>
        <v>DENISA ASTI RAHMAWATI</v>
      </c>
      <c r="D16" s="474">
        <v>79</v>
      </c>
      <c r="E16" s="474" t="s">
        <v>6</v>
      </c>
      <c r="F16" s="474">
        <v>78</v>
      </c>
      <c r="G16" s="474" t="s">
        <v>6</v>
      </c>
      <c r="H16" s="474" t="s">
        <v>18</v>
      </c>
      <c r="I16" s="482" t="str">
        <f t="shared" si="1"/>
        <v>Selalu bersyukur dan selalu berdoa sebelum melakukan kegiatan, memiliki toleran pada agama yang berbeda, ketaatan beribadah perlu ditingkatkan.</v>
      </c>
      <c r="J16" s="474" t="str">
        <f t="shared" si="0"/>
        <v>B</v>
      </c>
      <c r="K16" s="482" t="str">
        <f t="shared" si="2"/>
        <v>Memiliki sikap santun, disiplin, tanggung jawab yang baik, sikap kepedulian mulai meningkat.</v>
      </c>
    </row>
    <row r="17" spans="1:11">
      <c r="A17" s="474">
        <f>Biodata!A19</f>
        <v>11</v>
      </c>
      <c r="B17" s="478" t="str">
        <f>Biodata!B19</f>
        <v>181910093</v>
      </c>
      <c r="C17" s="479" t="str">
        <f>Biodata!C19</f>
        <v>DIAN RAMDHAN SAPTIAN</v>
      </c>
      <c r="D17" s="474">
        <v>65</v>
      </c>
      <c r="E17" s="474" t="s">
        <v>19</v>
      </c>
      <c r="F17" s="474">
        <v>65</v>
      </c>
      <c r="G17" s="474" t="s">
        <v>19</v>
      </c>
      <c r="H17" s="474" t="s">
        <v>297</v>
      </c>
      <c r="I17" s="482" t="str">
        <f t="shared" si="1"/>
        <v>Selalu bersyukur dan selalu berdoa sebelum melakukan kegiatan, memiliki toleran pada agama yang berbeda, namun ketaatan beribadah perlu ditingkatkan lagi.</v>
      </c>
      <c r="J17" s="474" t="str">
        <f t="shared" si="0"/>
        <v>B</v>
      </c>
      <c r="K17" s="482" t="str">
        <f t="shared" si="2"/>
        <v>Memiliki sikap santun, disiplin, tanggung jawab yang baik, sikap kepedulian mulai meningkat.</v>
      </c>
    </row>
    <row r="18" spans="1:11">
      <c r="A18" s="474">
        <f>Biodata!A20</f>
        <v>12</v>
      </c>
      <c r="B18" s="478" t="str">
        <f>Biodata!B20</f>
        <v>181910103</v>
      </c>
      <c r="C18" s="479" t="str">
        <f>Biodata!C20</f>
        <v>DIVYA ADHIANI NURDIN</v>
      </c>
      <c r="D18" s="474">
        <v>71</v>
      </c>
      <c r="E18" s="474" t="s">
        <v>18</v>
      </c>
      <c r="F18" s="474">
        <v>71</v>
      </c>
      <c r="G18" s="474" t="s">
        <v>18</v>
      </c>
      <c r="H18" s="474" t="s">
        <v>18</v>
      </c>
      <c r="I18" s="482" t="str">
        <f t="shared" si="1"/>
        <v>Selalu bersyukur dan selalu berdoa sebelum melakukan kegiatan, memiliki toleran pada agama yang berbeda, ketaatan beribadah perlu ditingkatkan.</v>
      </c>
      <c r="J18" s="474" t="str">
        <f t="shared" si="0"/>
        <v>B</v>
      </c>
      <c r="K18" s="482" t="str">
        <f t="shared" si="2"/>
        <v>Memiliki sikap santun, disiplin, tanggung jawab yang baik, sikap kepedulian mulai meningkat.</v>
      </c>
    </row>
    <row r="19" spans="1:11">
      <c r="A19" s="474">
        <f>Biodata!A21</f>
        <v>13</v>
      </c>
      <c r="B19" s="478" t="str">
        <f>Biodata!B21</f>
        <v>181910104</v>
      </c>
      <c r="C19" s="479" t="str">
        <f>Biodata!C21</f>
        <v>DWIKI DERMAWAN</v>
      </c>
      <c r="D19" s="474">
        <v>60</v>
      </c>
      <c r="E19" s="474" t="s">
        <v>19</v>
      </c>
      <c r="F19" s="474">
        <v>65</v>
      </c>
      <c r="G19" s="474" t="s">
        <v>19</v>
      </c>
      <c r="H19" s="474" t="s">
        <v>297</v>
      </c>
      <c r="I19" s="482" t="str">
        <f t="shared" si="1"/>
        <v>Selalu bersyukur dan selalu berdoa sebelum melakukan kegiatan, memiliki toleran pada agama yang berbeda, namun ketaatan beribadah perlu ditingkatkan lagi.</v>
      </c>
      <c r="J19" s="474" t="str">
        <f t="shared" si="0"/>
        <v>B</v>
      </c>
      <c r="K19" s="482" t="str">
        <f t="shared" si="2"/>
        <v>Memiliki sikap santun, disiplin, tanggung jawab yang baik, sikap kepedulian mulai meningkat.</v>
      </c>
    </row>
    <row r="20" spans="1:11">
      <c r="A20" s="474">
        <f>Biodata!A22</f>
        <v>14</v>
      </c>
      <c r="B20" s="478" t="str">
        <f>Biodata!B22</f>
        <v>181910118</v>
      </c>
      <c r="C20" s="479" t="str">
        <f>Biodata!C22</f>
        <v>ENCEP CANDRA</v>
      </c>
      <c r="D20" s="474">
        <v>70</v>
      </c>
      <c r="E20" s="474" t="s">
        <v>18</v>
      </c>
      <c r="F20" s="474">
        <v>78</v>
      </c>
      <c r="G20" s="474" t="s">
        <v>6</v>
      </c>
      <c r="H20" s="474" t="s">
        <v>18</v>
      </c>
      <c r="I20" s="482" t="str">
        <f t="shared" si="1"/>
        <v>Selalu bersyukur dan selalu berdoa sebelum melakukan kegiatan, memiliki toleran pada agama yang berbeda, ketaatan beribadah perlu ditingkatkan.</v>
      </c>
      <c r="J20" s="474" t="str">
        <f t="shared" si="0"/>
        <v>B</v>
      </c>
      <c r="K20" s="482" t="str">
        <f t="shared" si="2"/>
        <v>Memiliki sikap santun, disiplin, tanggung jawab yang baik, sikap kepedulian mulai meningkat.</v>
      </c>
    </row>
    <row r="21" spans="1:11">
      <c r="A21" s="474">
        <f>Biodata!A23</f>
        <v>15</v>
      </c>
      <c r="B21" s="478" t="str">
        <f>Biodata!B23</f>
        <v>181910128</v>
      </c>
      <c r="C21" s="479" t="str">
        <f>Biodata!C23</f>
        <v>FAIZAL EGI</v>
      </c>
      <c r="D21" s="474">
        <v>65</v>
      </c>
      <c r="E21" s="474" t="s">
        <v>19</v>
      </c>
      <c r="F21" s="474">
        <v>65</v>
      </c>
      <c r="G21" s="474" t="s">
        <v>18</v>
      </c>
      <c r="H21" s="474" t="s">
        <v>297</v>
      </c>
      <c r="I21" s="482" t="str">
        <f t="shared" si="1"/>
        <v>Selalu bersyukur dan selalu berdoa sebelum melakukan kegiatan, memiliki toleran pada agama yang berbeda, namun ketaatan beribadah perlu ditingkatkan lagi.</v>
      </c>
      <c r="J21" s="474" t="str">
        <f t="shared" si="0"/>
        <v>B</v>
      </c>
      <c r="K21" s="482" t="str">
        <f t="shared" si="2"/>
        <v>Memiliki sikap santun, disiplin, tanggung jawab yang baik, sikap kepedulian mulai meningkat.</v>
      </c>
    </row>
    <row r="22" spans="1:11">
      <c r="A22" s="474">
        <f>Biodata!A24</f>
        <v>16</v>
      </c>
      <c r="B22" s="478" t="str">
        <f>Biodata!B24</f>
        <v>181910133</v>
      </c>
      <c r="C22" s="479" t="str">
        <f>Biodata!C24</f>
        <v>FAUZI DHALFADLIL AZHANI</v>
      </c>
      <c r="D22" s="474">
        <v>70</v>
      </c>
      <c r="E22" s="474" t="s">
        <v>18</v>
      </c>
      <c r="F22" s="474">
        <v>71</v>
      </c>
      <c r="G22" s="474" t="s">
        <v>18</v>
      </c>
      <c r="H22" s="474" t="s">
        <v>18</v>
      </c>
      <c r="I22" s="482" t="str">
        <f t="shared" si="1"/>
        <v>Selalu bersyukur dan selalu berdoa sebelum melakukan kegiatan, memiliki toleran pada agama yang berbeda, ketaatan beribadah perlu ditingkatkan.</v>
      </c>
      <c r="J22" s="474" t="str">
        <f t="shared" si="0"/>
        <v>B</v>
      </c>
      <c r="K22" s="482" t="str">
        <f t="shared" si="2"/>
        <v>Memiliki sikap santun, disiplin, tanggung jawab yang baik, sikap kepedulian mulai meningkat.</v>
      </c>
    </row>
    <row r="23" spans="1:11">
      <c r="A23" s="474">
        <f>Biodata!A25</f>
        <v>17</v>
      </c>
      <c r="B23" s="478" t="str">
        <f>Biodata!B25</f>
        <v>181910161</v>
      </c>
      <c r="C23" s="479" t="str">
        <f>Biodata!C25</f>
        <v>HILMAN PUTRA PAMUNGKAS</v>
      </c>
      <c r="D23" s="474">
        <v>79</v>
      </c>
      <c r="E23" s="474" t="s">
        <v>6</v>
      </c>
      <c r="F23" s="474">
        <v>60</v>
      </c>
      <c r="G23" s="474" t="s">
        <v>19</v>
      </c>
      <c r="H23" s="474" t="s">
        <v>6</v>
      </c>
      <c r="I23" s="482" t="str">
        <f t="shared" si="1"/>
        <v>Selalu bersyukur dan selalu berdoa sebelum melakukan kegiatan, memiliki toleran pada agama yang berbeda, ketaatan beribadah mulai berkembang.</v>
      </c>
      <c r="J23" s="474" t="str">
        <f t="shared" si="0"/>
        <v>B</v>
      </c>
      <c r="K23" s="482" t="str">
        <f t="shared" si="2"/>
        <v>Memiliki sikap santun, disiplin, tanggung jawab yang baik, sikap kepedulian mulai meningkat.</v>
      </c>
    </row>
    <row r="24" spans="1:11">
      <c r="A24" s="474">
        <f>Biodata!A26</f>
        <v>18</v>
      </c>
      <c r="B24" s="478" t="str">
        <f>Biodata!B26</f>
        <v>181910165</v>
      </c>
      <c r="C24" s="479" t="str">
        <f>Biodata!C26</f>
        <v>IHSYA FADILLAH MUSLIM</v>
      </c>
      <c r="D24" s="474">
        <v>70</v>
      </c>
      <c r="E24" s="474" t="s">
        <v>18</v>
      </c>
      <c r="F24" s="474">
        <v>70</v>
      </c>
      <c r="G24" s="474" t="s">
        <v>18</v>
      </c>
      <c r="H24" s="474" t="s">
        <v>18</v>
      </c>
      <c r="I24" s="482" t="str">
        <f t="shared" si="1"/>
        <v>Selalu bersyukur dan selalu berdoa sebelum melakukan kegiatan, memiliki toleran pada agama yang berbeda, ketaatan beribadah perlu ditingkatkan.</v>
      </c>
      <c r="J24" s="474" t="str">
        <f t="shared" si="0"/>
        <v>B</v>
      </c>
      <c r="K24" s="482" t="str">
        <f t="shared" si="2"/>
        <v>Memiliki sikap santun, disiplin, tanggung jawab yang baik, sikap kepedulian mulai meningkat.</v>
      </c>
    </row>
    <row r="25" spans="1:11">
      <c r="A25" s="474">
        <f>Biodata!A27</f>
        <v>19</v>
      </c>
      <c r="B25" s="478" t="str">
        <f>Biodata!B27</f>
        <v>181910185</v>
      </c>
      <c r="C25" s="479" t="str">
        <f>Biodata!C27</f>
        <v>JIHAD AKBAR</v>
      </c>
      <c r="D25" s="474">
        <v>67</v>
      </c>
      <c r="E25" s="474" t="s">
        <v>19</v>
      </c>
      <c r="F25" s="474">
        <v>80</v>
      </c>
      <c r="G25" s="474" t="s">
        <v>6</v>
      </c>
      <c r="H25" s="474" t="s">
        <v>297</v>
      </c>
      <c r="I25" s="482" t="str">
        <f t="shared" si="1"/>
        <v>Selalu bersyukur dan selalu berdoa sebelum melakukan kegiatan, memiliki toleran pada agama yang berbeda, namun ketaatan beribadah perlu ditingkatkan lagi.</v>
      </c>
      <c r="J25" s="474" t="str">
        <f t="shared" si="0"/>
        <v>B</v>
      </c>
      <c r="K25" s="482" t="str">
        <f t="shared" si="2"/>
        <v>Memiliki sikap santun, disiplin, tanggung jawab yang baik, sikap kepedulian mulai meningkat.</v>
      </c>
    </row>
    <row r="26" spans="1:11">
      <c r="A26" s="474">
        <f>Biodata!A28</f>
        <v>20</v>
      </c>
      <c r="B26" s="478" t="str">
        <f>Biodata!B28</f>
        <v>181910226</v>
      </c>
      <c r="C26" s="479" t="str">
        <f>Biodata!C28</f>
        <v>MUHAMAD IZZAZUL FIKRIAN</v>
      </c>
      <c r="D26" s="474">
        <v>66</v>
      </c>
      <c r="E26" s="474" t="s">
        <v>19</v>
      </c>
      <c r="F26" s="474">
        <v>70</v>
      </c>
      <c r="G26" s="474" t="s">
        <v>18</v>
      </c>
      <c r="H26" s="474" t="s">
        <v>297</v>
      </c>
      <c r="I26" s="482" t="str">
        <f t="shared" si="1"/>
        <v>Selalu bersyukur dan selalu berdoa sebelum melakukan kegiatan, memiliki toleran pada agama yang berbeda, namun ketaatan beribadah perlu ditingkatkan lagi.</v>
      </c>
      <c r="J26" s="474" t="str">
        <f t="shared" si="0"/>
        <v>B</v>
      </c>
      <c r="K26" s="482" t="str">
        <f t="shared" si="2"/>
        <v>Memiliki sikap santun, disiplin, tanggung jawab yang baik, sikap kepedulian mulai meningkat.</v>
      </c>
    </row>
    <row r="27" spans="1:11">
      <c r="A27" s="474">
        <f>Biodata!A29</f>
        <v>21</v>
      </c>
      <c r="B27" s="478" t="str">
        <f>Biodata!B29</f>
        <v>181910240</v>
      </c>
      <c r="C27" s="479" t="str">
        <f>Biodata!C29</f>
        <v>NESHA RAUDHATUL ZANNAH</v>
      </c>
      <c r="D27" s="474">
        <v>80</v>
      </c>
      <c r="E27" s="474" t="s">
        <v>6</v>
      </c>
      <c r="F27" s="474">
        <v>68</v>
      </c>
      <c r="G27" s="474" t="s">
        <v>19</v>
      </c>
      <c r="H27" s="474" t="s">
        <v>6</v>
      </c>
      <c r="I27" s="482" t="str">
        <f t="shared" si="1"/>
        <v>Selalu bersyukur dan selalu berdoa sebelum melakukan kegiatan, memiliki toleran pada agama yang berbeda, ketaatan beribadah mulai berkembang.</v>
      </c>
      <c r="J27" s="474" t="str">
        <f t="shared" si="0"/>
        <v>B</v>
      </c>
      <c r="K27" s="482" t="str">
        <f t="shared" si="2"/>
        <v>Memiliki sikap santun, disiplin, tanggung jawab yang baik, sikap kepedulian mulai meningkat.</v>
      </c>
    </row>
    <row r="28" spans="1:11">
      <c r="A28" s="474">
        <f>Biodata!A30</f>
        <v>22</v>
      </c>
      <c r="B28" s="478" t="str">
        <f>Biodata!B30</f>
        <v>181910262</v>
      </c>
      <c r="C28" s="479" t="str">
        <f>Biodata!C30</f>
        <v>PUTRI ANGGRAENI</v>
      </c>
      <c r="D28" s="474">
        <v>72</v>
      </c>
      <c r="E28" s="474" t="s">
        <v>18</v>
      </c>
      <c r="F28" s="474">
        <v>66</v>
      </c>
      <c r="G28" s="474" t="s">
        <v>19</v>
      </c>
      <c r="H28" s="474" t="s">
        <v>18</v>
      </c>
      <c r="I28" s="482" t="str">
        <f t="shared" si="1"/>
        <v>Selalu bersyukur dan selalu berdoa sebelum melakukan kegiatan, memiliki toleran pada agama yang berbeda, ketaatan beribadah perlu ditingkatkan.</v>
      </c>
      <c r="J28" s="474" t="str">
        <f t="shared" si="0"/>
        <v>B</v>
      </c>
      <c r="K28" s="482" t="str">
        <f t="shared" si="2"/>
        <v>Memiliki sikap santun, disiplin, tanggung jawab yang baik, sikap kepedulian mulai meningkat.</v>
      </c>
    </row>
    <row r="29" spans="1:11">
      <c r="A29" s="474">
        <f>Biodata!A31</f>
        <v>23</v>
      </c>
      <c r="B29" s="478" t="str">
        <f>Biodata!B31</f>
        <v>181910266</v>
      </c>
      <c r="C29" s="479" t="str">
        <f>Biodata!C31</f>
        <v>PUTRI WULANDARI</v>
      </c>
      <c r="D29" s="474">
        <v>74</v>
      </c>
      <c r="E29" s="474" t="s">
        <v>18</v>
      </c>
      <c r="F29" s="474">
        <v>80</v>
      </c>
      <c r="G29" s="474" t="s">
        <v>6</v>
      </c>
      <c r="H29" s="474" t="s">
        <v>18</v>
      </c>
      <c r="I29" s="482" t="str">
        <f t="shared" si="1"/>
        <v>Selalu bersyukur dan selalu berdoa sebelum melakukan kegiatan, memiliki toleran pada agama yang berbeda, ketaatan beribadah perlu ditingkatkan.</v>
      </c>
      <c r="J29" s="474" t="str">
        <f t="shared" si="0"/>
        <v>B</v>
      </c>
      <c r="K29" s="482" t="str">
        <f t="shared" si="2"/>
        <v>Memiliki sikap santun, disiplin, tanggung jawab yang baik, sikap kepedulian mulai meningkat.</v>
      </c>
    </row>
    <row r="30" spans="1:11">
      <c r="A30" s="474">
        <f>Biodata!A32</f>
        <v>24</v>
      </c>
      <c r="B30" s="478" t="str">
        <f>Biodata!B32</f>
        <v>181910272</v>
      </c>
      <c r="C30" s="479" t="str">
        <f>Biodata!C32</f>
        <v>RAFLY GYMNASTIAR</v>
      </c>
      <c r="D30" s="474">
        <v>70</v>
      </c>
      <c r="E30" s="474" t="s">
        <v>18</v>
      </c>
      <c r="F30" s="474">
        <v>71</v>
      </c>
      <c r="G30" s="474" t="s">
        <v>18</v>
      </c>
      <c r="H30" s="474" t="s">
        <v>18</v>
      </c>
      <c r="I30" s="482" t="str">
        <f t="shared" si="1"/>
        <v>Selalu bersyukur dan selalu berdoa sebelum melakukan kegiatan, memiliki toleran pada agama yang berbeda, ketaatan beribadah perlu ditingkatkan.</v>
      </c>
      <c r="J30" s="474" t="str">
        <f t="shared" si="0"/>
        <v>B</v>
      </c>
      <c r="K30" s="482" t="str">
        <f t="shared" si="2"/>
        <v>Memiliki sikap santun, disiplin, tanggung jawab yang baik, sikap kepedulian mulai meningkat.</v>
      </c>
    </row>
    <row r="31" spans="1:11">
      <c r="A31" s="474">
        <f>Biodata!A33</f>
        <v>25</v>
      </c>
      <c r="B31" s="478" t="str">
        <f>Biodata!B33</f>
        <v>181910280</v>
      </c>
      <c r="C31" s="479" t="str">
        <f>Biodata!C33</f>
        <v>REFIANA</v>
      </c>
      <c r="D31" s="474">
        <v>70</v>
      </c>
      <c r="E31" s="474" t="s">
        <v>18</v>
      </c>
      <c r="F31" s="474">
        <v>73</v>
      </c>
      <c r="G31" s="474" t="s">
        <v>18</v>
      </c>
      <c r="H31" s="474" t="s">
        <v>18</v>
      </c>
      <c r="I31" s="482" t="str">
        <f t="shared" si="1"/>
        <v>Selalu bersyukur dan selalu berdoa sebelum melakukan kegiatan, memiliki toleran pada agama yang berbeda, ketaatan beribadah perlu ditingkatkan.</v>
      </c>
      <c r="J31" s="474" t="str">
        <f t="shared" si="0"/>
        <v>B</v>
      </c>
      <c r="K31" s="482" t="str">
        <f t="shared" si="2"/>
        <v>Memiliki sikap santun, disiplin, tanggung jawab yang baik, sikap kepedulian mulai meningkat.</v>
      </c>
    </row>
    <row r="32" spans="1:11">
      <c r="A32" s="474">
        <f>Biodata!A34</f>
        <v>26</v>
      </c>
      <c r="B32" s="478" t="str">
        <f>Biodata!B34</f>
        <v>181910285</v>
      </c>
      <c r="C32" s="479" t="str">
        <f>Biodata!C34</f>
        <v>RENALDI PRIYATAMA</v>
      </c>
      <c r="D32" s="474">
        <v>60</v>
      </c>
      <c r="E32" s="474" t="s">
        <v>19</v>
      </c>
      <c r="F32" s="474">
        <v>70</v>
      </c>
      <c r="G32" s="474" t="s">
        <v>18</v>
      </c>
      <c r="H32" s="474" t="s">
        <v>297</v>
      </c>
      <c r="I32" s="482" t="str">
        <f t="shared" si="1"/>
        <v>Selalu bersyukur dan selalu berdoa sebelum melakukan kegiatan, memiliki toleran pada agama yang berbeda, namun ketaatan beribadah perlu ditingkatkan lagi.</v>
      </c>
      <c r="J32" s="474" t="str">
        <f t="shared" si="0"/>
        <v>B</v>
      </c>
      <c r="K32" s="482" t="str">
        <f t="shared" si="2"/>
        <v>Memiliki sikap santun, disiplin, tanggung jawab yang baik, sikap kepedulian mulai meningkat.</v>
      </c>
    </row>
    <row r="33" spans="1:11">
      <c r="A33" s="474">
        <f>Biodata!A35</f>
        <v>27</v>
      </c>
      <c r="B33" s="478" t="str">
        <f>Biodata!B35</f>
        <v>181910286</v>
      </c>
      <c r="C33" s="479" t="str">
        <f>Biodata!C35</f>
        <v>RENATA</v>
      </c>
      <c r="D33" s="474">
        <v>80</v>
      </c>
      <c r="E33" s="474" t="s">
        <v>6</v>
      </c>
      <c r="F33" s="474">
        <v>60</v>
      </c>
      <c r="G33" s="474" t="s">
        <v>19</v>
      </c>
      <c r="H33" s="474" t="s">
        <v>6</v>
      </c>
      <c r="I33" s="482" t="str">
        <f t="shared" si="1"/>
        <v>Selalu bersyukur dan selalu berdoa sebelum melakukan kegiatan, memiliki toleran pada agama yang berbeda, ketaatan beribadah mulai berkembang.</v>
      </c>
      <c r="J33" s="474" t="str">
        <f t="shared" si="0"/>
        <v>B</v>
      </c>
      <c r="K33" s="482" t="str">
        <f t="shared" si="2"/>
        <v>Memiliki sikap santun, disiplin, tanggung jawab yang baik, sikap kepedulian mulai meningkat.</v>
      </c>
    </row>
    <row r="34" spans="1:11">
      <c r="A34" s="474">
        <f>Biodata!A36</f>
        <v>28</v>
      </c>
      <c r="B34" s="478" t="str">
        <f>Biodata!B36</f>
        <v>181910293</v>
      </c>
      <c r="C34" s="479" t="str">
        <f>Biodata!C36</f>
        <v xml:space="preserve">REZA ERNANDA </v>
      </c>
      <c r="D34" s="474">
        <v>80</v>
      </c>
      <c r="E34" s="474" t="s">
        <v>6</v>
      </c>
      <c r="F34" s="474">
        <v>80</v>
      </c>
      <c r="G34" s="474" t="s">
        <v>6</v>
      </c>
      <c r="H34" s="474" t="s">
        <v>6</v>
      </c>
      <c r="I34" s="482" t="str">
        <f t="shared" si="1"/>
        <v>Selalu bersyukur dan selalu berdoa sebelum melakukan kegiatan, memiliki toleran pada agama yang berbeda, ketaatan beribadah mulai berkembang.</v>
      </c>
      <c r="J34" s="474" t="str">
        <f t="shared" si="0"/>
        <v>B</v>
      </c>
      <c r="K34" s="482" t="str">
        <f t="shared" si="2"/>
        <v>Memiliki sikap santun, disiplin, tanggung jawab yang baik, sikap kepedulian mulai meningkat.</v>
      </c>
    </row>
    <row r="35" spans="1:11">
      <c r="A35" s="474">
        <f>Biodata!A37</f>
        <v>29</v>
      </c>
      <c r="B35" s="478" t="str">
        <f>Biodata!B37</f>
        <v>181910300</v>
      </c>
      <c r="C35" s="479" t="str">
        <f>Biodata!C37</f>
        <v>RIFAN MUHAMAD RIZKI</v>
      </c>
      <c r="D35" s="474">
        <v>0</v>
      </c>
      <c r="E35" s="474" t="str">
        <f t="shared" ref="E35:E46" si="3">IFERROR(VLOOKUP(B35&amp;"C",leggerx1,5,0),"")</f>
        <v>B</v>
      </c>
      <c r="F35" s="474">
        <v>0</v>
      </c>
      <c r="G35" s="474" t="str">
        <f t="shared" ref="G35:G46" si="4">IFERROR(VLOOKUP(B35&amp;"D",leggerx1,5,0),"")</f>
        <v>B</v>
      </c>
      <c r="H35" s="474" t="str">
        <f t="shared" ref="H35:H46" si="5">IFERROR(VLOOKUP(B35&amp;"A",leggerx1,20,0),"")</f>
        <v>C</v>
      </c>
      <c r="I35" s="482" t="str">
        <f t="shared" si="1"/>
        <v>Selalu bersyukur dan selalu berdoa sebelum melakukan kegiatan, memiliki toleran pada agama yang berbeda, ketaatan beribadah perlu ditingkatkan.</v>
      </c>
      <c r="J35" s="474" t="str">
        <f t="shared" si="0"/>
        <v>B</v>
      </c>
      <c r="K35" s="482" t="str">
        <f t="shared" si="2"/>
        <v>Memiliki sikap santun, disiplin, tanggung jawab yang baik, sikap kepedulian mulai meningkat.</v>
      </c>
    </row>
    <row r="36" spans="1:11">
      <c r="A36" s="474">
        <f>Biodata!A38</f>
        <v>30</v>
      </c>
      <c r="B36" s="478" t="str">
        <f>Biodata!B38</f>
        <v>181910318</v>
      </c>
      <c r="C36" s="479" t="str">
        <f>Biodata!C38</f>
        <v>RISMA SURYANI</v>
      </c>
      <c r="D36" s="474">
        <v>80</v>
      </c>
      <c r="E36" s="474" t="s">
        <v>6</v>
      </c>
      <c r="F36" s="474">
        <v>80</v>
      </c>
      <c r="G36" s="474" t="s">
        <v>6</v>
      </c>
      <c r="H36" s="474" t="s">
        <v>6</v>
      </c>
      <c r="I36" s="482" t="str">
        <f t="shared" si="1"/>
        <v>Selalu bersyukur dan selalu berdoa sebelum melakukan kegiatan, memiliki toleran pada agama yang berbeda, ketaatan beribadah mulai berkembang.</v>
      </c>
      <c r="J36" s="474" t="str">
        <f t="shared" si="0"/>
        <v>B</v>
      </c>
      <c r="K36" s="482" t="str">
        <f t="shared" si="2"/>
        <v>Memiliki sikap santun, disiplin, tanggung jawab yang baik, sikap kepedulian mulai meningkat.</v>
      </c>
    </row>
    <row r="37" spans="1:11">
      <c r="A37" s="474">
        <f>Biodata!A39</f>
        <v>31</v>
      </c>
      <c r="B37" s="478" t="str">
        <f>Biodata!B39</f>
        <v>181910320</v>
      </c>
      <c r="C37" s="479" t="str">
        <f>Biodata!C39</f>
        <v>RISNA TIRANI</v>
      </c>
      <c r="D37" s="474">
        <v>80</v>
      </c>
      <c r="E37" s="474" t="s">
        <v>6</v>
      </c>
      <c r="F37" s="474">
        <v>80</v>
      </c>
      <c r="G37" s="474" t="s">
        <v>6</v>
      </c>
      <c r="H37" s="474" t="s">
        <v>6</v>
      </c>
      <c r="I37" s="482" t="str">
        <f t="shared" si="1"/>
        <v>Selalu bersyukur dan selalu berdoa sebelum melakukan kegiatan, memiliki toleran pada agama yang berbeda, ketaatan beribadah mulai berkembang.</v>
      </c>
      <c r="J37" s="474" t="str">
        <f t="shared" si="0"/>
        <v>B</v>
      </c>
      <c r="K37" s="482" t="str">
        <f t="shared" si="2"/>
        <v>Memiliki sikap santun, disiplin, tanggung jawab yang baik, sikap kepedulian mulai meningkat.</v>
      </c>
    </row>
    <row r="38" spans="1:11">
      <c r="A38" s="474">
        <f>Biodata!A40</f>
        <v>32</v>
      </c>
      <c r="B38" s="478" t="str">
        <f>Biodata!B40</f>
        <v>181910331</v>
      </c>
      <c r="C38" s="479" t="str">
        <f>Biodata!C40</f>
        <v>RULLY PRATAMA S.</v>
      </c>
      <c r="D38" s="474">
        <v>78</v>
      </c>
      <c r="E38" s="474" t="s">
        <v>6</v>
      </c>
      <c r="F38" s="474">
        <v>80</v>
      </c>
      <c r="G38" s="474" t="s">
        <v>6</v>
      </c>
      <c r="H38" s="474" t="s">
        <v>6</v>
      </c>
      <c r="I38" s="482" t="str">
        <f t="shared" si="1"/>
        <v>Selalu bersyukur dan selalu berdoa sebelum melakukan kegiatan, memiliki toleran pada agama yang berbeda, ketaatan beribadah mulai berkembang.</v>
      </c>
      <c r="J38" s="474" t="str">
        <f t="shared" si="0"/>
        <v>B</v>
      </c>
      <c r="K38" s="482" t="str">
        <f t="shared" si="2"/>
        <v>Memiliki sikap santun, disiplin, tanggung jawab yang baik, sikap kepedulian mulai meningkat.</v>
      </c>
    </row>
    <row r="39" spans="1:11">
      <c r="A39" s="474">
        <f>Biodata!A41</f>
        <v>33</v>
      </c>
      <c r="B39" s="478" t="str">
        <f>Biodata!B41</f>
        <v>181910335</v>
      </c>
      <c r="C39" s="479" t="str">
        <f>Biodata!C41</f>
        <v>SALSA ASYKIYA</v>
      </c>
      <c r="D39" s="474">
        <v>84</v>
      </c>
      <c r="E39" s="474" t="s">
        <v>6</v>
      </c>
      <c r="F39" s="474">
        <v>80</v>
      </c>
      <c r="G39" s="474" t="s">
        <v>6</v>
      </c>
      <c r="H39" s="474" t="s">
        <v>6</v>
      </c>
      <c r="I39" s="482" t="str">
        <f t="shared" si="1"/>
        <v>Selalu bersyukur dan selalu berdoa sebelum melakukan kegiatan, memiliki toleran pada agama yang berbeda, ketaatan beribadah mulai berkembang.</v>
      </c>
      <c r="J39" s="474" t="str">
        <f t="shared" si="0"/>
        <v>SB</v>
      </c>
      <c r="K39" s="482" t="str">
        <f t="shared" si="2"/>
        <v>Memiliki sikap santun, disiplin, dan tanggung jawab cukup baik, namun sikap kepedulian perlu ditingkatkan.</v>
      </c>
    </row>
    <row r="40" spans="1:11">
      <c r="A40" s="474">
        <f>Biodata!A42</f>
        <v>34</v>
      </c>
      <c r="B40" s="478" t="str">
        <f>Biodata!B42</f>
        <v>181910353</v>
      </c>
      <c r="C40" s="479" t="str">
        <f>Biodata!C42</f>
        <v>SILFI HAMIDAH</v>
      </c>
      <c r="D40" s="474">
        <v>78</v>
      </c>
      <c r="E40" s="474" t="s">
        <v>6</v>
      </c>
      <c r="F40" s="474">
        <v>80</v>
      </c>
      <c r="G40" s="474" t="s">
        <v>6</v>
      </c>
      <c r="H40" s="474" t="s">
        <v>18</v>
      </c>
      <c r="I40" s="482" t="str">
        <f t="shared" si="1"/>
        <v>Selalu bersyukur dan selalu berdoa sebelum melakukan kegiatan, memiliki toleran pada agama yang berbeda, ketaatan beribadah perlu ditingkatkan.</v>
      </c>
      <c r="J40" s="474" t="str">
        <f t="shared" si="0"/>
        <v>B</v>
      </c>
      <c r="K40" s="482" t="str">
        <f t="shared" si="2"/>
        <v>Memiliki sikap santun, disiplin, tanggung jawab yang baik, sikap kepedulian mulai meningkat.</v>
      </c>
    </row>
    <row r="41" spans="1:11">
      <c r="A41" s="474">
        <f>Biodata!A43</f>
        <v>35</v>
      </c>
      <c r="B41" s="478" t="str">
        <f>Biodata!B43</f>
        <v>181910408</v>
      </c>
      <c r="C41" s="479" t="str">
        <f>Biodata!C43</f>
        <v>YESHA RAHAYU</v>
      </c>
      <c r="D41" s="474">
        <v>73</v>
      </c>
      <c r="E41" s="474" t="s">
        <v>18</v>
      </c>
      <c r="F41" s="474">
        <v>71</v>
      </c>
      <c r="G41" s="474" t="s">
        <v>18</v>
      </c>
      <c r="H41" s="474" t="s">
        <v>18</v>
      </c>
      <c r="I41" s="482" t="str">
        <f t="shared" si="1"/>
        <v>Selalu bersyukur dan selalu berdoa sebelum melakukan kegiatan, memiliki toleran pada agama yang berbeda, ketaatan beribadah perlu ditingkatkan.</v>
      </c>
      <c r="J41" s="474" t="str">
        <f t="shared" si="0"/>
        <v>B</v>
      </c>
      <c r="K41" s="482" t="str">
        <f t="shared" si="2"/>
        <v>Memiliki sikap santun, disiplin, tanggung jawab yang baik, sikap kepedulian mulai meningkat.</v>
      </c>
    </row>
    <row r="42" spans="1:11">
      <c r="A42" s="474">
        <f>Biodata!A44</f>
        <v>36</v>
      </c>
      <c r="B42" s="478" t="str">
        <f>Biodata!B44</f>
        <v>181910433</v>
      </c>
      <c r="C42" s="479" t="str">
        <f>Biodata!C44</f>
        <v>MUHAMAD RIZAL</v>
      </c>
      <c r="D42" s="474">
        <v>71</v>
      </c>
      <c r="E42" s="474" t="s">
        <v>18</v>
      </c>
      <c r="F42" s="474">
        <v>70</v>
      </c>
      <c r="G42" s="474" t="s">
        <v>18</v>
      </c>
      <c r="H42" s="474" t="s">
        <v>18</v>
      </c>
      <c r="I42" s="482" t="str">
        <f t="shared" si="1"/>
        <v>Selalu bersyukur dan selalu berdoa sebelum melakukan kegiatan, memiliki toleran pada agama yang berbeda, ketaatan beribadah perlu ditingkatkan.</v>
      </c>
      <c r="J42" s="474" t="str">
        <f t="shared" si="0"/>
        <v>B</v>
      </c>
      <c r="K42" s="482" t="str">
        <f t="shared" si="2"/>
        <v>Memiliki sikap santun, disiplin, tanggung jawab yang baik, sikap kepedulian mulai meningkat.</v>
      </c>
    </row>
    <row r="43" spans="1:11">
      <c r="A43" s="474">
        <f>Biodata!A45</f>
        <v>37</v>
      </c>
      <c r="B43" s="478" t="str">
        <f>Biodata!B45</f>
        <v>037</v>
      </c>
      <c r="C43" s="479" t="str">
        <f>Biodata!C45</f>
        <v>A37</v>
      </c>
      <c r="E43" s="474" t="str">
        <f t="shared" si="3"/>
        <v/>
      </c>
      <c r="G43" s="474" t="str">
        <f t="shared" si="4"/>
        <v/>
      </c>
      <c r="H43" s="474" t="str">
        <f t="shared" si="5"/>
        <v>-</v>
      </c>
      <c r="I43" s="482" t="str">
        <f t="shared" si="1"/>
        <v>-</v>
      </c>
      <c r="J43" s="474" t="str">
        <f t="shared" si="0"/>
        <v>-</v>
      </c>
      <c r="K43" s="482" t="str">
        <f t="shared" si="2"/>
        <v>-</v>
      </c>
    </row>
    <row r="44" spans="1:11">
      <c r="A44" s="474">
        <f>Biodata!A46</f>
        <v>38</v>
      </c>
      <c r="B44" s="478" t="str">
        <f>Biodata!B46</f>
        <v>038</v>
      </c>
      <c r="C44" s="479" t="str">
        <f>Biodata!C46</f>
        <v>A38</v>
      </c>
      <c r="E44" s="474" t="str">
        <f t="shared" si="3"/>
        <v/>
      </c>
      <c r="F44" s="474">
        <f t="shared" ref="F44:F46" si="6">IFERROR(VLOOKUP(B44&amp;"B",leggerx1,5,0),"")</f>
        <v>0</v>
      </c>
      <c r="G44" s="474" t="str">
        <f t="shared" si="4"/>
        <v/>
      </c>
      <c r="H44" s="474" t="str">
        <f t="shared" si="5"/>
        <v>-</v>
      </c>
      <c r="I44" s="482" t="str">
        <f t="shared" si="1"/>
        <v>-</v>
      </c>
      <c r="J44" s="474" t="str">
        <f t="shared" si="0"/>
        <v>-</v>
      </c>
      <c r="K44" s="482" t="str">
        <f t="shared" si="2"/>
        <v>-</v>
      </c>
    </row>
    <row r="45" spans="1:11">
      <c r="A45" s="474">
        <f>Biodata!A47</f>
        <v>39</v>
      </c>
      <c r="B45" s="478" t="str">
        <f>Biodata!B47</f>
        <v>039</v>
      </c>
      <c r="C45" s="479" t="str">
        <f>Biodata!C47</f>
        <v>A39</v>
      </c>
      <c r="D45" s="474">
        <f t="shared" ref="D45:D46" si="7">IFERROR(VLOOKUP(B45&amp;"A",leggerx1,5,0),"")</f>
        <v>0</v>
      </c>
      <c r="E45" s="474" t="str">
        <f t="shared" si="3"/>
        <v/>
      </c>
      <c r="F45" s="474">
        <f t="shared" si="6"/>
        <v>0</v>
      </c>
      <c r="G45" s="474" t="str">
        <f t="shared" si="4"/>
        <v/>
      </c>
      <c r="H45" s="474" t="str">
        <f t="shared" si="5"/>
        <v>-</v>
      </c>
      <c r="I45" s="482" t="str">
        <f t="shared" si="1"/>
        <v>-</v>
      </c>
      <c r="J45" s="474" t="str">
        <f t="shared" si="0"/>
        <v>-</v>
      </c>
      <c r="K45" s="482" t="str">
        <f t="shared" si="2"/>
        <v>-</v>
      </c>
    </row>
    <row r="46" spans="1:11">
      <c r="A46" s="474">
        <f>Biodata!A48</f>
        <v>40</v>
      </c>
      <c r="B46" s="478" t="str">
        <f>Biodata!B48</f>
        <v>040</v>
      </c>
      <c r="C46" s="479" t="str">
        <f>Biodata!C48</f>
        <v>A40</v>
      </c>
      <c r="D46" s="474">
        <f t="shared" si="7"/>
        <v>0</v>
      </c>
      <c r="E46" s="474" t="str">
        <f t="shared" si="3"/>
        <v/>
      </c>
      <c r="F46" s="474">
        <f t="shared" si="6"/>
        <v>0</v>
      </c>
      <c r="G46" s="474" t="str">
        <f t="shared" si="4"/>
        <v/>
      </c>
      <c r="H46" s="474" t="str">
        <f t="shared" si="5"/>
        <v>B</v>
      </c>
      <c r="I46" s="482" t="str">
        <f t="shared" si="1"/>
        <v>Selalu bersyukur dan selalu berdoa sebelum melakukan kegiatan, memiliki toleran pada agama yang berbeda, ketaatan beribadah mulai berkembang.</v>
      </c>
      <c r="J46" s="474" t="str">
        <f t="shared" si="0"/>
        <v>SB</v>
      </c>
      <c r="K46" s="482" t="str">
        <f t="shared" si="2"/>
        <v>Memiliki sikap santun, disiplin, dan tanggung jawab cukup baik, namun sikap kepedulian perlu ditingkatkan.</v>
      </c>
    </row>
    <row r="47" spans="1:11">
      <c r="C47" s="483"/>
    </row>
    <row r="48" spans="1:11">
      <c r="C48" s="483"/>
    </row>
    <row r="49" spans="3:3" s="475" customFormat="1" ht="11.25">
      <c r="C49" s="483"/>
    </row>
    <row r="50" spans="3:3" s="475" customFormat="1" ht="11.25">
      <c r="C50" s="48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0"/>
  <sheetViews>
    <sheetView topLeftCell="A6" workbookViewId="0">
      <selection activeCell="G6" sqref="G6"/>
    </sheetView>
  </sheetViews>
  <sheetFormatPr defaultColWidth="9" defaultRowHeight="12.75"/>
  <cols>
    <col min="1" max="1" width="3.7109375" style="474" customWidth="1"/>
    <col min="2" max="2" width="7.140625" style="474" customWidth="1"/>
    <col min="3" max="3" width="21.7109375" style="475" customWidth="1"/>
    <col min="4" max="4" width="11.85546875" style="474" customWidth="1"/>
    <col min="5" max="5" width="8" style="474" customWidth="1"/>
    <col min="6" max="6" width="12" style="474" customWidth="1"/>
    <col min="7" max="7" width="8" style="474" customWidth="1"/>
    <col min="8" max="256" width="9.140625" style="475" customWidth="1"/>
  </cols>
  <sheetData>
    <row r="1" spans="1:7">
      <c r="C1" s="476" t="s">
        <v>329</v>
      </c>
      <c r="D1" s="477" t="str">
        <f>Biodata!C4</f>
        <v xml:space="preserve"> X / IPS_5</v>
      </c>
    </row>
    <row r="2" spans="1:7">
      <c r="C2" s="476" t="s">
        <v>330</v>
      </c>
      <c r="D2" s="477" t="str">
        <f>Biodata!C5</f>
        <v>1 / Ganjil</v>
      </c>
    </row>
    <row r="3" spans="1:7">
      <c r="D3" s="477"/>
    </row>
    <row r="4" spans="1:7">
      <c r="C4" s="476" t="s">
        <v>331</v>
      </c>
      <c r="D4" s="477" t="str">
        <f>LEGER!I6</f>
        <v>Matematika</v>
      </c>
    </row>
    <row r="5" spans="1:7">
      <c r="C5" s="476" t="s">
        <v>332</v>
      </c>
      <c r="D5" s="477">
        <f>RAPORT!C84</f>
        <v>70</v>
      </c>
    </row>
    <row r="6" spans="1:7">
      <c r="A6" s="474" t="s">
        <v>325</v>
      </c>
      <c r="B6" s="474" t="s">
        <v>10</v>
      </c>
      <c r="C6" s="475" t="s">
        <v>324</v>
      </c>
      <c r="D6" s="474" t="s">
        <v>75</v>
      </c>
      <c r="E6" s="474" t="s">
        <v>71</v>
      </c>
      <c r="F6" s="474" t="s">
        <v>147</v>
      </c>
      <c r="G6" s="474" t="s">
        <v>71</v>
      </c>
    </row>
    <row r="7" spans="1:7">
      <c r="A7" s="474">
        <f>Biodata!A9</f>
        <v>1</v>
      </c>
      <c r="B7" s="478" t="str">
        <f>Biodata!B9</f>
        <v>181910008</v>
      </c>
      <c r="C7" s="479" t="str">
        <f>Biodata!C9</f>
        <v>ADITA TRI KURNIA PUTRI</v>
      </c>
      <c r="D7" s="474">
        <v>77</v>
      </c>
      <c r="E7" s="474" t="s">
        <v>6</v>
      </c>
      <c r="F7" s="474">
        <v>75</v>
      </c>
      <c r="G7" s="474" t="s">
        <v>18</v>
      </c>
    </row>
    <row r="8" spans="1:7">
      <c r="A8" s="474">
        <f>Biodata!A10</f>
        <v>2</v>
      </c>
      <c r="B8" s="478" t="str">
        <f>Biodata!B10</f>
        <v>181910011</v>
      </c>
      <c r="C8" s="479" t="str">
        <f>Biodata!C10</f>
        <v xml:space="preserve">ADNES KOMALA DEWI </v>
      </c>
      <c r="D8" s="474">
        <v>66</v>
      </c>
      <c r="E8" s="474" t="s">
        <v>19</v>
      </c>
      <c r="F8" s="474">
        <v>70</v>
      </c>
      <c r="G8" s="474" t="s">
        <v>18</v>
      </c>
    </row>
    <row r="9" spans="1:7">
      <c r="A9" s="474">
        <f>Biodata!A11</f>
        <v>3</v>
      </c>
      <c r="B9" s="478" t="str">
        <f>Biodata!B11</f>
        <v>181910014</v>
      </c>
      <c r="C9" s="479" t="str">
        <f>Biodata!C11</f>
        <v>AGUNG BUDI PRASTAWA</v>
      </c>
      <c r="D9" s="474">
        <v>56</v>
      </c>
      <c r="E9" s="474" t="s">
        <v>429</v>
      </c>
      <c r="F9" s="474">
        <v>50</v>
      </c>
      <c r="G9" s="474" t="s">
        <v>429</v>
      </c>
    </row>
    <row r="10" spans="1:7">
      <c r="A10" s="474">
        <f>Biodata!A12</f>
        <v>4</v>
      </c>
      <c r="B10" s="478" t="str">
        <f>Biodata!B12</f>
        <v>181910021</v>
      </c>
      <c r="C10" s="479" t="str">
        <f>Biodata!C12</f>
        <v>AISYAH</v>
      </c>
      <c r="D10" s="474">
        <v>68</v>
      </c>
      <c r="E10" s="474" t="s">
        <v>429</v>
      </c>
      <c r="F10" s="474">
        <v>72</v>
      </c>
      <c r="G10" s="474" t="s">
        <v>18</v>
      </c>
    </row>
    <row r="11" spans="1:7">
      <c r="A11" s="474">
        <f>Biodata!A13</f>
        <v>5</v>
      </c>
      <c r="B11" s="478" t="str">
        <f>Biodata!B13</f>
        <v>181910045</v>
      </c>
      <c r="C11" s="479" t="str">
        <f>Biodata!C13</f>
        <v>ARYA DYTA WIGUNA</v>
      </c>
      <c r="D11" s="474">
        <v>79</v>
      </c>
      <c r="E11" s="474" t="s">
        <v>6</v>
      </c>
      <c r="F11" s="474">
        <v>80</v>
      </c>
      <c r="G11" s="474" t="s">
        <v>6</v>
      </c>
    </row>
    <row r="12" spans="1:7">
      <c r="A12" s="474">
        <f>Biodata!A14</f>
        <v>6</v>
      </c>
      <c r="B12" s="478" t="str">
        <f>Biodata!B14</f>
        <v>181910054</v>
      </c>
      <c r="C12" s="479" t="str">
        <f>Biodata!C14</f>
        <v>AZRIEL TAMA SANTIAJI</v>
      </c>
      <c r="D12" s="474">
        <v>34</v>
      </c>
      <c r="E12" s="474" t="s">
        <v>429</v>
      </c>
      <c r="F12" s="474">
        <v>56</v>
      </c>
      <c r="G12" s="474" t="s">
        <v>429</v>
      </c>
    </row>
    <row r="13" spans="1:7">
      <c r="A13" s="474">
        <f>Biodata!A15</f>
        <v>7</v>
      </c>
      <c r="B13" s="478" t="str">
        <f>Biodata!B15</f>
        <v>181910055</v>
      </c>
      <c r="C13" s="479" t="str">
        <f>Biodata!C15</f>
        <v>AZZUHRI HAUDI</v>
      </c>
      <c r="D13" s="474">
        <v>62</v>
      </c>
      <c r="E13" s="474" t="s">
        <v>19</v>
      </c>
      <c r="F13" s="474">
        <v>65</v>
      </c>
      <c r="G13" s="474" t="s">
        <v>19</v>
      </c>
    </row>
    <row r="14" spans="1:7">
      <c r="A14" s="474">
        <f>Biodata!A16</f>
        <v>8</v>
      </c>
      <c r="B14" s="478" t="str">
        <f>Biodata!B16</f>
        <v>181910056</v>
      </c>
      <c r="C14" s="479" t="str">
        <f>Biodata!C16</f>
        <v>BAYU BATARA SURYA PUTRA</v>
      </c>
      <c r="D14" s="474">
        <v>69</v>
      </c>
      <c r="E14" s="474" t="s">
        <v>19</v>
      </c>
      <c r="F14" s="474">
        <v>65</v>
      </c>
      <c r="G14" s="474" t="s">
        <v>19</v>
      </c>
    </row>
    <row r="15" spans="1:7">
      <c r="A15" s="474">
        <f>Biodata!A17</f>
        <v>9</v>
      </c>
      <c r="B15" s="478" t="str">
        <f>Biodata!B17</f>
        <v>181910069</v>
      </c>
      <c r="C15" s="479" t="str">
        <f>Biodata!C17</f>
        <v>DANDY ERVAN PRATAMA</v>
      </c>
      <c r="D15" s="474">
        <v>38</v>
      </c>
      <c r="E15" s="474" t="s">
        <v>429</v>
      </c>
      <c r="F15" s="474">
        <v>45</v>
      </c>
      <c r="G15" s="474" t="s">
        <v>429</v>
      </c>
    </row>
    <row r="16" spans="1:7">
      <c r="A16" s="474">
        <f>Biodata!A18</f>
        <v>10</v>
      </c>
      <c r="B16" s="478" t="str">
        <f>Biodata!B18</f>
        <v>181910085</v>
      </c>
      <c r="C16" s="479" t="str">
        <f>Biodata!C18</f>
        <v>DENISA ASTI RAHMAWATI</v>
      </c>
      <c r="D16" s="474">
        <v>73</v>
      </c>
      <c r="E16" s="474" t="s">
        <v>18</v>
      </c>
      <c r="F16" s="474">
        <v>74</v>
      </c>
      <c r="G16" s="474" t="s">
        <v>18</v>
      </c>
    </row>
    <row r="17" spans="1:7">
      <c r="A17" s="474">
        <f>Biodata!A19</f>
        <v>11</v>
      </c>
      <c r="B17" s="478" t="str">
        <f>Biodata!B19</f>
        <v>181910093</v>
      </c>
      <c r="C17" s="479" t="str">
        <f>Biodata!C19</f>
        <v>DIAN RAMDHAN SAPTIAN</v>
      </c>
      <c r="D17" s="474">
        <v>58</v>
      </c>
      <c r="E17" s="474" t="s">
        <v>429</v>
      </c>
      <c r="F17" s="474">
        <v>67</v>
      </c>
      <c r="G17" s="474" t="s">
        <v>18</v>
      </c>
    </row>
    <row r="18" spans="1:7">
      <c r="A18" s="474">
        <f>Biodata!A20</f>
        <v>12</v>
      </c>
      <c r="B18" s="478" t="str">
        <f>Biodata!B20</f>
        <v>181910103</v>
      </c>
      <c r="C18" s="479" t="str">
        <f>Biodata!C20</f>
        <v>DIVYA ADHIANI NURDIN</v>
      </c>
      <c r="D18" s="474">
        <v>74</v>
      </c>
      <c r="E18" s="474" t="s">
        <v>18</v>
      </c>
      <c r="F18" s="474">
        <v>73</v>
      </c>
      <c r="G18" s="474" t="s">
        <v>19</v>
      </c>
    </row>
    <row r="19" spans="1:7">
      <c r="A19" s="474">
        <f>Biodata!A21</f>
        <v>13</v>
      </c>
      <c r="B19" s="478" t="str">
        <f>Biodata!B21</f>
        <v>181910104</v>
      </c>
      <c r="C19" s="479" t="str">
        <f>Biodata!C21</f>
        <v>DWIKI DERMAWAN</v>
      </c>
      <c r="D19" s="474">
        <v>54</v>
      </c>
      <c r="E19" s="474" t="s">
        <v>429</v>
      </c>
      <c r="F19" s="474">
        <v>56</v>
      </c>
      <c r="G19" s="474" t="s">
        <v>18</v>
      </c>
    </row>
    <row r="20" spans="1:7">
      <c r="A20" s="474">
        <f>Biodata!A22</f>
        <v>14</v>
      </c>
      <c r="B20" s="478" t="str">
        <f>Biodata!B22</f>
        <v>181910118</v>
      </c>
      <c r="C20" s="479" t="str">
        <f>Biodata!C22</f>
        <v>ENCEP CANDRA</v>
      </c>
      <c r="D20" s="474">
        <v>77</v>
      </c>
      <c r="E20" s="474" t="s">
        <v>6</v>
      </c>
      <c r="F20" s="474">
        <v>75</v>
      </c>
      <c r="G20" s="474" t="s">
        <v>19</v>
      </c>
    </row>
    <row r="21" spans="1:7">
      <c r="A21" s="474">
        <f>Biodata!A23</f>
        <v>15</v>
      </c>
      <c r="B21" s="478" t="str">
        <f>Biodata!B23</f>
        <v>181910128</v>
      </c>
      <c r="C21" s="479" t="str">
        <f>Biodata!C23</f>
        <v>FAIZAL EGI</v>
      </c>
      <c r="D21" s="474">
        <v>37</v>
      </c>
      <c r="E21" s="474" t="s">
        <v>429</v>
      </c>
      <c r="F21" s="474">
        <v>45</v>
      </c>
      <c r="G21" s="474" t="s">
        <v>18</v>
      </c>
    </row>
    <row r="22" spans="1:7">
      <c r="A22" s="474">
        <f>Biodata!A24</f>
        <v>16</v>
      </c>
      <c r="B22" s="478" t="str">
        <f>Biodata!B24</f>
        <v>181910133</v>
      </c>
      <c r="C22" s="479" t="str">
        <f>Biodata!C24</f>
        <v>FAUZI DHALFADLIL AZHANI</v>
      </c>
      <c r="D22" s="474">
        <v>54</v>
      </c>
      <c r="E22" s="474" t="s">
        <v>429</v>
      </c>
      <c r="F22" s="474">
        <v>56</v>
      </c>
      <c r="G22" s="474" t="s">
        <v>18</v>
      </c>
    </row>
    <row r="23" spans="1:7">
      <c r="A23" s="474">
        <f>Biodata!A25</f>
        <v>17</v>
      </c>
      <c r="B23" s="478" t="str">
        <f>Biodata!B25</f>
        <v>181910161</v>
      </c>
      <c r="C23" s="479" t="str">
        <f>Biodata!C25</f>
        <v>HILMAN PUTRA PAMUNGKAS</v>
      </c>
      <c r="D23" s="474">
        <v>78</v>
      </c>
      <c r="E23" s="474" t="s">
        <v>6</v>
      </c>
      <c r="F23" s="474">
        <v>79</v>
      </c>
      <c r="G23" s="474" t="s">
        <v>6</v>
      </c>
    </row>
    <row r="24" spans="1:7">
      <c r="A24" s="474">
        <f>Biodata!A26</f>
        <v>18</v>
      </c>
      <c r="B24" s="478" t="str">
        <f>Biodata!B26</f>
        <v>181910165</v>
      </c>
      <c r="C24" s="479" t="str">
        <f>Biodata!C26</f>
        <v>IHSYA FADILLAH MUSLIM</v>
      </c>
      <c r="D24" s="474">
        <v>73</v>
      </c>
      <c r="E24" s="474" t="s">
        <v>18</v>
      </c>
      <c r="F24" s="474">
        <v>70</v>
      </c>
      <c r="G24" s="474" t="s">
        <v>18</v>
      </c>
    </row>
    <row r="25" spans="1:7">
      <c r="A25" s="474">
        <f>Biodata!A27</f>
        <v>19</v>
      </c>
      <c r="B25" s="478" t="str">
        <f>Biodata!B27</f>
        <v>181910185</v>
      </c>
      <c r="C25" s="479" t="str">
        <f>Biodata!C27</f>
        <v>JIHAD AKBAR</v>
      </c>
      <c r="D25" s="474">
        <v>48</v>
      </c>
      <c r="E25" s="474" t="s">
        <v>429</v>
      </c>
      <c r="F25" s="474">
        <v>45</v>
      </c>
      <c r="G25" s="474" t="s">
        <v>429</v>
      </c>
    </row>
    <row r="26" spans="1:7">
      <c r="A26" s="474">
        <f>Biodata!A28</f>
        <v>20</v>
      </c>
      <c r="B26" s="478" t="str">
        <f>Biodata!B28</f>
        <v>181910226</v>
      </c>
      <c r="C26" s="479" t="str">
        <f>Biodata!C28</f>
        <v>MUHAMAD IZZAZUL FIKRIAN</v>
      </c>
      <c r="D26" s="474">
        <v>65</v>
      </c>
      <c r="E26" s="474" t="s">
        <v>19</v>
      </c>
      <c r="F26" s="474">
        <v>65</v>
      </c>
      <c r="G26" s="474" t="s">
        <v>19</v>
      </c>
    </row>
    <row r="27" spans="1:7">
      <c r="A27" s="474">
        <f>Biodata!A29</f>
        <v>21</v>
      </c>
      <c r="B27" s="478" t="str">
        <f>Biodata!B29</f>
        <v>181910240</v>
      </c>
      <c r="C27" s="479" t="str">
        <f>Biodata!C29</f>
        <v>NESHA RAUDHATUL ZANNAH</v>
      </c>
      <c r="D27" s="474">
        <v>77</v>
      </c>
      <c r="E27" s="474" t="s">
        <v>6</v>
      </c>
      <c r="F27" s="474">
        <v>74</v>
      </c>
      <c r="G27" s="474" t="s">
        <v>18</v>
      </c>
    </row>
    <row r="28" spans="1:7">
      <c r="A28" s="474">
        <f>Biodata!A30</f>
        <v>22</v>
      </c>
      <c r="B28" s="478" t="str">
        <f>Biodata!B30</f>
        <v>181910262</v>
      </c>
      <c r="C28" s="479" t="str">
        <f>Biodata!C30</f>
        <v>PUTRI ANGGRAENI</v>
      </c>
      <c r="D28" s="474">
        <v>72</v>
      </c>
      <c r="E28" s="474" t="s">
        <v>6</v>
      </c>
      <c r="F28" s="474">
        <v>71</v>
      </c>
      <c r="G28" s="474" t="s">
        <v>18</v>
      </c>
    </row>
    <row r="29" spans="1:7">
      <c r="A29" s="474">
        <f>Biodata!A31</f>
        <v>23</v>
      </c>
      <c r="B29" s="478" t="str">
        <f>Biodata!B31</f>
        <v>181910266</v>
      </c>
      <c r="C29" s="479" t="str">
        <f>Biodata!C31</f>
        <v>PUTRI WULANDARI</v>
      </c>
      <c r="D29" s="474">
        <v>76</v>
      </c>
      <c r="E29" s="474" t="s">
        <v>6</v>
      </c>
      <c r="F29" s="474">
        <v>70</v>
      </c>
      <c r="G29" s="474" t="s">
        <v>18</v>
      </c>
    </row>
    <row r="30" spans="1:7">
      <c r="A30" s="474">
        <f>Biodata!A32</f>
        <v>24</v>
      </c>
      <c r="B30" s="478" t="str">
        <f>Biodata!B32</f>
        <v>181910272</v>
      </c>
      <c r="C30" s="479" t="str">
        <f>Biodata!C32</f>
        <v>RAFLY GYMNASTIAR</v>
      </c>
      <c r="D30" s="474">
        <v>42</v>
      </c>
      <c r="E30" s="474" t="s">
        <v>429</v>
      </c>
      <c r="F30" s="474">
        <v>45</v>
      </c>
      <c r="G30" s="474" t="s">
        <v>19</v>
      </c>
    </row>
    <row r="31" spans="1:7">
      <c r="A31" s="474">
        <f>Biodata!A33</f>
        <v>25</v>
      </c>
      <c r="B31" s="478" t="str">
        <f>Biodata!B33</f>
        <v>181910280</v>
      </c>
      <c r="C31" s="479" t="str">
        <f>Biodata!C33</f>
        <v>REFIANA</v>
      </c>
      <c r="D31" s="474">
        <v>71</v>
      </c>
      <c r="E31" s="474" t="s">
        <v>6</v>
      </c>
      <c r="F31" s="474">
        <v>75</v>
      </c>
      <c r="G31" s="474" t="s">
        <v>18</v>
      </c>
    </row>
    <row r="32" spans="1:7">
      <c r="A32" s="474">
        <f>Biodata!A34</f>
        <v>26</v>
      </c>
      <c r="B32" s="478" t="str">
        <f>Biodata!B34</f>
        <v>181910285</v>
      </c>
      <c r="C32" s="479" t="str">
        <f>Biodata!C34</f>
        <v>RENALDI PRIYATAMA</v>
      </c>
      <c r="D32" s="474">
        <v>36</v>
      </c>
      <c r="E32" s="474" t="s">
        <v>429</v>
      </c>
      <c r="F32" s="474">
        <v>45</v>
      </c>
      <c r="G32" s="474" t="s">
        <v>429</v>
      </c>
    </row>
    <row r="33" spans="1:7">
      <c r="A33" s="474">
        <f>Biodata!A35</f>
        <v>27</v>
      </c>
      <c r="B33" s="478" t="str">
        <f>Biodata!B35</f>
        <v>181910286</v>
      </c>
      <c r="C33" s="479" t="str">
        <f>Biodata!C35</f>
        <v>RENATA</v>
      </c>
      <c r="D33" s="474">
        <v>77</v>
      </c>
      <c r="E33" s="474" t="s">
        <v>6</v>
      </c>
      <c r="F33" s="474">
        <v>78</v>
      </c>
      <c r="G33" s="474" t="s">
        <v>6</v>
      </c>
    </row>
    <row r="34" spans="1:7">
      <c r="A34" s="474">
        <f>Biodata!A36</f>
        <v>28</v>
      </c>
      <c r="B34" s="478" t="str">
        <f>Biodata!B36</f>
        <v>181910293</v>
      </c>
      <c r="C34" s="479" t="str">
        <f>Biodata!C36</f>
        <v xml:space="preserve">REZA ERNANDA </v>
      </c>
      <c r="D34" s="474">
        <v>77</v>
      </c>
      <c r="E34" s="474" t="s">
        <v>6</v>
      </c>
      <c r="F34" s="474">
        <v>77</v>
      </c>
      <c r="G34" s="474" t="s">
        <v>6</v>
      </c>
    </row>
    <row r="35" spans="1:7">
      <c r="A35" s="474">
        <f>Biodata!A37</f>
        <v>29</v>
      </c>
      <c r="B35" s="478" t="str">
        <f>Biodata!B37</f>
        <v>181910300</v>
      </c>
      <c r="C35" s="479" t="str">
        <f>Biodata!C37</f>
        <v>RIFAN MUHAMAD RIZKI</v>
      </c>
      <c r="D35" s="474">
        <v>33</v>
      </c>
      <c r="E35" s="474" t="s">
        <v>429</v>
      </c>
      <c r="F35" s="474">
        <v>40</v>
      </c>
      <c r="G35" s="474" t="s">
        <v>429</v>
      </c>
    </row>
    <row r="36" spans="1:7">
      <c r="A36" s="474">
        <f>Biodata!A38</f>
        <v>30</v>
      </c>
      <c r="B36" s="478" t="str">
        <f>Biodata!B38</f>
        <v>181910318</v>
      </c>
      <c r="C36" s="479" t="str">
        <f>Biodata!C38</f>
        <v>RISMA SURYANI</v>
      </c>
      <c r="D36" s="474">
        <v>77</v>
      </c>
      <c r="E36" s="474" t="s">
        <v>6</v>
      </c>
      <c r="F36" s="474">
        <v>76</v>
      </c>
      <c r="G36" s="474" t="s">
        <v>6</v>
      </c>
    </row>
    <row r="37" spans="1:7">
      <c r="A37" s="474">
        <f>Biodata!A39</f>
        <v>31</v>
      </c>
      <c r="B37" s="478" t="str">
        <f>Biodata!B39</f>
        <v>181910320</v>
      </c>
      <c r="C37" s="479" t="str">
        <f>Biodata!C39</f>
        <v>RISNA TIRANI</v>
      </c>
      <c r="D37" s="474">
        <v>81</v>
      </c>
      <c r="E37" s="474" t="s">
        <v>6</v>
      </c>
      <c r="F37" s="474">
        <v>80</v>
      </c>
      <c r="G37" s="474" t="s">
        <v>6</v>
      </c>
    </row>
    <row r="38" spans="1:7">
      <c r="A38" s="474">
        <f>Biodata!A40</f>
        <v>32</v>
      </c>
      <c r="B38" s="478" t="str">
        <f>Biodata!B40</f>
        <v>181910331</v>
      </c>
      <c r="C38" s="479" t="str">
        <f>Biodata!C40</f>
        <v>RULLY PRATAMA S.</v>
      </c>
      <c r="D38" s="474">
        <v>63</v>
      </c>
      <c r="E38" s="474" t="s">
        <v>19</v>
      </c>
      <c r="F38" s="474">
        <v>65</v>
      </c>
      <c r="G38" s="474" t="s">
        <v>19</v>
      </c>
    </row>
    <row r="39" spans="1:7">
      <c r="A39" s="474">
        <f>Biodata!A41</f>
        <v>33</v>
      </c>
      <c r="B39" s="478" t="str">
        <f>Biodata!B41</f>
        <v>181910335</v>
      </c>
      <c r="C39" s="479" t="str">
        <f>Biodata!C41</f>
        <v>SALSA ASYKIYA</v>
      </c>
      <c r="D39" s="474">
        <v>86</v>
      </c>
      <c r="E39" s="474" t="s">
        <v>6</v>
      </c>
      <c r="F39" s="474">
        <v>85</v>
      </c>
      <c r="G39" s="474" t="s">
        <v>6</v>
      </c>
    </row>
    <row r="40" spans="1:7">
      <c r="A40" s="474">
        <f>Biodata!A42</f>
        <v>34</v>
      </c>
      <c r="B40" s="478" t="str">
        <f>Biodata!B42</f>
        <v>181910353</v>
      </c>
      <c r="C40" s="479" t="str">
        <f>Biodata!C42</f>
        <v>SILFI HAMIDAH</v>
      </c>
      <c r="D40" s="474">
        <v>78</v>
      </c>
      <c r="E40" s="474" t="s">
        <v>6</v>
      </c>
      <c r="F40" s="474">
        <v>76</v>
      </c>
      <c r="G40" s="474" t="s">
        <v>18</v>
      </c>
    </row>
    <row r="41" spans="1:7">
      <c r="A41" s="474">
        <f>Biodata!A43</f>
        <v>35</v>
      </c>
      <c r="B41" s="478" t="str">
        <f>Biodata!B43</f>
        <v>181910408</v>
      </c>
      <c r="C41" s="479" t="str">
        <f>Biodata!C43</f>
        <v>YESHA RAHAYU</v>
      </c>
      <c r="D41" s="474">
        <v>76</v>
      </c>
      <c r="E41" s="474" t="s">
        <v>6</v>
      </c>
      <c r="F41" s="474">
        <v>75</v>
      </c>
      <c r="G41" s="474" t="s">
        <v>18</v>
      </c>
    </row>
    <row r="42" spans="1:7">
      <c r="A42" s="474">
        <f>Biodata!A44</f>
        <v>36</v>
      </c>
      <c r="B42" s="478" t="str">
        <f>Biodata!B44</f>
        <v>181910433</v>
      </c>
      <c r="C42" s="479" t="str">
        <f>Biodata!C44</f>
        <v>MUHAMAD RIZAL</v>
      </c>
      <c r="D42" s="474">
        <v>52</v>
      </c>
      <c r="E42" s="474" t="s">
        <v>429</v>
      </c>
      <c r="F42" s="474">
        <v>45</v>
      </c>
      <c r="G42" s="474" t="s">
        <v>429</v>
      </c>
    </row>
    <row r="43" spans="1:7">
      <c r="A43" s="474">
        <f>Biodata!A45</f>
        <v>37</v>
      </c>
      <c r="B43" s="478" t="str">
        <f>Biodata!B45</f>
        <v>037</v>
      </c>
      <c r="C43" s="479" t="str">
        <f>Biodata!C45</f>
        <v>A37</v>
      </c>
      <c r="D43" s="474">
        <f t="shared" ref="D43:D46" si="0">IFERROR(VLOOKUP(B43&amp;"A",leggerx1,6,0),"")</f>
        <v>0</v>
      </c>
      <c r="E43" s="474" t="str">
        <f t="shared" ref="E43:E46" si="1">IFERROR(VLOOKUP(B43&amp;"C",leggerx1,6,0),"")</f>
        <v/>
      </c>
      <c r="F43" s="474">
        <f t="shared" ref="F43:F46" si="2">IFERROR(VLOOKUP(B43&amp;"B",leggerx1,6,0),"")</f>
        <v>0</v>
      </c>
      <c r="G43" s="474" t="str">
        <f t="shared" ref="G43:G46" si="3">IFERROR(VLOOKUP(B43&amp;"D",leggerx1,6,0),"")</f>
        <v/>
      </c>
    </row>
    <row r="44" spans="1:7">
      <c r="A44" s="474">
        <f>Biodata!A46</f>
        <v>38</v>
      </c>
      <c r="B44" s="478" t="str">
        <f>Biodata!B46</f>
        <v>038</v>
      </c>
      <c r="C44" s="479" t="str">
        <f>Biodata!C46</f>
        <v>A38</v>
      </c>
      <c r="D44" s="474">
        <f t="shared" si="0"/>
        <v>0</v>
      </c>
      <c r="E44" s="474" t="str">
        <f t="shared" si="1"/>
        <v/>
      </c>
      <c r="F44" s="474">
        <f t="shared" si="2"/>
        <v>0</v>
      </c>
      <c r="G44" s="474" t="str">
        <f t="shared" si="3"/>
        <v/>
      </c>
    </row>
    <row r="45" spans="1:7">
      <c r="A45" s="474">
        <f>Biodata!A47</f>
        <v>39</v>
      </c>
      <c r="B45" s="478" t="str">
        <f>Biodata!B47</f>
        <v>039</v>
      </c>
      <c r="C45" s="479" t="str">
        <f>Biodata!C47</f>
        <v>A39</v>
      </c>
      <c r="D45" s="474">
        <f t="shared" si="0"/>
        <v>0</v>
      </c>
      <c r="E45" s="474" t="str">
        <f t="shared" si="1"/>
        <v/>
      </c>
      <c r="F45" s="474">
        <f t="shared" si="2"/>
        <v>0</v>
      </c>
      <c r="G45" s="474" t="str">
        <f t="shared" si="3"/>
        <v/>
      </c>
    </row>
    <row r="46" spans="1:7">
      <c r="A46" s="474">
        <f>Biodata!A48</f>
        <v>40</v>
      </c>
      <c r="B46" s="478" t="str">
        <f>Biodata!B48</f>
        <v>040</v>
      </c>
      <c r="C46" s="479" t="str">
        <f>Biodata!C48</f>
        <v>A40</v>
      </c>
      <c r="D46" s="474">
        <f t="shared" si="0"/>
        <v>0</v>
      </c>
      <c r="E46" s="474" t="str">
        <f t="shared" si="1"/>
        <v/>
      </c>
      <c r="F46" s="474">
        <f t="shared" si="2"/>
        <v>0</v>
      </c>
      <c r="G46" s="474" t="str">
        <f t="shared" si="3"/>
        <v/>
      </c>
    </row>
    <row r="47" spans="1:7">
      <c r="C47" s="483"/>
    </row>
    <row r="48" spans="1:7">
      <c r="C48" s="483"/>
    </row>
    <row r="49" spans="3:3" s="475" customFormat="1" ht="11.25">
      <c r="C49" s="483"/>
    </row>
    <row r="50" spans="3:3" s="475" customFormat="1" ht="11.25">
      <c r="C50" s="48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0"/>
  <sheetViews>
    <sheetView workbookViewId="0">
      <selection activeCell="F71" sqref="F71"/>
    </sheetView>
  </sheetViews>
  <sheetFormatPr defaultColWidth="9" defaultRowHeight="12.75"/>
  <cols>
    <col min="1" max="1" width="3.7109375" style="474" customWidth="1"/>
    <col min="2" max="2" width="7.140625" style="474" customWidth="1"/>
    <col min="3" max="3" width="21.7109375" style="475" customWidth="1"/>
    <col min="4" max="4" width="11.85546875" style="474" customWidth="1"/>
    <col min="5" max="5" width="8" style="474" customWidth="1"/>
    <col min="6" max="6" width="12" style="474" customWidth="1"/>
    <col min="7" max="7" width="8" style="474" customWidth="1"/>
    <col min="8" max="256" width="9.140625" style="475" customWidth="1"/>
  </cols>
  <sheetData>
    <row r="1" spans="1:7">
      <c r="C1" s="476" t="s">
        <v>329</v>
      </c>
      <c r="D1" s="477" t="str">
        <f>Biodata!C4</f>
        <v xml:space="preserve"> X / IPS_5</v>
      </c>
    </row>
    <row r="2" spans="1:7">
      <c r="C2" s="476" t="s">
        <v>330</v>
      </c>
      <c r="D2" s="477" t="str">
        <f>Biodata!C5</f>
        <v>1 / Ganjil</v>
      </c>
    </row>
    <row r="3" spans="1:7">
      <c r="D3" s="477"/>
    </row>
    <row r="4" spans="1:7">
      <c r="C4" s="476" t="s">
        <v>331</v>
      </c>
      <c r="D4" s="477" t="str">
        <f>LEGER!J6</f>
        <v>Sejarah Indonesia</v>
      </c>
    </row>
    <row r="5" spans="1:7">
      <c r="C5" s="476" t="s">
        <v>332</v>
      </c>
      <c r="D5" s="477">
        <f>RAPORT!C84</f>
        <v>70</v>
      </c>
    </row>
    <row r="6" spans="1:7">
      <c r="A6" s="474" t="s">
        <v>325</v>
      </c>
      <c r="B6" s="474" t="s">
        <v>10</v>
      </c>
      <c r="C6" s="475" t="s">
        <v>324</v>
      </c>
      <c r="D6" s="474" t="s">
        <v>75</v>
      </c>
      <c r="E6" s="474" t="s">
        <v>71</v>
      </c>
      <c r="F6" s="474" t="s">
        <v>147</v>
      </c>
      <c r="G6" s="474" t="s">
        <v>71</v>
      </c>
    </row>
    <row r="7" spans="1:7">
      <c r="A7" s="474">
        <f>Biodata!A9</f>
        <v>1</v>
      </c>
      <c r="B7" s="478" t="str">
        <f>Biodata!B9</f>
        <v>181910008</v>
      </c>
      <c r="C7" s="479" t="str">
        <f>Biodata!C9</f>
        <v>ADITA TRI KURNIA PUTRI</v>
      </c>
      <c r="D7" s="474">
        <v>80</v>
      </c>
      <c r="E7" s="474" t="s">
        <v>6</v>
      </c>
      <c r="F7" s="474">
        <v>75</v>
      </c>
      <c r="G7" s="474" t="s">
        <v>18</v>
      </c>
    </row>
    <row r="8" spans="1:7">
      <c r="A8" s="474">
        <f>Biodata!A10</f>
        <v>2</v>
      </c>
      <c r="B8" s="478" t="str">
        <f>Biodata!B10</f>
        <v>181910011</v>
      </c>
      <c r="C8" s="479" t="str">
        <f>Biodata!C10</f>
        <v xml:space="preserve">ADNES KOMALA DEWI </v>
      </c>
      <c r="D8" s="474">
        <v>60</v>
      </c>
      <c r="E8" s="474" t="s">
        <v>19</v>
      </c>
      <c r="F8" s="474">
        <v>50</v>
      </c>
      <c r="G8" s="474" t="s">
        <v>429</v>
      </c>
    </row>
    <row r="9" spans="1:7">
      <c r="A9" s="474">
        <f>Biodata!A11</f>
        <v>3</v>
      </c>
      <c r="B9" s="478" t="str">
        <f>Biodata!B11</f>
        <v>181910014</v>
      </c>
      <c r="C9" s="479" t="str">
        <f>Biodata!C11</f>
        <v>AGUNG BUDI PRASTAWA</v>
      </c>
      <c r="D9" s="474">
        <v>68</v>
      </c>
      <c r="E9" s="474" t="s">
        <v>19</v>
      </c>
      <c r="F9" s="474">
        <v>60</v>
      </c>
      <c r="G9" s="474" t="s">
        <v>429</v>
      </c>
    </row>
    <row r="10" spans="1:7">
      <c r="A10" s="474">
        <f>Biodata!A12</f>
        <v>4</v>
      </c>
      <c r="B10" s="478" t="str">
        <f>Biodata!B12</f>
        <v>181910021</v>
      </c>
      <c r="C10" s="479" t="str">
        <f>Biodata!C12</f>
        <v>AISYAH</v>
      </c>
      <c r="D10" s="474">
        <v>70</v>
      </c>
      <c r="E10" s="474" t="s">
        <v>18</v>
      </c>
      <c r="F10" s="474">
        <v>70</v>
      </c>
      <c r="G10" s="474" t="s">
        <v>18</v>
      </c>
    </row>
    <row r="11" spans="1:7">
      <c r="A11" s="474">
        <f>Biodata!A13</f>
        <v>5</v>
      </c>
      <c r="B11" s="478" t="str">
        <f>Biodata!B13</f>
        <v>181910045</v>
      </c>
      <c r="C11" s="479" t="str">
        <f>Biodata!C13</f>
        <v>ARYA DYTA WIGUNA</v>
      </c>
      <c r="D11" s="474">
        <v>78</v>
      </c>
      <c r="E11" s="474" t="s">
        <v>6</v>
      </c>
      <c r="F11" s="474">
        <v>73</v>
      </c>
      <c r="G11" s="474" t="s">
        <v>18</v>
      </c>
    </row>
    <row r="12" spans="1:7">
      <c r="A12" s="474">
        <f>Biodata!A14</f>
        <v>6</v>
      </c>
      <c r="B12" s="478" t="str">
        <f>Biodata!B14</f>
        <v>181910054</v>
      </c>
      <c r="C12" s="479" t="str">
        <f>Biodata!C14</f>
        <v>AZRIEL TAMA SANTIAJI</v>
      </c>
      <c r="D12" s="474">
        <v>30</v>
      </c>
      <c r="E12" s="474" t="s">
        <v>429</v>
      </c>
      <c r="F12" s="474">
        <v>30</v>
      </c>
      <c r="G12" s="474" t="s">
        <v>429</v>
      </c>
    </row>
    <row r="13" spans="1:7">
      <c r="A13" s="474">
        <f>Biodata!A15</f>
        <v>7</v>
      </c>
      <c r="B13" s="478" t="str">
        <f>Biodata!B15</f>
        <v>181910055</v>
      </c>
      <c r="C13" s="479" t="str">
        <f>Biodata!C15</f>
        <v>AZZUHRI HAUDI</v>
      </c>
      <c r="D13" s="474">
        <v>78</v>
      </c>
      <c r="E13" s="474" t="s">
        <v>6</v>
      </c>
      <c r="F13" s="474">
        <v>76</v>
      </c>
      <c r="G13" s="474" t="s">
        <v>18</v>
      </c>
    </row>
    <row r="14" spans="1:7">
      <c r="A14" s="474">
        <f>Biodata!A16</f>
        <v>8</v>
      </c>
      <c r="B14" s="478" t="str">
        <f>Biodata!B16</f>
        <v>181910056</v>
      </c>
      <c r="C14" s="479" t="str">
        <f>Biodata!C16</f>
        <v>BAYU BATARA SURYA PUTRA</v>
      </c>
      <c r="D14" s="474">
        <v>79</v>
      </c>
      <c r="E14" s="474" t="s">
        <v>6</v>
      </c>
      <c r="F14" s="474">
        <v>76</v>
      </c>
      <c r="G14" s="474" t="s">
        <v>18</v>
      </c>
    </row>
    <row r="15" spans="1:7">
      <c r="A15" s="474">
        <f>Biodata!A17</f>
        <v>9</v>
      </c>
      <c r="B15" s="478" t="str">
        <f>Biodata!B17</f>
        <v>181910069</v>
      </c>
      <c r="C15" s="479" t="str">
        <f>Biodata!C17</f>
        <v>DANDY ERVAN PRATAMA</v>
      </c>
      <c r="D15" s="474">
        <f t="shared" ref="D15:D46" si="0">IFERROR(VLOOKUP(B15&amp;"A",leggerx1,7,0),"")</f>
        <v>0</v>
      </c>
      <c r="E15" s="474" t="str">
        <f t="shared" ref="E15:E46" si="1">IFERROR(VLOOKUP(B15&amp;"C",leggerx1,7,0),"")</f>
        <v/>
      </c>
      <c r="F15" s="474">
        <f t="shared" ref="F15:F46" si="2">IFERROR(VLOOKUP(B15&amp;"B",leggerx1,7,0),"")</f>
        <v>0</v>
      </c>
      <c r="G15" s="474" t="str">
        <f t="shared" ref="G15:G46" si="3">IFERROR(VLOOKUP(B15&amp;"D",leggerx1,7,0),"")</f>
        <v/>
      </c>
    </row>
    <row r="16" spans="1:7">
      <c r="A16" s="474">
        <f>Biodata!A18</f>
        <v>10</v>
      </c>
      <c r="B16" s="478" t="str">
        <f>Biodata!B18</f>
        <v>181910085</v>
      </c>
      <c r="C16" s="479" t="str">
        <f>Biodata!C18</f>
        <v>DENISA ASTI RAHMAWATI</v>
      </c>
      <c r="D16" s="474">
        <v>79</v>
      </c>
      <c r="E16" s="474" t="s">
        <v>6</v>
      </c>
      <c r="F16" s="474">
        <v>73</v>
      </c>
      <c r="G16" s="474" t="s">
        <v>18</v>
      </c>
    </row>
    <row r="17" spans="1:7">
      <c r="A17" s="474">
        <f>Biodata!A19</f>
        <v>11</v>
      </c>
      <c r="B17" s="478" t="str">
        <f>Biodata!B19</f>
        <v>181910093</v>
      </c>
      <c r="C17" s="479" t="str">
        <f>Biodata!C19</f>
        <v>DIAN RAMDHAN SAPTIAN</v>
      </c>
      <c r="D17" s="474">
        <v>20</v>
      </c>
      <c r="E17" s="474" t="s">
        <v>429</v>
      </c>
      <c r="F17" s="474">
        <v>20</v>
      </c>
      <c r="G17" s="474" t="s">
        <v>429</v>
      </c>
    </row>
    <row r="18" spans="1:7">
      <c r="A18" s="474">
        <f>Biodata!A20</f>
        <v>12</v>
      </c>
      <c r="B18" s="478" t="str">
        <f>Biodata!B20</f>
        <v>181910103</v>
      </c>
      <c r="C18" s="479" t="str">
        <f>Biodata!C20</f>
        <v>DIVYA ADHIANI NURDIN</v>
      </c>
      <c r="D18" s="474">
        <v>80</v>
      </c>
      <c r="E18" s="474" t="s">
        <v>6</v>
      </c>
      <c r="F18" s="474">
        <v>75</v>
      </c>
      <c r="G18" s="474" t="s">
        <v>18</v>
      </c>
    </row>
    <row r="19" spans="1:7">
      <c r="A19" s="474">
        <f>Biodata!A21</f>
        <v>13</v>
      </c>
      <c r="B19" s="478" t="str">
        <f>Biodata!B21</f>
        <v>181910104</v>
      </c>
      <c r="C19" s="479" t="str">
        <f>Biodata!C21</f>
        <v>DWIKI DERMAWAN</v>
      </c>
      <c r="D19" s="474">
        <f t="shared" si="0"/>
        <v>0</v>
      </c>
      <c r="E19" s="474" t="str">
        <f t="shared" si="1"/>
        <v/>
      </c>
      <c r="F19" s="474">
        <f t="shared" si="2"/>
        <v>0</v>
      </c>
      <c r="G19" s="474" t="str">
        <f t="shared" si="3"/>
        <v/>
      </c>
    </row>
    <row r="20" spans="1:7">
      <c r="A20" s="474">
        <f>Biodata!A22</f>
        <v>14</v>
      </c>
      <c r="B20" s="478" t="str">
        <f>Biodata!B22</f>
        <v>181910118</v>
      </c>
      <c r="C20" s="479" t="str">
        <f>Biodata!C22</f>
        <v>ENCEP CANDRA</v>
      </c>
      <c r="D20" s="474">
        <v>40</v>
      </c>
      <c r="E20" s="474" t="s">
        <v>429</v>
      </c>
      <c r="F20" s="474">
        <v>45</v>
      </c>
      <c r="G20" s="474" t="s">
        <v>429</v>
      </c>
    </row>
    <row r="21" spans="1:7">
      <c r="A21" s="474">
        <f>Biodata!A23</f>
        <v>15</v>
      </c>
      <c r="B21" s="478" t="str">
        <f>Biodata!B23</f>
        <v>181910128</v>
      </c>
      <c r="C21" s="479" t="str">
        <f>Biodata!C23</f>
        <v>FAIZAL EGI</v>
      </c>
      <c r="D21" s="474">
        <v>20</v>
      </c>
      <c r="E21" s="474" t="s">
        <v>429</v>
      </c>
      <c r="F21" s="474">
        <v>20</v>
      </c>
      <c r="G21" s="474" t="s">
        <v>429</v>
      </c>
    </row>
    <row r="22" spans="1:7">
      <c r="A22" s="474">
        <f>Biodata!A24</f>
        <v>16</v>
      </c>
      <c r="B22" s="478" t="str">
        <f>Biodata!B24</f>
        <v>181910133</v>
      </c>
      <c r="C22" s="479" t="str">
        <f>Biodata!C24</f>
        <v>FAUZI DHALFADLIL AZHANI</v>
      </c>
      <c r="D22" s="474">
        <v>70</v>
      </c>
      <c r="E22" s="474" t="s">
        <v>18</v>
      </c>
      <c r="F22" s="474">
        <v>65</v>
      </c>
      <c r="G22" s="474" t="s">
        <v>429</v>
      </c>
    </row>
    <row r="23" spans="1:7">
      <c r="A23" s="474">
        <f>Biodata!A25</f>
        <v>17</v>
      </c>
      <c r="B23" s="478" t="str">
        <f>Biodata!B25</f>
        <v>181910161</v>
      </c>
      <c r="C23" s="479" t="str">
        <f>Biodata!C25</f>
        <v>HILMAN PUTRA PAMUNGKAS</v>
      </c>
      <c r="D23" s="474">
        <v>79</v>
      </c>
      <c r="E23" s="474" t="s">
        <v>6</v>
      </c>
      <c r="F23" s="474">
        <v>73</v>
      </c>
      <c r="G23" s="474" t="s">
        <v>18</v>
      </c>
    </row>
    <row r="24" spans="1:7">
      <c r="A24" s="474">
        <f>Biodata!A26</f>
        <v>18</v>
      </c>
      <c r="B24" s="478" t="str">
        <f>Biodata!B26</f>
        <v>181910165</v>
      </c>
      <c r="C24" s="479" t="str">
        <f>Biodata!C26</f>
        <v>IHSYA FADILLAH MUSLIM</v>
      </c>
      <c r="D24" s="474">
        <v>68</v>
      </c>
      <c r="E24" s="474" t="s">
        <v>19</v>
      </c>
      <c r="F24" s="474">
        <v>60</v>
      </c>
      <c r="G24" s="474" t="s">
        <v>19</v>
      </c>
    </row>
    <row r="25" spans="1:7">
      <c r="A25" s="474">
        <f>Biodata!A27</f>
        <v>19</v>
      </c>
      <c r="B25" s="478" t="str">
        <f>Biodata!B27</f>
        <v>181910185</v>
      </c>
      <c r="C25" s="479" t="str">
        <f>Biodata!C27</f>
        <v>JIHAD AKBAR</v>
      </c>
      <c r="D25" s="474">
        <v>20</v>
      </c>
      <c r="E25" s="474" t="s">
        <v>429</v>
      </c>
      <c r="F25" s="474">
        <v>25</v>
      </c>
      <c r="G25" s="474" t="s">
        <v>429</v>
      </c>
    </row>
    <row r="26" spans="1:7">
      <c r="A26" s="474">
        <f>Biodata!A28</f>
        <v>20</v>
      </c>
      <c r="B26" s="478" t="str">
        <f>Biodata!B28</f>
        <v>181910226</v>
      </c>
      <c r="C26" s="479" t="str">
        <f>Biodata!C28</f>
        <v>MUHAMAD IZZAZUL FIKRIAN</v>
      </c>
      <c r="D26" s="474">
        <v>50</v>
      </c>
      <c r="E26" s="474" t="s">
        <v>429</v>
      </c>
      <c r="F26" s="474">
        <v>60</v>
      </c>
      <c r="G26" s="474" t="s">
        <v>19</v>
      </c>
    </row>
    <row r="27" spans="1:7">
      <c r="A27" s="474">
        <f>Biodata!A29</f>
        <v>21</v>
      </c>
      <c r="B27" s="478" t="str">
        <f>Biodata!B29</f>
        <v>181910240</v>
      </c>
      <c r="C27" s="479" t="str">
        <f>Biodata!C29</f>
        <v>NESHA RAUDHATUL ZANNAH</v>
      </c>
      <c r="D27" s="474">
        <v>77</v>
      </c>
      <c r="E27" s="474" t="s">
        <v>6</v>
      </c>
      <c r="F27" s="474">
        <v>73</v>
      </c>
      <c r="G27" s="474" t="s">
        <v>18</v>
      </c>
    </row>
    <row r="28" spans="1:7">
      <c r="A28" s="474">
        <f>Biodata!A30</f>
        <v>22</v>
      </c>
      <c r="B28" s="478" t="str">
        <f>Biodata!B30</f>
        <v>181910262</v>
      </c>
      <c r="C28" s="479" t="str">
        <f>Biodata!C30</f>
        <v>PUTRI ANGGRAENI</v>
      </c>
      <c r="D28" s="474">
        <v>78</v>
      </c>
      <c r="E28" s="474" t="s">
        <v>6</v>
      </c>
      <c r="F28" s="474">
        <v>73</v>
      </c>
      <c r="G28" s="474" t="s">
        <v>18</v>
      </c>
    </row>
    <row r="29" spans="1:7">
      <c r="A29" s="474">
        <f>Biodata!A31</f>
        <v>23</v>
      </c>
      <c r="B29" s="478" t="str">
        <f>Biodata!B31</f>
        <v>181910266</v>
      </c>
      <c r="C29" s="479" t="str">
        <f>Biodata!C31</f>
        <v>PUTRI WULANDARI</v>
      </c>
      <c r="D29" s="474">
        <v>75</v>
      </c>
      <c r="E29" s="474" t="s">
        <v>19</v>
      </c>
      <c r="F29" s="474">
        <v>73</v>
      </c>
      <c r="G29" s="474" t="s">
        <v>18</v>
      </c>
    </row>
    <row r="30" spans="1:7">
      <c r="A30" s="474">
        <f>Biodata!A32</f>
        <v>24</v>
      </c>
      <c r="B30" s="478" t="str">
        <f>Biodata!B32</f>
        <v>181910272</v>
      </c>
      <c r="C30" s="479" t="str">
        <f>Biodata!C32</f>
        <v>RAFLY GYMNASTIAR</v>
      </c>
      <c r="D30" s="474">
        <v>25</v>
      </c>
      <c r="E30" s="474" t="s">
        <v>429</v>
      </c>
      <c r="F30" s="474">
        <v>25</v>
      </c>
      <c r="G30" s="474" t="s">
        <v>429</v>
      </c>
    </row>
    <row r="31" spans="1:7">
      <c r="A31" s="474">
        <f>Biodata!A33</f>
        <v>25</v>
      </c>
      <c r="B31" s="478" t="str">
        <f>Biodata!B33</f>
        <v>181910280</v>
      </c>
      <c r="C31" s="479" t="str">
        <f>Biodata!C33</f>
        <v>REFIANA</v>
      </c>
      <c r="D31" s="474">
        <v>20</v>
      </c>
      <c r="E31" s="474" t="s">
        <v>429</v>
      </c>
      <c r="F31" s="474">
        <v>20</v>
      </c>
      <c r="G31" s="474" t="s">
        <v>429</v>
      </c>
    </row>
    <row r="32" spans="1:7">
      <c r="A32" s="474">
        <f>Biodata!A34</f>
        <v>26</v>
      </c>
      <c r="B32" s="478" t="str">
        <f>Biodata!B34</f>
        <v>181910285</v>
      </c>
      <c r="C32" s="479" t="str">
        <f>Biodata!C34</f>
        <v>RENALDI PRIYATAMA</v>
      </c>
      <c r="D32" s="474">
        <f t="shared" si="0"/>
        <v>0</v>
      </c>
      <c r="E32" s="474" t="str">
        <f t="shared" si="1"/>
        <v/>
      </c>
      <c r="F32" s="474">
        <f t="shared" si="2"/>
        <v>0</v>
      </c>
      <c r="G32" s="474" t="str">
        <f t="shared" si="3"/>
        <v/>
      </c>
    </row>
    <row r="33" spans="1:7">
      <c r="A33" s="474">
        <f>Biodata!A35</f>
        <v>27</v>
      </c>
      <c r="B33" s="478" t="str">
        <f>Biodata!B35</f>
        <v>181910286</v>
      </c>
      <c r="C33" s="479" t="str">
        <f>Biodata!C35</f>
        <v>RENATA</v>
      </c>
      <c r="D33" s="474">
        <v>80</v>
      </c>
      <c r="E33" s="474" t="s">
        <v>6</v>
      </c>
      <c r="F33" s="474">
        <v>73</v>
      </c>
      <c r="G33" s="474" t="s">
        <v>18</v>
      </c>
    </row>
    <row r="34" spans="1:7">
      <c r="A34" s="474">
        <f>Biodata!A36</f>
        <v>28</v>
      </c>
      <c r="B34" s="478" t="str">
        <f>Biodata!B36</f>
        <v>181910293</v>
      </c>
      <c r="C34" s="479" t="str">
        <f>Biodata!C36</f>
        <v xml:space="preserve">REZA ERNANDA </v>
      </c>
      <c r="D34" s="474">
        <v>80</v>
      </c>
      <c r="E34" s="474" t="s">
        <v>6</v>
      </c>
      <c r="F34" s="474">
        <v>73</v>
      </c>
      <c r="G34" s="474" t="s">
        <v>18</v>
      </c>
    </row>
    <row r="35" spans="1:7">
      <c r="A35" s="474">
        <f>Biodata!A37</f>
        <v>29</v>
      </c>
      <c r="B35" s="478" t="str">
        <f>Biodata!B37</f>
        <v>181910300</v>
      </c>
      <c r="C35" s="479" t="str">
        <f>Biodata!C37</f>
        <v>RIFAN MUHAMAD RIZKI</v>
      </c>
      <c r="D35" s="474">
        <f t="shared" si="0"/>
        <v>0</v>
      </c>
      <c r="E35" s="474" t="str">
        <f t="shared" si="1"/>
        <v/>
      </c>
      <c r="F35" s="474">
        <f t="shared" si="2"/>
        <v>0</v>
      </c>
      <c r="G35" s="474" t="str">
        <f t="shared" si="3"/>
        <v/>
      </c>
    </row>
    <row r="36" spans="1:7">
      <c r="A36" s="474">
        <f>Biodata!A38</f>
        <v>30</v>
      </c>
      <c r="B36" s="478" t="str">
        <f>Biodata!B38</f>
        <v>181910318</v>
      </c>
      <c r="C36" s="479" t="str">
        <f>Biodata!C38</f>
        <v>RISMA SURYANI</v>
      </c>
      <c r="D36" s="474">
        <v>80</v>
      </c>
      <c r="E36" s="474" t="s">
        <v>6</v>
      </c>
      <c r="F36" s="474">
        <v>74</v>
      </c>
      <c r="G36" s="474" t="s">
        <v>18</v>
      </c>
    </row>
    <row r="37" spans="1:7">
      <c r="A37" s="474">
        <f>Biodata!A39</f>
        <v>31</v>
      </c>
      <c r="B37" s="478" t="str">
        <f>Biodata!B39</f>
        <v>181910320</v>
      </c>
      <c r="C37" s="479" t="str">
        <f>Biodata!C39</f>
        <v>RISNA TIRANI</v>
      </c>
      <c r="D37" s="474">
        <v>80</v>
      </c>
      <c r="E37" s="474" t="s">
        <v>6</v>
      </c>
      <c r="F37" s="474">
        <v>76</v>
      </c>
      <c r="G37" s="474" t="s">
        <v>18</v>
      </c>
    </row>
    <row r="38" spans="1:7">
      <c r="A38" s="474">
        <f>Biodata!A40</f>
        <v>32</v>
      </c>
      <c r="B38" s="478" t="str">
        <f>Biodata!B40</f>
        <v>181910331</v>
      </c>
      <c r="C38" s="479" t="str">
        <f>Biodata!C40</f>
        <v>RULLY PRATAMA S.</v>
      </c>
      <c r="D38" s="474">
        <v>20</v>
      </c>
      <c r="E38" s="474" t="s">
        <v>429</v>
      </c>
      <c r="F38" s="474">
        <v>20</v>
      </c>
      <c r="G38" s="474" t="s">
        <v>429</v>
      </c>
    </row>
    <row r="39" spans="1:7">
      <c r="A39" s="474">
        <f>Biodata!A41</f>
        <v>33</v>
      </c>
      <c r="B39" s="478" t="str">
        <f>Biodata!B41</f>
        <v>181910335</v>
      </c>
      <c r="C39" s="479" t="str">
        <f>Biodata!C41</f>
        <v>SALSA ASYKIYA</v>
      </c>
      <c r="D39" s="474">
        <v>83</v>
      </c>
      <c r="E39" s="474" t="s">
        <v>6</v>
      </c>
      <c r="F39" s="474">
        <v>77</v>
      </c>
      <c r="G39" s="474" t="s">
        <v>6</v>
      </c>
    </row>
    <row r="40" spans="1:7">
      <c r="A40" s="474">
        <f>Biodata!A42</f>
        <v>34</v>
      </c>
      <c r="B40" s="478" t="str">
        <f>Biodata!B42</f>
        <v>181910353</v>
      </c>
      <c r="C40" s="479" t="str">
        <f>Biodata!C42</f>
        <v>SILFI HAMIDAH</v>
      </c>
      <c r="D40" s="474">
        <v>81</v>
      </c>
      <c r="E40" s="474" t="s">
        <v>6</v>
      </c>
      <c r="F40" s="474">
        <v>76</v>
      </c>
      <c r="G40" s="474" t="s">
        <v>19</v>
      </c>
    </row>
    <row r="41" spans="1:7">
      <c r="A41" s="474">
        <f>Biodata!A43</f>
        <v>35</v>
      </c>
      <c r="B41" s="478" t="str">
        <f>Biodata!B43</f>
        <v>181910408</v>
      </c>
      <c r="C41" s="479" t="str">
        <f>Biodata!C43</f>
        <v>YESHA RAHAYU</v>
      </c>
      <c r="D41" s="474">
        <v>40</v>
      </c>
      <c r="E41" s="474" t="s">
        <v>429</v>
      </c>
      <c r="F41" s="474">
        <v>40</v>
      </c>
      <c r="G41" s="474" t="s">
        <v>429</v>
      </c>
    </row>
    <row r="42" spans="1:7">
      <c r="A42" s="474">
        <f>Biodata!A44</f>
        <v>36</v>
      </c>
      <c r="B42" s="478" t="str">
        <f>Biodata!B44</f>
        <v>181910433</v>
      </c>
      <c r="C42" s="479" t="str">
        <f>Biodata!C44</f>
        <v>MUHAMAD RIZAL</v>
      </c>
      <c r="D42" s="474">
        <v>10</v>
      </c>
      <c r="E42" s="474" t="s">
        <v>429</v>
      </c>
      <c r="F42" s="474">
        <v>20</v>
      </c>
      <c r="G42" s="474" t="s">
        <v>429</v>
      </c>
    </row>
    <row r="43" spans="1:7">
      <c r="A43" s="474">
        <f>Biodata!A45</f>
        <v>37</v>
      </c>
      <c r="B43" s="478" t="str">
        <f>Biodata!B45</f>
        <v>037</v>
      </c>
      <c r="C43" s="479" t="str">
        <f>Biodata!C45</f>
        <v>A37</v>
      </c>
      <c r="D43" s="474">
        <f t="shared" si="0"/>
        <v>0</v>
      </c>
      <c r="E43" s="474" t="str">
        <f t="shared" si="1"/>
        <v/>
      </c>
      <c r="F43" s="474">
        <f t="shared" si="2"/>
        <v>0</v>
      </c>
      <c r="G43" s="474" t="str">
        <f t="shared" si="3"/>
        <v/>
      </c>
    </row>
    <row r="44" spans="1:7">
      <c r="A44" s="474">
        <f>Biodata!A46</f>
        <v>38</v>
      </c>
      <c r="B44" s="478" t="str">
        <f>Biodata!B46</f>
        <v>038</v>
      </c>
      <c r="C44" s="479" t="str">
        <f>Biodata!C46</f>
        <v>A38</v>
      </c>
      <c r="D44" s="474">
        <f t="shared" si="0"/>
        <v>0</v>
      </c>
      <c r="E44" s="474" t="str">
        <f t="shared" si="1"/>
        <v/>
      </c>
      <c r="F44" s="474">
        <f t="shared" si="2"/>
        <v>0</v>
      </c>
      <c r="G44" s="474" t="str">
        <f t="shared" si="3"/>
        <v/>
      </c>
    </row>
    <row r="45" spans="1:7">
      <c r="A45" s="474">
        <f>Biodata!A47</f>
        <v>39</v>
      </c>
      <c r="B45" s="478" t="str">
        <f>Biodata!B47</f>
        <v>039</v>
      </c>
      <c r="C45" s="479" t="str">
        <f>Biodata!C47</f>
        <v>A39</v>
      </c>
      <c r="D45" s="474">
        <f t="shared" si="0"/>
        <v>0</v>
      </c>
      <c r="E45" s="474" t="str">
        <f t="shared" si="1"/>
        <v/>
      </c>
      <c r="F45" s="474">
        <f t="shared" si="2"/>
        <v>0</v>
      </c>
      <c r="G45" s="474" t="str">
        <f t="shared" si="3"/>
        <v/>
      </c>
    </row>
    <row r="46" spans="1:7">
      <c r="A46" s="474">
        <f>Biodata!A48</f>
        <v>40</v>
      </c>
      <c r="B46" s="478" t="str">
        <f>Biodata!B48</f>
        <v>040</v>
      </c>
      <c r="C46" s="479" t="str">
        <f>Biodata!C48</f>
        <v>A40</v>
      </c>
      <c r="D46" s="474">
        <f t="shared" si="0"/>
        <v>0</v>
      </c>
      <c r="E46" s="474" t="str">
        <f t="shared" si="1"/>
        <v/>
      </c>
      <c r="F46" s="474">
        <f t="shared" si="2"/>
        <v>0</v>
      </c>
      <c r="G46" s="474" t="str">
        <f t="shared" si="3"/>
        <v/>
      </c>
    </row>
    <row r="47" spans="1:7">
      <c r="C47" s="483"/>
    </row>
    <row r="48" spans="1:7">
      <c r="C48" s="483"/>
    </row>
    <row r="49" spans="3:3" s="475" customFormat="1" ht="11.25">
      <c r="C49" s="483"/>
    </row>
    <row r="50" spans="3:3" s="475" customFormat="1" ht="11.25">
      <c r="C50" s="48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0"/>
  <sheetViews>
    <sheetView topLeftCell="A5" workbookViewId="0">
      <selection activeCell="G7" sqref="G7"/>
    </sheetView>
  </sheetViews>
  <sheetFormatPr defaultColWidth="9" defaultRowHeight="12.75"/>
  <cols>
    <col min="1" max="1" width="3.7109375" style="474" customWidth="1"/>
    <col min="2" max="2" width="7.140625" style="474" customWidth="1"/>
    <col min="3" max="3" width="21.7109375" style="475" customWidth="1"/>
    <col min="4" max="4" width="11.85546875" style="474" customWidth="1"/>
    <col min="5" max="5" width="8" style="474" customWidth="1"/>
    <col min="6" max="6" width="12" style="474" customWidth="1"/>
    <col min="7" max="7" width="8" style="474" customWidth="1"/>
    <col min="8" max="256" width="9.140625" style="475" customWidth="1"/>
  </cols>
  <sheetData>
    <row r="1" spans="1:7">
      <c r="C1" s="476" t="s">
        <v>329</v>
      </c>
      <c r="D1" s="477" t="str">
        <f>Biodata!C4</f>
        <v xml:space="preserve"> X / IPS_5</v>
      </c>
    </row>
    <row r="2" spans="1:7">
      <c r="C2" s="476" t="s">
        <v>330</v>
      </c>
      <c r="D2" s="477" t="str">
        <f>Biodata!C5</f>
        <v>1 / Ganjil</v>
      </c>
    </row>
    <row r="3" spans="1:7">
      <c r="D3" s="477"/>
    </row>
    <row r="4" spans="1:7">
      <c r="C4" s="476" t="s">
        <v>331</v>
      </c>
      <c r="D4" s="477" t="str">
        <f>LEGER!K6</f>
        <v>Bahasa Inggris</v>
      </c>
    </row>
    <row r="5" spans="1:7">
      <c r="C5" s="476" t="s">
        <v>332</v>
      </c>
      <c r="D5" s="477">
        <f>RAPORT!C84</f>
        <v>70</v>
      </c>
    </row>
    <row r="6" spans="1:7">
      <c r="A6" s="474" t="s">
        <v>325</v>
      </c>
      <c r="B6" s="474" t="s">
        <v>10</v>
      </c>
      <c r="C6" s="475" t="s">
        <v>324</v>
      </c>
      <c r="D6" s="474" t="s">
        <v>75</v>
      </c>
      <c r="E6" s="474" t="s">
        <v>71</v>
      </c>
      <c r="F6" s="474" t="s">
        <v>147</v>
      </c>
    </row>
    <row r="7" spans="1:7">
      <c r="A7" s="474">
        <f>Biodata!A9</f>
        <v>1</v>
      </c>
      <c r="B7" s="478" t="str">
        <f>Biodata!B9</f>
        <v>181910008</v>
      </c>
      <c r="C7" s="479" t="str">
        <f>Biodata!C9</f>
        <v>ADITA TRI KURNIA PUTRI</v>
      </c>
      <c r="D7" s="474">
        <v>74</v>
      </c>
      <c r="E7" s="474" t="s">
        <v>18</v>
      </c>
      <c r="F7" s="474">
        <v>75</v>
      </c>
      <c r="G7" s="474" t="s">
        <v>18</v>
      </c>
    </row>
    <row r="8" spans="1:7">
      <c r="A8" s="474">
        <f>Biodata!A10</f>
        <v>2</v>
      </c>
      <c r="B8" s="478" t="str">
        <f>Biodata!B10</f>
        <v>181910011</v>
      </c>
      <c r="C8" s="479" t="str">
        <f>Biodata!C10</f>
        <v xml:space="preserve">ADNES KOMALA DEWI </v>
      </c>
      <c r="D8" s="474">
        <v>73</v>
      </c>
      <c r="E8" s="474" t="s">
        <v>18</v>
      </c>
      <c r="F8" s="474">
        <v>75</v>
      </c>
      <c r="G8" s="474" t="s">
        <v>18</v>
      </c>
    </row>
    <row r="9" spans="1:7">
      <c r="A9" s="474">
        <f>Biodata!A11</f>
        <v>3</v>
      </c>
      <c r="B9" s="478" t="str">
        <f>Biodata!B11</f>
        <v>181910014</v>
      </c>
      <c r="C9" s="479" t="str">
        <f>Biodata!C11</f>
        <v>AGUNG BUDI PRASTAWA</v>
      </c>
      <c r="D9" s="474">
        <v>74</v>
      </c>
      <c r="E9" s="474" t="s">
        <v>18</v>
      </c>
      <c r="F9" s="474">
        <v>70</v>
      </c>
      <c r="G9" s="474" t="s">
        <v>18</v>
      </c>
    </row>
    <row r="10" spans="1:7">
      <c r="A10" s="474">
        <f>Biodata!A12</f>
        <v>4</v>
      </c>
      <c r="B10" s="478" t="str">
        <f>Biodata!B12</f>
        <v>181910021</v>
      </c>
      <c r="C10" s="479" t="str">
        <f>Biodata!C12</f>
        <v>AISYAH</v>
      </c>
      <c r="D10" s="474">
        <v>73</v>
      </c>
      <c r="E10" s="474" t="s">
        <v>18</v>
      </c>
      <c r="F10" s="474">
        <v>75</v>
      </c>
      <c r="G10" s="474" t="s">
        <v>18</v>
      </c>
    </row>
    <row r="11" spans="1:7">
      <c r="A11" s="474">
        <f>Biodata!A13</f>
        <v>5</v>
      </c>
      <c r="B11" s="478" t="str">
        <f>Biodata!B13</f>
        <v>181910045</v>
      </c>
      <c r="C11" s="479" t="str">
        <f>Biodata!C13</f>
        <v>ARYA DYTA WIGUNA</v>
      </c>
      <c r="D11" s="474">
        <v>74</v>
      </c>
      <c r="E11" s="474" t="s">
        <v>18</v>
      </c>
      <c r="F11" s="474">
        <v>75</v>
      </c>
      <c r="G11" s="474" t="s">
        <v>18</v>
      </c>
    </row>
    <row r="12" spans="1:7">
      <c r="A12" s="474">
        <f>Biodata!A14</f>
        <v>6</v>
      </c>
      <c r="B12" s="478" t="str">
        <f>Biodata!B14</f>
        <v>181910054</v>
      </c>
      <c r="C12" s="479" t="str">
        <f>Biodata!C14</f>
        <v>AZRIEL TAMA SANTIAJI</v>
      </c>
      <c r="D12" s="474">
        <v>50</v>
      </c>
      <c r="E12" s="474" t="s">
        <v>429</v>
      </c>
      <c r="F12" s="474">
        <v>30</v>
      </c>
      <c r="G12" s="474" t="s">
        <v>429</v>
      </c>
    </row>
    <row r="13" spans="1:7">
      <c r="A13" s="474">
        <f>Biodata!A15</f>
        <v>7</v>
      </c>
      <c r="B13" s="478" t="str">
        <f>Biodata!B15</f>
        <v>181910055</v>
      </c>
      <c r="C13" s="479" t="str">
        <f>Biodata!C15</f>
        <v>AZZUHRI HAUDI</v>
      </c>
      <c r="D13" s="474">
        <v>74</v>
      </c>
      <c r="E13" s="474" t="s">
        <v>18</v>
      </c>
      <c r="F13" s="474">
        <v>75</v>
      </c>
      <c r="G13" s="474" t="s">
        <v>18</v>
      </c>
    </row>
    <row r="14" spans="1:7">
      <c r="A14" s="474">
        <f>Biodata!A16</f>
        <v>8</v>
      </c>
      <c r="B14" s="478" t="str">
        <f>Biodata!B16</f>
        <v>181910056</v>
      </c>
      <c r="C14" s="479" t="str">
        <f>Biodata!C16</f>
        <v>BAYU BATARA SURYA PUTRA</v>
      </c>
      <c r="D14" s="474">
        <v>73</v>
      </c>
      <c r="E14" s="474" t="s">
        <v>18</v>
      </c>
      <c r="F14" s="474">
        <v>70</v>
      </c>
      <c r="G14" s="474" t="s">
        <v>18</v>
      </c>
    </row>
    <row r="15" spans="1:7">
      <c r="A15" s="474">
        <f>Biodata!A17</f>
        <v>9</v>
      </c>
      <c r="B15" s="478" t="str">
        <f>Biodata!B17</f>
        <v>181910069</v>
      </c>
      <c r="C15" s="479" t="str">
        <f>Biodata!C17</f>
        <v>DANDY ERVAN PRATAMA</v>
      </c>
      <c r="D15" s="474">
        <v>40</v>
      </c>
      <c r="E15" s="474" t="s">
        <v>429</v>
      </c>
      <c r="F15" s="474">
        <v>30</v>
      </c>
      <c r="G15" s="474" t="s">
        <v>429</v>
      </c>
    </row>
    <row r="16" spans="1:7">
      <c r="A16" s="474">
        <f>Biodata!A18</f>
        <v>10</v>
      </c>
      <c r="B16" s="478" t="str">
        <f>Biodata!B18</f>
        <v>181910085</v>
      </c>
      <c r="C16" s="479" t="str">
        <f>Biodata!C18</f>
        <v>DENISA ASTI RAHMAWATI</v>
      </c>
      <c r="D16" s="474">
        <v>0</v>
      </c>
      <c r="E16" s="474" t="str">
        <f t="shared" ref="E16:E46" si="0">IFERROR(VLOOKUP(B16&amp;"C",leggerx1,8,0),"")</f>
        <v/>
      </c>
      <c r="F16" s="474">
        <f t="shared" ref="F16:F46" si="1">IFERROR(VLOOKUP(B16&amp;"B",leggerx1,8,0),"")</f>
        <v>0</v>
      </c>
      <c r="G16" s="474" t="str">
        <f t="shared" ref="G16:G46" si="2">IFERROR(VLOOKUP(B16&amp;"D",leggerx1,8,0),"")</f>
        <v/>
      </c>
    </row>
    <row r="17" spans="1:7">
      <c r="A17" s="474">
        <f>Biodata!A19</f>
        <v>11</v>
      </c>
      <c r="B17" s="478" t="str">
        <f>Biodata!B19</f>
        <v>181910093</v>
      </c>
      <c r="C17" s="479" t="str">
        <f>Biodata!C19</f>
        <v>DIAN RAMDHAN SAPTIAN</v>
      </c>
      <c r="D17" s="474">
        <v>60</v>
      </c>
      <c r="E17" s="474" t="s">
        <v>19</v>
      </c>
      <c r="F17" s="474">
        <v>40</v>
      </c>
      <c r="G17" s="474" t="s">
        <v>429</v>
      </c>
    </row>
    <row r="18" spans="1:7">
      <c r="A18" s="474">
        <f>Biodata!A20</f>
        <v>12</v>
      </c>
      <c r="B18" s="478" t="str">
        <f>Biodata!B20</f>
        <v>181910103</v>
      </c>
      <c r="C18" s="479" t="str">
        <f>Biodata!C20</f>
        <v>DIVYA ADHIANI NURDIN</v>
      </c>
      <c r="D18" s="474">
        <v>74</v>
      </c>
      <c r="E18" s="474" t="s">
        <v>18</v>
      </c>
      <c r="F18" s="474">
        <v>75</v>
      </c>
      <c r="G18" s="474" t="s">
        <v>18</v>
      </c>
    </row>
    <row r="19" spans="1:7">
      <c r="A19" s="474">
        <f>Biodata!A21</f>
        <v>13</v>
      </c>
      <c r="B19" s="478" t="str">
        <f>Biodata!B21</f>
        <v>181910104</v>
      </c>
      <c r="C19" s="479" t="str">
        <f>Biodata!C21</f>
        <v>DWIKI DERMAWAN</v>
      </c>
      <c r="D19" s="474">
        <v>40</v>
      </c>
      <c r="E19" s="474" t="s">
        <v>429</v>
      </c>
      <c r="F19" s="474">
        <v>30</v>
      </c>
      <c r="G19" s="474" t="s">
        <v>429</v>
      </c>
    </row>
    <row r="20" spans="1:7">
      <c r="A20" s="474">
        <f>Biodata!A22</f>
        <v>14</v>
      </c>
      <c r="B20" s="478" t="str">
        <f>Biodata!B22</f>
        <v>181910118</v>
      </c>
      <c r="C20" s="479" t="str">
        <f>Biodata!C22</f>
        <v>ENCEP CANDRA</v>
      </c>
      <c r="D20" s="474">
        <v>73</v>
      </c>
      <c r="E20" s="474" t="s">
        <v>18</v>
      </c>
      <c r="F20" s="474">
        <v>70</v>
      </c>
      <c r="G20" s="474" t="s">
        <v>18</v>
      </c>
    </row>
    <row r="21" spans="1:7">
      <c r="A21" s="474">
        <f>Biodata!A23</f>
        <v>15</v>
      </c>
      <c r="B21" s="478" t="str">
        <f>Biodata!B23</f>
        <v>181910128</v>
      </c>
      <c r="C21" s="479" t="str">
        <f>Biodata!C23</f>
        <v>FAIZAL EGI</v>
      </c>
      <c r="D21" s="474">
        <v>73</v>
      </c>
      <c r="E21" s="474" t="s">
        <v>18</v>
      </c>
      <c r="F21" s="474">
        <v>70</v>
      </c>
      <c r="G21" s="474" t="s">
        <v>18</v>
      </c>
    </row>
    <row r="22" spans="1:7">
      <c r="A22" s="474">
        <f>Biodata!A24</f>
        <v>16</v>
      </c>
      <c r="B22" s="478" t="str">
        <f>Biodata!B24</f>
        <v>181910133</v>
      </c>
      <c r="C22" s="479" t="str">
        <f>Biodata!C24</f>
        <v>FAUZI DHALFADLIL AZHANI</v>
      </c>
      <c r="D22" s="474">
        <v>73</v>
      </c>
      <c r="E22" s="474" t="s">
        <v>18</v>
      </c>
      <c r="F22" s="474">
        <v>70</v>
      </c>
      <c r="G22" s="474" t="s">
        <v>18</v>
      </c>
    </row>
    <row r="23" spans="1:7">
      <c r="A23" s="474">
        <f>Biodata!A25</f>
        <v>17</v>
      </c>
      <c r="B23" s="478" t="str">
        <f>Biodata!B25</f>
        <v>181910161</v>
      </c>
      <c r="C23" s="479" t="str">
        <f>Biodata!C25</f>
        <v>HILMAN PUTRA PAMUNGKAS</v>
      </c>
      <c r="D23" s="474">
        <v>74</v>
      </c>
      <c r="E23" s="474" t="s">
        <v>18</v>
      </c>
      <c r="F23" s="474">
        <v>75</v>
      </c>
      <c r="G23" s="474" t="s">
        <v>18</v>
      </c>
    </row>
    <row r="24" spans="1:7">
      <c r="A24" s="474">
        <f>Biodata!A26</f>
        <v>18</v>
      </c>
      <c r="B24" s="478" t="str">
        <f>Biodata!B26</f>
        <v>181910165</v>
      </c>
      <c r="C24" s="479" t="str">
        <f>Biodata!C26</f>
        <v>IHSYA FADILLAH MUSLIM</v>
      </c>
      <c r="D24" s="474">
        <v>74</v>
      </c>
      <c r="E24" s="474" t="s">
        <v>18</v>
      </c>
      <c r="F24" s="474">
        <v>75</v>
      </c>
      <c r="G24" s="474" t="s">
        <v>18</v>
      </c>
    </row>
    <row r="25" spans="1:7">
      <c r="A25" s="474">
        <f>Biodata!A27</f>
        <v>19</v>
      </c>
      <c r="B25" s="478" t="str">
        <f>Biodata!B27</f>
        <v>181910185</v>
      </c>
      <c r="C25" s="479" t="str">
        <f>Biodata!C27</f>
        <v>JIHAD AKBAR</v>
      </c>
      <c r="D25" s="474">
        <v>40</v>
      </c>
      <c r="E25" s="474" t="s">
        <v>429</v>
      </c>
      <c r="F25" s="474">
        <v>30</v>
      </c>
      <c r="G25" s="474" t="s">
        <v>429</v>
      </c>
    </row>
    <row r="26" spans="1:7">
      <c r="A26" s="474">
        <f>Biodata!A28</f>
        <v>20</v>
      </c>
      <c r="B26" s="478" t="str">
        <f>Biodata!B28</f>
        <v>181910226</v>
      </c>
      <c r="C26" s="479" t="str">
        <f>Biodata!C28</f>
        <v>MUHAMAD IZZAZUL FIKRIAN</v>
      </c>
      <c r="D26" s="474">
        <v>73</v>
      </c>
      <c r="E26" s="474" t="s">
        <v>18</v>
      </c>
      <c r="F26" s="474">
        <v>70</v>
      </c>
      <c r="G26" s="474" t="s">
        <v>18</v>
      </c>
    </row>
    <row r="27" spans="1:7">
      <c r="A27" s="474">
        <f>Biodata!A29</f>
        <v>21</v>
      </c>
      <c r="B27" s="478" t="str">
        <f>Biodata!B29</f>
        <v>181910240</v>
      </c>
      <c r="C27" s="479" t="str">
        <f>Biodata!C29</f>
        <v>NESHA RAUDHATUL ZANNAH</v>
      </c>
      <c r="D27" s="474">
        <v>73</v>
      </c>
      <c r="E27" s="474" t="s">
        <v>18</v>
      </c>
      <c r="F27" s="474">
        <v>75</v>
      </c>
      <c r="G27" s="474" t="s">
        <v>18</v>
      </c>
    </row>
    <row r="28" spans="1:7">
      <c r="A28" s="474">
        <f>Biodata!A30</f>
        <v>22</v>
      </c>
      <c r="B28" s="478" t="str">
        <f>Biodata!B30</f>
        <v>181910262</v>
      </c>
      <c r="C28" s="479" t="str">
        <f>Biodata!C30</f>
        <v>PUTRI ANGGRAENI</v>
      </c>
      <c r="D28" s="474">
        <v>73</v>
      </c>
      <c r="E28" s="474" t="s">
        <v>18</v>
      </c>
      <c r="F28" s="474">
        <v>75</v>
      </c>
      <c r="G28" s="474" t="s">
        <v>18</v>
      </c>
    </row>
    <row r="29" spans="1:7">
      <c r="A29" s="474">
        <f>Biodata!A31</f>
        <v>23</v>
      </c>
      <c r="B29" s="478" t="str">
        <f>Biodata!B31</f>
        <v>181910266</v>
      </c>
      <c r="C29" s="479" t="str">
        <f>Biodata!C31</f>
        <v>PUTRI WULANDARI</v>
      </c>
      <c r="D29" s="474">
        <v>73</v>
      </c>
      <c r="E29" s="474" t="s">
        <v>18</v>
      </c>
      <c r="F29" s="474">
        <v>75</v>
      </c>
      <c r="G29" s="474" t="s">
        <v>18</v>
      </c>
    </row>
    <row r="30" spans="1:7">
      <c r="A30" s="474">
        <f>Biodata!A32</f>
        <v>24</v>
      </c>
      <c r="B30" s="478" t="str">
        <f>Biodata!B32</f>
        <v>181910272</v>
      </c>
      <c r="C30" s="479" t="str">
        <f>Biodata!C32</f>
        <v>RAFLY GYMNASTIAR</v>
      </c>
      <c r="D30" s="474">
        <v>40</v>
      </c>
      <c r="E30" s="474" t="s">
        <v>429</v>
      </c>
      <c r="F30" s="474">
        <v>30</v>
      </c>
      <c r="G30" s="474" t="s">
        <v>429</v>
      </c>
    </row>
    <row r="31" spans="1:7">
      <c r="A31" s="474">
        <f>Biodata!A33</f>
        <v>25</v>
      </c>
      <c r="B31" s="478" t="str">
        <f>Biodata!B33</f>
        <v>181910280</v>
      </c>
      <c r="C31" s="479" t="str">
        <f>Biodata!C33</f>
        <v>REFIANA</v>
      </c>
      <c r="D31" s="474">
        <v>0</v>
      </c>
      <c r="E31" s="474" t="str">
        <f t="shared" si="0"/>
        <v/>
      </c>
      <c r="F31" s="474">
        <f t="shared" si="1"/>
        <v>0</v>
      </c>
      <c r="G31" s="474" t="str">
        <f t="shared" si="2"/>
        <v/>
      </c>
    </row>
    <row r="32" spans="1:7">
      <c r="A32" s="474">
        <f>Biodata!A34</f>
        <v>26</v>
      </c>
      <c r="B32" s="478" t="str">
        <f>Biodata!B34</f>
        <v>181910285</v>
      </c>
      <c r="C32" s="479" t="str">
        <f>Biodata!C34</f>
        <v>RENALDI PRIYATAMA</v>
      </c>
      <c r="D32" s="474">
        <v>40</v>
      </c>
      <c r="E32" s="474" t="s">
        <v>429</v>
      </c>
      <c r="F32" s="474">
        <v>30</v>
      </c>
      <c r="G32" s="474" t="s">
        <v>429</v>
      </c>
    </row>
    <row r="33" spans="1:7">
      <c r="A33" s="474">
        <f>Biodata!A35</f>
        <v>27</v>
      </c>
      <c r="B33" s="478" t="str">
        <f>Biodata!B35</f>
        <v>181910286</v>
      </c>
      <c r="C33" s="479" t="str">
        <f>Biodata!C35</f>
        <v>RENATA</v>
      </c>
      <c r="D33" s="474">
        <v>73</v>
      </c>
      <c r="E33" s="474" t="s">
        <v>18</v>
      </c>
      <c r="F33" s="474">
        <v>75</v>
      </c>
      <c r="G33" s="474" t="s">
        <v>18</v>
      </c>
    </row>
    <row r="34" spans="1:7">
      <c r="A34" s="474">
        <f>Biodata!A36</f>
        <v>28</v>
      </c>
      <c r="B34" s="478" t="str">
        <f>Biodata!B36</f>
        <v>181910293</v>
      </c>
      <c r="C34" s="479" t="str">
        <f>Biodata!C36</f>
        <v xml:space="preserve">REZA ERNANDA </v>
      </c>
      <c r="D34" s="474">
        <v>73</v>
      </c>
      <c r="E34" s="474" t="s">
        <v>18</v>
      </c>
      <c r="F34" s="474">
        <v>75</v>
      </c>
      <c r="G34" s="474" t="s">
        <v>18</v>
      </c>
    </row>
    <row r="35" spans="1:7">
      <c r="A35" s="474">
        <f>Biodata!A37</f>
        <v>29</v>
      </c>
      <c r="B35" s="478" t="str">
        <f>Biodata!B37</f>
        <v>181910300</v>
      </c>
      <c r="C35" s="479" t="str">
        <f>Biodata!C37</f>
        <v>RIFAN MUHAMAD RIZKI</v>
      </c>
      <c r="D35" s="474">
        <f t="shared" ref="D35:D46" si="3">IFERROR(VLOOKUP(B35&amp;"A",leggerx1,8,0),"")</f>
        <v>0</v>
      </c>
      <c r="E35" s="474" t="str">
        <f t="shared" si="0"/>
        <v/>
      </c>
      <c r="F35" s="474">
        <f t="shared" si="1"/>
        <v>0</v>
      </c>
      <c r="G35" s="474" t="str">
        <f t="shared" si="2"/>
        <v/>
      </c>
    </row>
    <row r="36" spans="1:7">
      <c r="A36" s="474">
        <f>Biodata!A38</f>
        <v>30</v>
      </c>
      <c r="B36" s="478" t="str">
        <f>Biodata!B38</f>
        <v>181910318</v>
      </c>
      <c r="C36" s="479" t="str">
        <f>Biodata!C38</f>
        <v>RISMA SURYANI</v>
      </c>
      <c r="D36" s="474">
        <v>74</v>
      </c>
      <c r="E36" s="474" t="str">
        <f t="shared" si="0"/>
        <v>C</v>
      </c>
      <c r="F36" s="474">
        <v>75</v>
      </c>
      <c r="G36" s="474" t="str">
        <f t="shared" si="2"/>
        <v>C</v>
      </c>
    </row>
    <row r="37" spans="1:7">
      <c r="A37" s="474">
        <f>Biodata!A39</f>
        <v>31</v>
      </c>
      <c r="B37" s="478" t="str">
        <f>Biodata!B39</f>
        <v>181910320</v>
      </c>
      <c r="C37" s="479" t="str">
        <f>Biodata!C39</f>
        <v>RISNA TIRANI</v>
      </c>
      <c r="D37" s="474">
        <v>75</v>
      </c>
      <c r="E37" s="474" t="str">
        <f t="shared" si="0"/>
        <v>C</v>
      </c>
      <c r="F37" s="474">
        <v>81</v>
      </c>
      <c r="G37" s="474" t="str">
        <f t="shared" si="2"/>
        <v>B</v>
      </c>
    </row>
    <row r="38" spans="1:7">
      <c r="A38" s="474">
        <f>Biodata!A40</f>
        <v>32</v>
      </c>
      <c r="B38" s="478" t="str">
        <f>Biodata!B40</f>
        <v>181910331</v>
      </c>
      <c r="C38" s="479" t="str">
        <f>Biodata!C40</f>
        <v>RULLY PRATAMA S.</v>
      </c>
      <c r="D38" s="474">
        <v>73</v>
      </c>
      <c r="E38" s="474" t="str">
        <f t="shared" si="0"/>
        <v>C</v>
      </c>
      <c r="F38" s="474">
        <v>75</v>
      </c>
      <c r="G38" s="474" t="str">
        <f t="shared" si="2"/>
        <v>C</v>
      </c>
    </row>
    <row r="39" spans="1:7">
      <c r="A39" s="474">
        <f>Biodata!A41</f>
        <v>33</v>
      </c>
      <c r="B39" s="478" t="str">
        <f>Biodata!B41</f>
        <v>181910335</v>
      </c>
      <c r="C39" s="479" t="str">
        <f>Biodata!C41</f>
        <v>SALSA ASYKIYA</v>
      </c>
      <c r="D39" s="474">
        <v>75</v>
      </c>
      <c r="E39" s="474" t="str">
        <f t="shared" si="0"/>
        <v>C</v>
      </c>
      <c r="F39" s="474">
        <v>75</v>
      </c>
      <c r="G39" s="474" t="str">
        <f t="shared" si="2"/>
        <v>C</v>
      </c>
    </row>
    <row r="40" spans="1:7">
      <c r="A40" s="474">
        <f>Biodata!A42</f>
        <v>34</v>
      </c>
      <c r="B40" s="478" t="str">
        <f>Biodata!B42</f>
        <v>181910353</v>
      </c>
      <c r="C40" s="479" t="str">
        <f>Biodata!C42</f>
        <v>SILFI HAMIDAH</v>
      </c>
      <c r="D40" s="474">
        <v>73</v>
      </c>
      <c r="E40" s="474" t="str">
        <f t="shared" si="0"/>
        <v>C</v>
      </c>
      <c r="F40" s="474">
        <v>75</v>
      </c>
      <c r="G40" s="474" t="str">
        <f t="shared" si="2"/>
        <v>C</v>
      </c>
    </row>
    <row r="41" spans="1:7">
      <c r="A41" s="474">
        <f>Biodata!A43</f>
        <v>35</v>
      </c>
      <c r="B41" s="478" t="str">
        <f>Biodata!B43</f>
        <v>181910408</v>
      </c>
      <c r="C41" s="479" t="str">
        <f>Biodata!C43</f>
        <v>YESHA RAHAYU</v>
      </c>
      <c r="D41" s="474">
        <v>73</v>
      </c>
      <c r="E41" s="474" t="str">
        <f t="shared" si="0"/>
        <v>C</v>
      </c>
      <c r="F41" s="474">
        <v>75</v>
      </c>
      <c r="G41" s="474" t="str">
        <f t="shared" si="2"/>
        <v>C</v>
      </c>
    </row>
    <row r="42" spans="1:7">
      <c r="A42" s="474">
        <f>Biodata!A44</f>
        <v>36</v>
      </c>
      <c r="B42" s="478" t="str">
        <f>Biodata!B44</f>
        <v>181910433</v>
      </c>
      <c r="C42" s="479" t="str">
        <f>Biodata!C44</f>
        <v>MUHAMAD RIZAL</v>
      </c>
      <c r="D42" s="474">
        <v>72</v>
      </c>
      <c r="E42" s="474" t="str">
        <f t="shared" si="0"/>
        <v>C</v>
      </c>
      <c r="F42" s="474">
        <v>75</v>
      </c>
      <c r="G42" s="474" t="str">
        <f t="shared" si="2"/>
        <v>C</v>
      </c>
    </row>
    <row r="43" spans="1:7">
      <c r="A43" s="474">
        <f>Biodata!A45</f>
        <v>37</v>
      </c>
      <c r="B43" s="478" t="str">
        <f>Biodata!B45</f>
        <v>037</v>
      </c>
      <c r="C43" s="479" t="str">
        <f>Biodata!C45</f>
        <v>A37</v>
      </c>
      <c r="D43" s="474">
        <f t="shared" si="3"/>
        <v>0</v>
      </c>
      <c r="E43" s="474" t="str">
        <f t="shared" si="0"/>
        <v/>
      </c>
      <c r="F43" s="474">
        <f t="shared" si="1"/>
        <v>0</v>
      </c>
      <c r="G43" s="474" t="str">
        <f t="shared" si="2"/>
        <v/>
      </c>
    </row>
    <row r="44" spans="1:7">
      <c r="A44" s="474">
        <f>Biodata!A46</f>
        <v>38</v>
      </c>
      <c r="B44" s="478" t="str">
        <f>Biodata!B46</f>
        <v>038</v>
      </c>
      <c r="C44" s="479" t="str">
        <f>Biodata!C46</f>
        <v>A38</v>
      </c>
      <c r="D44" s="474">
        <f t="shared" si="3"/>
        <v>0</v>
      </c>
      <c r="E44" s="474" t="str">
        <f t="shared" si="0"/>
        <v/>
      </c>
      <c r="F44" s="474">
        <f t="shared" si="1"/>
        <v>0</v>
      </c>
      <c r="G44" s="474" t="str">
        <f t="shared" si="2"/>
        <v/>
      </c>
    </row>
    <row r="45" spans="1:7">
      <c r="A45" s="474">
        <f>Biodata!A47</f>
        <v>39</v>
      </c>
      <c r="B45" s="478" t="str">
        <f>Biodata!B47</f>
        <v>039</v>
      </c>
      <c r="C45" s="479" t="str">
        <f>Biodata!C47</f>
        <v>A39</v>
      </c>
      <c r="D45" s="474">
        <f t="shared" si="3"/>
        <v>0</v>
      </c>
      <c r="E45" s="474" t="str">
        <f t="shared" si="0"/>
        <v/>
      </c>
      <c r="F45" s="474">
        <f t="shared" si="1"/>
        <v>0</v>
      </c>
      <c r="G45" s="474" t="str">
        <f t="shared" si="2"/>
        <v/>
      </c>
    </row>
    <row r="46" spans="1:7">
      <c r="A46" s="474">
        <f>Biodata!A48</f>
        <v>40</v>
      </c>
      <c r="B46" s="478" t="str">
        <f>Biodata!B48</f>
        <v>040</v>
      </c>
      <c r="C46" s="479" t="str">
        <f>Biodata!C48</f>
        <v>A40</v>
      </c>
      <c r="D46" s="474">
        <f t="shared" si="3"/>
        <v>0</v>
      </c>
      <c r="E46" s="474" t="str">
        <f t="shared" si="0"/>
        <v/>
      </c>
      <c r="F46" s="474">
        <f t="shared" si="1"/>
        <v>0</v>
      </c>
      <c r="G46" s="474" t="str">
        <f t="shared" si="2"/>
        <v/>
      </c>
    </row>
    <row r="47" spans="1:7">
      <c r="C47" s="483"/>
    </row>
    <row r="48" spans="1:7">
      <c r="C48" s="483"/>
    </row>
    <row r="49" spans="3:3" s="475" customFormat="1" ht="11.25">
      <c r="C49" s="483"/>
    </row>
    <row r="50" spans="3:3" s="475" customFormat="1" ht="11.25">
      <c r="C50" s="48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0"/>
  <sheetViews>
    <sheetView topLeftCell="A26" workbookViewId="0">
      <selection activeCell="G42" sqref="G42"/>
    </sheetView>
  </sheetViews>
  <sheetFormatPr defaultColWidth="9" defaultRowHeight="12.75"/>
  <cols>
    <col min="1" max="1" width="3.7109375" style="474" customWidth="1"/>
    <col min="2" max="2" width="7.140625" style="474" customWidth="1"/>
    <col min="3" max="3" width="21.7109375" style="475" customWidth="1"/>
    <col min="4" max="4" width="11.85546875" style="474" customWidth="1"/>
    <col min="5" max="5" width="8" style="474" customWidth="1"/>
    <col min="6" max="6" width="12" style="474" customWidth="1"/>
    <col min="7" max="7" width="8" style="474" customWidth="1"/>
    <col min="8" max="256" width="9.140625" style="475" customWidth="1"/>
  </cols>
  <sheetData>
    <row r="1" spans="1:7">
      <c r="C1" s="476" t="s">
        <v>329</v>
      </c>
      <c r="D1" s="477" t="str">
        <f>Biodata!C4</f>
        <v xml:space="preserve"> X / IPS_5</v>
      </c>
    </row>
    <row r="2" spans="1:7">
      <c r="C2" s="476" t="s">
        <v>330</v>
      </c>
      <c r="D2" s="477" t="str">
        <f>Biodata!C5</f>
        <v>1 / Ganjil</v>
      </c>
    </row>
    <row r="3" spans="1:7">
      <c r="D3" s="477"/>
    </row>
    <row r="4" spans="1:7">
      <c r="C4" s="476" t="s">
        <v>331</v>
      </c>
      <c r="D4" s="477" t="str">
        <f>LEGER!L6</f>
        <v>Seni Budaya</v>
      </c>
    </row>
    <row r="5" spans="1:7">
      <c r="C5" s="476" t="s">
        <v>332</v>
      </c>
      <c r="D5" s="477">
        <f>RAPORT!C84</f>
        <v>70</v>
      </c>
    </row>
    <row r="6" spans="1:7">
      <c r="A6" s="474" t="s">
        <v>325</v>
      </c>
      <c r="B6" s="474" t="s">
        <v>10</v>
      </c>
      <c r="C6" s="475" t="s">
        <v>324</v>
      </c>
      <c r="D6" s="474" t="s">
        <v>75</v>
      </c>
      <c r="E6" s="474" t="s">
        <v>71</v>
      </c>
      <c r="F6" s="474" t="s">
        <v>147</v>
      </c>
      <c r="G6" s="474" t="s">
        <v>71</v>
      </c>
    </row>
    <row r="7" spans="1:7">
      <c r="A7" s="474">
        <f>Biodata!A9</f>
        <v>1</v>
      </c>
      <c r="B7" s="478" t="str">
        <f>Biodata!B9</f>
        <v>181910008</v>
      </c>
      <c r="C7" s="479" t="str">
        <f>Biodata!C9</f>
        <v>ADITA TRI KURNIA PUTRI</v>
      </c>
      <c r="D7" s="474">
        <v>76</v>
      </c>
      <c r="E7" s="474" t="s">
        <v>6</v>
      </c>
      <c r="F7" s="474">
        <v>76</v>
      </c>
      <c r="G7" s="474" t="s">
        <v>6</v>
      </c>
    </row>
    <row r="8" spans="1:7">
      <c r="A8" s="474">
        <f>Biodata!A10</f>
        <v>2</v>
      </c>
      <c r="B8" s="478" t="str">
        <f>Biodata!B10</f>
        <v>181910011</v>
      </c>
      <c r="C8" s="479" t="str">
        <f>Biodata!C10</f>
        <v xml:space="preserve">ADNES KOMALA DEWI </v>
      </c>
      <c r="D8" s="474">
        <v>75</v>
      </c>
      <c r="E8" s="474" t="s">
        <v>18</v>
      </c>
      <c r="F8" s="474">
        <v>70</v>
      </c>
      <c r="G8" s="474" t="s">
        <v>18</v>
      </c>
    </row>
    <row r="9" spans="1:7">
      <c r="A9" s="474">
        <f>Biodata!A11</f>
        <v>3</v>
      </c>
      <c r="B9" s="478" t="str">
        <f>Biodata!B11</f>
        <v>181910014</v>
      </c>
      <c r="C9" s="479" t="str">
        <f>Biodata!C11</f>
        <v>AGUNG BUDI PRASTAWA</v>
      </c>
      <c r="D9" s="474">
        <v>74</v>
      </c>
      <c r="E9" s="474" t="s">
        <v>18</v>
      </c>
      <c r="F9" s="474">
        <v>70</v>
      </c>
      <c r="G9" s="474" t="s">
        <v>18</v>
      </c>
    </row>
    <row r="10" spans="1:7">
      <c r="A10" s="474">
        <f>Biodata!A12</f>
        <v>4</v>
      </c>
      <c r="B10" s="478" t="str">
        <f>Biodata!B12</f>
        <v>181910021</v>
      </c>
      <c r="C10" s="479" t="str">
        <f>Biodata!C12</f>
        <v>AISYAH</v>
      </c>
      <c r="D10" s="474">
        <v>77</v>
      </c>
      <c r="E10" s="474" t="s">
        <v>6</v>
      </c>
      <c r="F10" s="474">
        <v>76</v>
      </c>
      <c r="G10" s="474" t="s">
        <v>6</v>
      </c>
    </row>
    <row r="11" spans="1:7">
      <c r="A11" s="474">
        <f>Biodata!A13</f>
        <v>5</v>
      </c>
      <c r="B11" s="478" t="str">
        <f>Biodata!B13</f>
        <v>181910045</v>
      </c>
      <c r="C11" s="479" t="str">
        <f>Biodata!C13</f>
        <v>ARYA DYTA WIGUNA</v>
      </c>
      <c r="D11" s="474">
        <v>75</v>
      </c>
      <c r="E11" s="474" t="s">
        <v>18</v>
      </c>
      <c r="F11" s="474">
        <v>76</v>
      </c>
      <c r="G11" s="474" t="s">
        <v>6</v>
      </c>
    </row>
    <row r="12" spans="1:7">
      <c r="A12" s="474">
        <f>Biodata!A14</f>
        <v>6</v>
      </c>
      <c r="B12" s="478" t="str">
        <f>Biodata!B14</f>
        <v>181910054</v>
      </c>
      <c r="C12" s="479" t="str">
        <f>Biodata!C14</f>
        <v>AZRIEL TAMA SANTIAJI</v>
      </c>
      <c r="D12" s="474">
        <v>70</v>
      </c>
      <c r="E12" s="474" t="s">
        <v>18</v>
      </c>
      <c r="F12" s="474">
        <v>48</v>
      </c>
      <c r="G12" s="474" t="s">
        <v>429</v>
      </c>
    </row>
    <row r="13" spans="1:7">
      <c r="A13" s="474">
        <f>Biodata!A15</f>
        <v>7</v>
      </c>
      <c r="B13" s="478" t="str">
        <f>Biodata!B15</f>
        <v>181910055</v>
      </c>
      <c r="C13" s="479" t="str">
        <f>Biodata!C15</f>
        <v>AZZUHRI HAUDI</v>
      </c>
      <c r="D13" s="474">
        <v>76</v>
      </c>
      <c r="E13" s="474" t="s">
        <v>18</v>
      </c>
      <c r="F13" s="474">
        <v>76</v>
      </c>
      <c r="G13" s="474" t="s">
        <v>6</v>
      </c>
    </row>
    <row r="14" spans="1:7">
      <c r="A14" s="474">
        <f>Biodata!A16</f>
        <v>8</v>
      </c>
      <c r="B14" s="478" t="str">
        <f>Biodata!B16</f>
        <v>181910056</v>
      </c>
      <c r="C14" s="479" t="str">
        <f>Biodata!C16</f>
        <v>BAYU BATARA SURYA PUTRA</v>
      </c>
      <c r="D14" s="474">
        <v>73</v>
      </c>
      <c r="E14" s="474" t="s">
        <v>18</v>
      </c>
      <c r="F14" s="474">
        <v>50</v>
      </c>
      <c r="G14" s="474" t="s">
        <v>429</v>
      </c>
    </row>
    <row r="15" spans="1:7">
      <c r="A15" s="474">
        <f>Biodata!A17</f>
        <v>9</v>
      </c>
      <c r="B15" s="478" t="str">
        <f>Biodata!B17</f>
        <v>181910069</v>
      </c>
      <c r="C15" s="479" t="str">
        <f>Biodata!C17</f>
        <v>DANDY ERVAN PRATAMA</v>
      </c>
      <c r="D15" s="474">
        <v>70</v>
      </c>
      <c r="E15" s="474" t="s">
        <v>18</v>
      </c>
      <c r="F15" s="474">
        <v>47</v>
      </c>
      <c r="G15" s="474" t="s">
        <v>429</v>
      </c>
    </row>
    <row r="16" spans="1:7">
      <c r="A16" s="474">
        <f>Biodata!A18</f>
        <v>10</v>
      </c>
      <c r="B16" s="478" t="str">
        <f>Biodata!B18</f>
        <v>181910085</v>
      </c>
      <c r="C16" s="479" t="str">
        <f>Biodata!C18</f>
        <v>DENISA ASTI RAHMAWATI</v>
      </c>
      <c r="D16" s="474">
        <v>76</v>
      </c>
      <c r="E16" s="474" t="s">
        <v>6</v>
      </c>
      <c r="F16" s="474">
        <v>76</v>
      </c>
      <c r="G16" s="474" t="s">
        <v>6</v>
      </c>
    </row>
    <row r="17" spans="1:7">
      <c r="A17" s="474">
        <f>Biodata!A19</f>
        <v>11</v>
      </c>
      <c r="B17" s="478" t="str">
        <f>Biodata!B19</f>
        <v>181910093</v>
      </c>
      <c r="C17" s="479" t="str">
        <f>Biodata!C19</f>
        <v>DIAN RAMDHAN SAPTIAN</v>
      </c>
      <c r="D17" s="474">
        <v>73</v>
      </c>
      <c r="E17" s="474" t="s">
        <v>18</v>
      </c>
      <c r="F17" s="474">
        <v>48</v>
      </c>
      <c r="G17" s="474" t="s">
        <v>429</v>
      </c>
    </row>
    <row r="18" spans="1:7">
      <c r="A18" s="474">
        <f>Biodata!A20</f>
        <v>12</v>
      </c>
      <c r="B18" s="478" t="str">
        <f>Biodata!B20</f>
        <v>181910103</v>
      </c>
      <c r="C18" s="479" t="str">
        <f>Biodata!C20</f>
        <v>DIVYA ADHIANI NURDIN</v>
      </c>
      <c r="D18" s="474">
        <v>76</v>
      </c>
      <c r="E18" s="474" t="s">
        <v>6</v>
      </c>
      <c r="F18" s="474">
        <v>77</v>
      </c>
      <c r="G18" s="474" t="s">
        <v>6</v>
      </c>
    </row>
    <row r="19" spans="1:7">
      <c r="A19" s="474">
        <f>Biodata!A21</f>
        <v>13</v>
      </c>
      <c r="B19" s="478" t="str">
        <f>Biodata!B21</f>
        <v>181910104</v>
      </c>
      <c r="C19" s="479" t="str">
        <f>Biodata!C21</f>
        <v>DWIKI DERMAWAN</v>
      </c>
      <c r="D19" s="474">
        <v>70</v>
      </c>
      <c r="E19" s="474" t="s">
        <v>18</v>
      </c>
      <c r="F19" s="474">
        <v>46</v>
      </c>
      <c r="G19" s="474" t="s">
        <v>429</v>
      </c>
    </row>
    <row r="20" spans="1:7">
      <c r="A20" s="474">
        <f>Biodata!A22</f>
        <v>14</v>
      </c>
      <c r="B20" s="478" t="str">
        <f>Biodata!B22</f>
        <v>181910118</v>
      </c>
      <c r="C20" s="479" t="str">
        <f>Biodata!C22</f>
        <v>ENCEP CANDRA</v>
      </c>
      <c r="D20" s="474">
        <v>72</v>
      </c>
      <c r="E20" s="474" t="s">
        <v>18</v>
      </c>
      <c r="F20" s="474">
        <v>54</v>
      </c>
      <c r="G20" s="474" t="s">
        <v>429</v>
      </c>
    </row>
    <row r="21" spans="1:7">
      <c r="A21" s="474">
        <f>Biodata!A23</f>
        <v>15</v>
      </c>
      <c r="B21" s="478" t="str">
        <f>Biodata!B23</f>
        <v>181910128</v>
      </c>
      <c r="C21" s="479" t="str">
        <f>Biodata!C23</f>
        <v>FAIZAL EGI</v>
      </c>
      <c r="D21" s="474">
        <v>72</v>
      </c>
      <c r="E21" s="474" t="s">
        <v>18</v>
      </c>
      <c r="F21" s="474">
        <v>55</v>
      </c>
      <c r="G21" s="474" t="s">
        <v>429</v>
      </c>
    </row>
    <row r="22" spans="1:7">
      <c r="A22" s="474">
        <f>Biodata!A24</f>
        <v>16</v>
      </c>
      <c r="B22" s="478" t="str">
        <f>Biodata!B24</f>
        <v>181910133</v>
      </c>
      <c r="C22" s="479" t="str">
        <f>Biodata!C24</f>
        <v>FAUZI DHALFADLIL AZHANI</v>
      </c>
      <c r="D22" s="474">
        <v>76</v>
      </c>
      <c r="E22" s="474" t="s">
        <v>18</v>
      </c>
      <c r="F22" s="474">
        <v>75</v>
      </c>
      <c r="G22" s="474" t="s">
        <v>18</v>
      </c>
    </row>
    <row r="23" spans="1:7">
      <c r="A23" s="474">
        <f>Biodata!A25</f>
        <v>17</v>
      </c>
      <c r="B23" s="478" t="str">
        <f>Biodata!B25</f>
        <v>181910161</v>
      </c>
      <c r="C23" s="479" t="str">
        <f>Biodata!C25</f>
        <v>HILMAN PUTRA PAMUNGKAS</v>
      </c>
      <c r="D23" s="474">
        <v>80</v>
      </c>
      <c r="E23" s="474" t="s">
        <v>6</v>
      </c>
      <c r="F23" s="474">
        <v>78</v>
      </c>
      <c r="G23" s="474" t="s">
        <v>6</v>
      </c>
    </row>
    <row r="24" spans="1:7">
      <c r="A24" s="474">
        <f>Biodata!A26</f>
        <v>18</v>
      </c>
      <c r="B24" s="478" t="str">
        <f>Biodata!B26</f>
        <v>181910165</v>
      </c>
      <c r="C24" s="479" t="str">
        <f>Biodata!C26</f>
        <v>IHSYA FADILLAH MUSLIM</v>
      </c>
      <c r="D24" s="474">
        <v>73</v>
      </c>
      <c r="E24" s="474" t="s">
        <v>18</v>
      </c>
      <c r="F24" s="474">
        <v>50</v>
      </c>
      <c r="G24" s="474" t="s">
        <v>429</v>
      </c>
    </row>
    <row r="25" spans="1:7">
      <c r="A25" s="474">
        <f>Biodata!A27</f>
        <v>19</v>
      </c>
      <c r="B25" s="478" t="str">
        <f>Biodata!B27</f>
        <v>181910185</v>
      </c>
      <c r="C25" s="479" t="str">
        <f>Biodata!C27</f>
        <v>JIHAD AKBAR</v>
      </c>
      <c r="D25" s="474">
        <v>71</v>
      </c>
      <c r="E25" s="474" t="s">
        <v>18</v>
      </c>
      <c r="F25" s="474">
        <v>53</v>
      </c>
      <c r="G25" s="474" t="s">
        <v>429</v>
      </c>
    </row>
    <row r="26" spans="1:7">
      <c r="A26" s="474">
        <f>Biodata!A28</f>
        <v>20</v>
      </c>
      <c r="B26" s="478" t="str">
        <f>Biodata!B28</f>
        <v>181910226</v>
      </c>
      <c r="C26" s="479" t="str">
        <f>Biodata!C28</f>
        <v>MUHAMAD IZZAZUL FIKRIAN</v>
      </c>
      <c r="D26" s="474">
        <v>75</v>
      </c>
      <c r="E26" s="474" t="s">
        <v>18</v>
      </c>
      <c r="F26" s="474">
        <v>75</v>
      </c>
      <c r="G26" s="474" t="s">
        <v>18</v>
      </c>
    </row>
    <row r="27" spans="1:7">
      <c r="A27" s="474">
        <f>Biodata!A29</f>
        <v>21</v>
      </c>
      <c r="B27" s="478" t="str">
        <f>Biodata!B29</f>
        <v>181910240</v>
      </c>
      <c r="C27" s="479" t="str">
        <f>Biodata!C29</f>
        <v>NESHA RAUDHATUL ZANNAH</v>
      </c>
      <c r="D27" s="474">
        <v>74</v>
      </c>
      <c r="E27" s="474" t="s">
        <v>18</v>
      </c>
      <c r="F27" s="474">
        <v>75</v>
      </c>
      <c r="G27" s="474" t="s">
        <v>18</v>
      </c>
    </row>
    <row r="28" spans="1:7">
      <c r="A28" s="474">
        <f>Biodata!A30</f>
        <v>22</v>
      </c>
      <c r="B28" s="478" t="str">
        <f>Biodata!B30</f>
        <v>181910262</v>
      </c>
      <c r="C28" s="479" t="str">
        <f>Biodata!C30</f>
        <v>PUTRI ANGGRAENI</v>
      </c>
      <c r="D28" s="474">
        <v>74</v>
      </c>
      <c r="E28" s="474" t="s">
        <v>18</v>
      </c>
      <c r="F28" s="474">
        <v>75</v>
      </c>
      <c r="G28" s="474" t="s">
        <v>18</v>
      </c>
    </row>
    <row r="29" spans="1:7">
      <c r="A29" s="474">
        <f>Biodata!A31</f>
        <v>23</v>
      </c>
      <c r="B29" s="478" t="str">
        <f>Biodata!B31</f>
        <v>181910266</v>
      </c>
      <c r="C29" s="479" t="str">
        <f>Biodata!C31</f>
        <v>PUTRI WULANDARI</v>
      </c>
      <c r="D29" s="474">
        <v>74</v>
      </c>
      <c r="E29" s="474" t="s">
        <v>18</v>
      </c>
      <c r="F29" s="474">
        <v>75</v>
      </c>
      <c r="G29" s="474" t="s">
        <v>18</v>
      </c>
    </row>
    <row r="30" spans="1:7">
      <c r="A30" s="474">
        <f>Biodata!A32</f>
        <v>24</v>
      </c>
      <c r="B30" s="478" t="str">
        <f>Biodata!B32</f>
        <v>181910272</v>
      </c>
      <c r="C30" s="479" t="str">
        <f>Biodata!C32</f>
        <v>RAFLY GYMNASTIAR</v>
      </c>
      <c r="D30" s="474">
        <v>72</v>
      </c>
      <c r="E30" s="474" t="s">
        <v>18</v>
      </c>
      <c r="F30" s="474">
        <v>50</v>
      </c>
      <c r="G30" s="474" t="s">
        <v>429</v>
      </c>
    </row>
    <row r="31" spans="1:7">
      <c r="A31" s="474">
        <f>Biodata!A33</f>
        <v>25</v>
      </c>
      <c r="B31" s="478" t="str">
        <f>Biodata!B33</f>
        <v>181910280</v>
      </c>
      <c r="C31" s="479" t="str">
        <f>Biodata!C33</f>
        <v>REFIANA</v>
      </c>
      <c r="D31" s="474">
        <v>74</v>
      </c>
      <c r="E31" s="474" t="s">
        <v>6</v>
      </c>
      <c r="F31" s="474">
        <v>55</v>
      </c>
      <c r="G31" s="474" t="s">
        <v>429</v>
      </c>
    </row>
    <row r="32" spans="1:7">
      <c r="A32" s="474">
        <f>Biodata!A34</f>
        <v>26</v>
      </c>
      <c r="B32" s="478" t="str">
        <f>Biodata!B34</f>
        <v>181910285</v>
      </c>
      <c r="C32" s="479" t="str">
        <f>Biodata!C34</f>
        <v>RENALDI PRIYATAMA</v>
      </c>
      <c r="D32" s="474">
        <v>76</v>
      </c>
      <c r="E32" s="474" t="s">
        <v>6</v>
      </c>
      <c r="F32" s="474">
        <v>70</v>
      </c>
      <c r="G32" s="474" t="s">
        <v>18</v>
      </c>
    </row>
    <row r="33" spans="1:7">
      <c r="A33" s="474">
        <f>Biodata!A35</f>
        <v>27</v>
      </c>
      <c r="B33" s="478" t="str">
        <f>Biodata!B35</f>
        <v>181910286</v>
      </c>
      <c r="C33" s="479" t="str">
        <f>Biodata!C35</f>
        <v>RENATA</v>
      </c>
      <c r="D33" s="474">
        <v>75</v>
      </c>
      <c r="E33" s="474" t="s">
        <v>18</v>
      </c>
      <c r="F33" s="474">
        <v>75</v>
      </c>
      <c r="G33" s="474" t="s">
        <v>18</v>
      </c>
    </row>
    <row r="34" spans="1:7">
      <c r="A34" s="474">
        <f>Biodata!A36</f>
        <v>28</v>
      </c>
      <c r="B34" s="478" t="str">
        <f>Biodata!B36</f>
        <v>181910293</v>
      </c>
      <c r="C34" s="479" t="str">
        <f>Biodata!C36</f>
        <v xml:space="preserve">REZA ERNANDA </v>
      </c>
      <c r="D34" s="474">
        <v>76</v>
      </c>
      <c r="E34" s="474" t="s">
        <v>6</v>
      </c>
      <c r="F34" s="474">
        <v>77</v>
      </c>
      <c r="G34" s="474" t="s">
        <v>6</v>
      </c>
    </row>
    <row r="35" spans="1:7">
      <c r="A35" s="474">
        <f>Biodata!A37</f>
        <v>29</v>
      </c>
      <c r="B35" s="478" t="str">
        <f>Biodata!B37</f>
        <v>181910300</v>
      </c>
      <c r="C35" s="479" t="str">
        <f>Biodata!C37</f>
        <v>RIFAN MUHAMAD RIZKI</v>
      </c>
      <c r="D35" s="474">
        <v>56</v>
      </c>
      <c r="E35" s="474" t="s">
        <v>429</v>
      </c>
      <c r="F35" s="474">
        <v>50</v>
      </c>
      <c r="G35" s="474" t="s">
        <v>429</v>
      </c>
    </row>
    <row r="36" spans="1:7">
      <c r="A36" s="474">
        <f>Biodata!A38</f>
        <v>30</v>
      </c>
      <c r="B36" s="478" t="str">
        <f>Biodata!B38</f>
        <v>181910318</v>
      </c>
      <c r="C36" s="479" t="str">
        <f>Biodata!C38</f>
        <v>RISMA SURYANI</v>
      </c>
      <c r="D36" s="474">
        <v>76</v>
      </c>
      <c r="E36" s="474" t="s">
        <v>6</v>
      </c>
      <c r="F36" s="474">
        <v>76</v>
      </c>
      <c r="G36" s="474" t="s">
        <v>6</v>
      </c>
    </row>
    <row r="37" spans="1:7">
      <c r="A37" s="474">
        <f>Biodata!A39</f>
        <v>31</v>
      </c>
      <c r="B37" s="478" t="str">
        <f>Biodata!B39</f>
        <v>181910320</v>
      </c>
      <c r="C37" s="479" t="str">
        <f>Biodata!C39</f>
        <v>RISNA TIRANI</v>
      </c>
      <c r="D37" s="474">
        <v>80</v>
      </c>
      <c r="E37" s="474" t="s">
        <v>6</v>
      </c>
      <c r="F37" s="474">
        <v>80</v>
      </c>
      <c r="G37" s="474" t="s">
        <v>6</v>
      </c>
    </row>
    <row r="38" spans="1:7">
      <c r="A38" s="474">
        <f>Biodata!A40</f>
        <v>32</v>
      </c>
      <c r="B38" s="478" t="str">
        <f>Biodata!B40</f>
        <v>181910331</v>
      </c>
      <c r="C38" s="479" t="str">
        <f>Biodata!C40</f>
        <v>RULLY PRATAMA S.</v>
      </c>
      <c r="D38" s="474">
        <v>76</v>
      </c>
      <c r="E38" s="474" t="s">
        <v>6</v>
      </c>
      <c r="F38" s="474">
        <v>78</v>
      </c>
      <c r="G38" s="474" t="s">
        <v>6</v>
      </c>
    </row>
    <row r="39" spans="1:7">
      <c r="A39" s="474">
        <f>Biodata!A41</f>
        <v>33</v>
      </c>
      <c r="B39" s="478" t="str">
        <f>Biodata!B41</f>
        <v>181910335</v>
      </c>
      <c r="C39" s="479" t="str">
        <f>Biodata!C41</f>
        <v>SALSA ASYKIYA</v>
      </c>
      <c r="D39" s="474">
        <v>78</v>
      </c>
      <c r="E39" s="474" t="s">
        <v>6</v>
      </c>
      <c r="F39" s="474">
        <v>78</v>
      </c>
      <c r="G39" s="474" t="s">
        <v>6</v>
      </c>
    </row>
    <row r="40" spans="1:7">
      <c r="A40" s="474">
        <f>Biodata!A42</f>
        <v>34</v>
      </c>
      <c r="B40" s="478" t="str">
        <f>Biodata!B42</f>
        <v>181910353</v>
      </c>
      <c r="C40" s="479" t="str">
        <f>Biodata!C42</f>
        <v>SILFI HAMIDAH</v>
      </c>
      <c r="D40" s="474">
        <v>76</v>
      </c>
      <c r="E40" s="474" t="s">
        <v>6</v>
      </c>
      <c r="F40" s="474">
        <v>77</v>
      </c>
      <c r="G40" s="474" t="s">
        <v>6</v>
      </c>
    </row>
    <row r="41" spans="1:7">
      <c r="A41" s="474">
        <f>Biodata!A43</f>
        <v>35</v>
      </c>
      <c r="B41" s="478" t="str">
        <f>Biodata!B43</f>
        <v>181910408</v>
      </c>
      <c r="C41" s="479" t="str">
        <f>Biodata!C43</f>
        <v>YESHA RAHAYU</v>
      </c>
      <c r="D41" s="474">
        <v>75</v>
      </c>
      <c r="E41" s="474" t="s">
        <v>18</v>
      </c>
      <c r="F41" s="474">
        <v>75</v>
      </c>
      <c r="G41" s="474" t="s">
        <v>6</v>
      </c>
    </row>
    <row r="42" spans="1:7">
      <c r="A42" s="474">
        <f>Biodata!A44</f>
        <v>36</v>
      </c>
      <c r="B42" s="478" t="str">
        <f>Biodata!B44</f>
        <v>181910433</v>
      </c>
      <c r="C42" s="479" t="str">
        <f>Biodata!C44</f>
        <v>MUHAMAD RIZAL</v>
      </c>
      <c r="D42" s="474">
        <v>73</v>
      </c>
      <c r="E42" s="474" t="s">
        <v>18</v>
      </c>
      <c r="F42" s="474">
        <v>74</v>
      </c>
      <c r="G42" s="474" t="s">
        <v>18</v>
      </c>
    </row>
    <row r="43" spans="1:7">
      <c r="A43" s="474">
        <f>Biodata!A45</f>
        <v>37</v>
      </c>
      <c r="B43" s="478" t="str">
        <f>Biodata!B45</f>
        <v>037</v>
      </c>
      <c r="C43" s="479" t="str">
        <f>Biodata!C45</f>
        <v>A37</v>
      </c>
      <c r="D43" s="474">
        <f t="shared" ref="D43:D46" si="0">IFERROR(VLOOKUP(B43&amp;"A",leggerx1,9,0),"")</f>
        <v>0</v>
      </c>
      <c r="E43" s="474" t="str">
        <f t="shared" ref="E43:E46" si="1">IFERROR(VLOOKUP(B43&amp;"C",leggerx1,9,0),"")</f>
        <v/>
      </c>
      <c r="F43" s="474">
        <f t="shared" ref="F43:F46" si="2">IFERROR(VLOOKUP(B43&amp;"B",leggerx1,9,0),"")</f>
        <v>0</v>
      </c>
      <c r="G43" s="474" t="str">
        <f t="shared" ref="G43:G46" si="3">IFERROR(VLOOKUP(B43&amp;"D",leggerx1,9,0),"")</f>
        <v/>
      </c>
    </row>
    <row r="44" spans="1:7">
      <c r="A44" s="474">
        <f>Biodata!A46</f>
        <v>38</v>
      </c>
      <c r="B44" s="478" t="str">
        <f>Biodata!B46</f>
        <v>038</v>
      </c>
      <c r="C44" s="479" t="str">
        <f>Biodata!C46</f>
        <v>A38</v>
      </c>
      <c r="D44" s="474">
        <f t="shared" si="0"/>
        <v>0</v>
      </c>
      <c r="E44" s="474" t="str">
        <f t="shared" si="1"/>
        <v/>
      </c>
      <c r="F44" s="474">
        <f t="shared" si="2"/>
        <v>0</v>
      </c>
      <c r="G44" s="474" t="str">
        <f t="shared" si="3"/>
        <v/>
      </c>
    </row>
    <row r="45" spans="1:7">
      <c r="A45" s="474">
        <f>Biodata!A47</f>
        <v>39</v>
      </c>
      <c r="B45" s="478" t="str">
        <f>Biodata!B47</f>
        <v>039</v>
      </c>
      <c r="C45" s="479" t="str">
        <f>Biodata!C47</f>
        <v>A39</v>
      </c>
      <c r="D45" s="474">
        <f t="shared" si="0"/>
        <v>0</v>
      </c>
      <c r="E45" s="474" t="str">
        <f t="shared" si="1"/>
        <v/>
      </c>
      <c r="F45" s="474">
        <f t="shared" si="2"/>
        <v>0</v>
      </c>
      <c r="G45" s="474" t="str">
        <f t="shared" si="3"/>
        <v/>
      </c>
    </row>
    <row r="46" spans="1:7">
      <c r="A46" s="474">
        <f>Biodata!A48</f>
        <v>40</v>
      </c>
      <c r="B46" s="478" t="str">
        <f>Biodata!B48</f>
        <v>040</v>
      </c>
      <c r="C46" s="479" t="str">
        <f>Biodata!C48</f>
        <v>A40</v>
      </c>
      <c r="D46" s="474">
        <f t="shared" si="0"/>
        <v>0</v>
      </c>
      <c r="E46" s="474" t="str">
        <f t="shared" si="1"/>
        <v/>
      </c>
      <c r="F46" s="474">
        <f t="shared" si="2"/>
        <v>0</v>
      </c>
      <c r="G46" s="474" t="str">
        <f t="shared" si="3"/>
        <v/>
      </c>
    </row>
    <row r="47" spans="1:7">
      <c r="C47" s="483"/>
    </row>
    <row r="48" spans="1:7">
      <c r="C48" s="483"/>
    </row>
    <row r="49" spans="3:3" s="475" customFormat="1" ht="11.25">
      <c r="C49" s="483"/>
    </row>
    <row r="50" spans="3:3" s="475" customFormat="1" ht="11.25">
      <c r="C50" s="48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0"/>
  <sheetViews>
    <sheetView topLeftCell="A16" workbookViewId="0">
      <selection activeCell="G7" sqref="G7"/>
    </sheetView>
  </sheetViews>
  <sheetFormatPr defaultColWidth="9" defaultRowHeight="12.75"/>
  <cols>
    <col min="1" max="1" width="3.7109375" style="474" customWidth="1"/>
    <col min="2" max="2" width="7.140625" style="474" customWidth="1"/>
    <col min="3" max="3" width="21.7109375" style="475" customWidth="1"/>
    <col min="4" max="4" width="11.85546875" style="474" customWidth="1"/>
    <col min="5" max="5" width="8" style="474" customWidth="1"/>
    <col min="6" max="6" width="12" style="474" customWidth="1"/>
    <col min="7" max="7" width="8" style="474" customWidth="1"/>
    <col min="8" max="256" width="9.140625" style="475" customWidth="1"/>
  </cols>
  <sheetData>
    <row r="1" spans="1:7">
      <c r="C1" s="476" t="s">
        <v>329</v>
      </c>
      <c r="D1" s="477" t="str">
        <f>Biodata!C4</f>
        <v xml:space="preserve"> X / IPS_5</v>
      </c>
    </row>
    <row r="2" spans="1:7">
      <c r="C2" s="476" t="s">
        <v>330</v>
      </c>
      <c r="D2" s="477" t="str">
        <f>Biodata!C5</f>
        <v>1 / Ganjil</v>
      </c>
    </row>
    <row r="3" spans="1:7">
      <c r="D3" s="477"/>
    </row>
    <row r="4" spans="1:7">
      <c r="C4" s="476" t="s">
        <v>331</v>
      </c>
      <c r="D4" s="477" t="str">
        <f>LEGER!M6</f>
        <v>Pendidikan Jasmani, Olah Raga dan Kesehatan</v>
      </c>
    </row>
    <row r="5" spans="1:7">
      <c r="C5" s="476" t="s">
        <v>332</v>
      </c>
      <c r="D5" s="477">
        <f>RAPORT!C84</f>
        <v>70</v>
      </c>
    </row>
    <row r="6" spans="1:7">
      <c r="A6" s="474" t="s">
        <v>325</v>
      </c>
      <c r="B6" s="474" t="s">
        <v>10</v>
      </c>
      <c r="C6" s="475" t="s">
        <v>324</v>
      </c>
      <c r="D6" s="474" t="s">
        <v>75</v>
      </c>
      <c r="E6" s="474" t="s">
        <v>71</v>
      </c>
      <c r="F6" s="474" t="s">
        <v>147</v>
      </c>
      <c r="G6" s="474" t="s">
        <v>71</v>
      </c>
    </row>
    <row r="7" spans="1:7">
      <c r="A7" s="474">
        <f>Biodata!A9</f>
        <v>1</v>
      </c>
      <c r="B7" s="478" t="str">
        <f>Biodata!B9</f>
        <v>181910008</v>
      </c>
      <c r="C7" s="479" t="str">
        <f>Biodata!C9</f>
        <v>ADITA TRI KURNIA PUTRI</v>
      </c>
      <c r="D7" s="474">
        <v>80</v>
      </c>
      <c r="E7" s="474" t="s">
        <v>6</v>
      </c>
      <c r="F7" s="474">
        <v>82</v>
      </c>
      <c r="G7" s="474" t="s">
        <v>6</v>
      </c>
    </row>
    <row r="8" spans="1:7">
      <c r="A8" s="474">
        <f>Biodata!A10</f>
        <v>2</v>
      </c>
      <c r="B8" s="478" t="str">
        <f>Biodata!B10</f>
        <v>181910011</v>
      </c>
      <c r="C8" s="479" t="str">
        <f>Biodata!C10</f>
        <v xml:space="preserve">ADNES KOMALA DEWI </v>
      </c>
      <c r="D8" s="474">
        <v>79</v>
      </c>
      <c r="E8" s="474" t="s">
        <v>6</v>
      </c>
      <c r="F8" s="474">
        <v>65</v>
      </c>
      <c r="G8" s="474" t="s">
        <v>429</v>
      </c>
    </row>
    <row r="9" spans="1:7">
      <c r="A9" s="474">
        <f>Biodata!A11</f>
        <v>3</v>
      </c>
      <c r="B9" s="478" t="str">
        <f>Biodata!B11</f>
        <v>181910014</v>
      </c>
      <c r="C9" s="479" t="str">
        <f>Biodata!C11</f>
        <v>AGUNG BUDI PRASTAWA</v>
      </c>
      <c r="D9" s="474">
        <v>63</v>
      </c>
      <c r="E9" s="474" t="s">
        <v>18</v>
      </c>
      <c r="F9" s="474">
        <v>52</v>
      </c>
      <c r="G9" s="474" t="s">
        <v>429</v>
      </c>
    </row>
    <row r="10" spans="1:7">
      <c r="A10" s="474">
        <f>Biodata!A12</f>
        <v>4</v>
      </c>
      <c r="B10" s="478" t="str">
        <f>Biodata!B12</f>
        <v>181910021</v>
      </c>
      <c r="C10" s="479" t="str">
        <f>Biodata!C12</f>
        <v>AISYAH</v>
      </c>
      <c r="D10" s="474">
        <v>80</v>
      </c>
      <c r="E10" s="474" t="s">
        <v>6</v>
      </c>
      <c r="F10" s="474">
        <v>67</v>
      </c>
      <c r="G10" s="474" t="s">
        <v>19</v>
      </c>
    </row>
    <row r="11" spans="1:7">
      <c r="A11" s="474">
        <f>Biodata!A13</f>
        <v>5</v>
      </c>
      <c r="B11" s="478" t="str">
        <f>Biodata!B13</f>
        <v>181910045</v>
      </c>
      <c r="C11" s="479" t="str">
        <f>Biodata!C13</f>
        <v>ARYA DYTA WIGUNA</v>
      </c>
      <c r="D11" s="474">
        <v>79</v>
      </c>
      <c r="E11" s="474" t="s">
        <v>6</v>
      </c>
      <c r="F11" s="474">
        <v>62</v>
      </c>
      <c r="G11" s="474" t="s">
        <v>19</v>
      </c>
    </row>
    <row r="12" spans="1:7">
      <c r="A12" s="474">
        <f>Biodata!A14</f>
        <v>6</v>
      </c>
      <c r="B12" s="478" t="str">
        <f>Biodata!B14</f>
        <v>181910054</v>
      </c>
      <c r="C12" s="479" t="str">
        <f>Biodata!C14</f>
        <v>AZRIEL TAMA SANTIAJI</v>
      </c>
      <c r="D12" s="474">
        <v>57</v>
      </c>
      <c r="E12" s="474" t="s">
        <v>19</v>
      </c>
      <c r="F12" s="474">
        <v>48</v>
      </c>
      <c r="G12" s="474" t="s">
        <v>429</v>
      </c>
    </row>
    <row r="13" spans="1:7">
      <c r="A13" s="474">
        <f>Biodata!A15</f>
        <v>7</v>
      </c>
      <c r="B13" s="478" t="str">
        <f>Biodata!B15</f>
        <v>181910055</v>
      </c>
      <c r="C13" s="479" t="str">
        <f>Biodata!C15</f>
        <v>AZZUHRI HAUDI</v>
      </c>
      <c r="D13" s="474">
        <v>81</v>
      </c>
      <c r="E13" s="474" t="s">
        <v>6</v>
      </c>
      <c r="F13" s="474">
        <v>83</v>
      </c>
      <c r="G13" s="474" t="s">
        <v>6</v>
      </c>
    </row>
    <row r="14" spans="1:7">
      <c r="A14" s="474">
        <f>Biodata!A16</f>
        <v>8</v>
      </c>
      <c r="B14" s="478" t="str">
        <f>Biodata!B16</f>
        <v>181910056</v>
      </c>
      <c r="C14" s="479" t="str">
        <f>Biodata!C16</f>
        <v>BAYU BATARA SURYA PUTRA</v>
      </c>
      <c r="D14" s="474">
        <v>75</v>
      </c>
      <c r="E14" s="474" t="s">
        <v>18</v>
      </c>
      <c r="F14" s="474">
        <v>80</v>
      </c>
      <c r="G14" s="474" t="s">
        <v>6</v>
      </c>
    </row>
    <row r="15" spans="1:7">
      <c r="A15" s="474">
        <f>Biodata!A17</f>
        <v>9</v>
      </c>
      <c r="B15" s="478" t="str">
        <f>Biodata!B17</f>
        <v>181910069</v>
      </c>
      <c r="C15" s="479" t="str">
        <f>Biodata!C17</f>
        <v>DANDY ERVAN PRATAMA</v>
      </c>
      <c r="D15" s="474">
        <v>67</v>
      </c>
      <c r="E15" s="474" t="s">
        <v>19</v>
      </c>
      <c r="F15" s="474">
        <v>55</v>
      </c>
      <c r="G15" s="474" t="s">
        <v>19</v>
      </c>
    </row>
    <row r="16" spans="1:7">
      <c r="A16" s="474">
        <f>Biodata!A18</f>
        <v>10</v>
      </c>
      <c r="B16" s="478" t="str">
        <f>Biodata!B18</f>
        <v>181910085</v>
      </c>
      <c r="C16" s="479" t="str">
        <f>Biodata!C18</f>
        <v>DENISA ASTI RAHMAWATI</v>
      </c>
      <c r="D16" s="474">
        <v>80</v>
      </c>
      <c r="E16" s="474" t="s">
        <v>6</v>
      </c>
      <c r="F16" s="474">
        <v>82</v>
      </c>
      <c r="G16" s="474" t="s">
        <v>6</v>
      </c>
    </row>
    <row r="17" spans="1:7">
      <c r="A17" s="474">
        <f>Biodata!A19</f>
        <v>11</v>
      </c>
      <c r="B17" s="478" t="str">
        <f>Biodata!B19</f>
        <v>181910093</v>
      </c>
      <c r="C17" s="479" t="str">
        <f>Biodata!C19</f>
        <v>DIAN RAMDHAN SAPTIAN</v>
      </c>
      <c r="D17" s="474">
        <v>57</v>
      </c>
      <c r="E17" s="474" t="s">
        <v>19</v>
      </c>
      <c r="F17" s="474">
        <v>55</v>
      </c>
      <c r="G17" s="474" t="s">
        <v>19</v>
      </c>
    </row>
    <row r="18" spans="1:7">
      <c r="A18" s="474">
        <f>Biodata!A20</f>
        <v>12</v>
      </c>
      <c r="B18" s="478" t="str">
        <f>Biodata!B20</f>
        <v>181910103</v>
      </c>
      <c r="C18" s="479" t="str">
        <f>Biodata!C20</f>
        <v>DIVYA ADHIANI NURDIN</v>
      </c>
      <c r="D18" s="474">
        <v>78</v>
      </c>
      <c r="E18" s="474" t="s">
        <v>6</v>
      </c>
      <c r="F18" s="474">
        <v>82</v>
      </c>
      <c r="G18" s="474" t="s">
        <v>6</v>
      </c>
    </row>
    <row r="19" spans="1:7">
      <c r="A19" s="474">
        <f>Biodata!A21</f>
        <v>13</v>
      </c>
      <c r="B19" s="478" t="str">
        <f>Biodata!B21</f>
        <v>181910104</v>
      </c>
      <c r="C19" s="479" t="str">
        <f>Biodata!C21</f>
        <v>DWIKI DERMAWAN</v>
      </c>
      <c r="D19" s="474">
        <v>68</v>
      </c>
      <c r="E19" s="474" t="s">
        <v>19</v>
      </c>
      <c r="F19" s="474">
        <v>55</v>
      </c>
      <c r="G19" s="474" t="s">
        <v>19</v>
      </c>
    </row>
    <row r="20" spans="1:7">
      <c r="A20" s="474">
        <f>Biodata!A22</f>
        <v>14</v>
      </c>
      <c r="B20" s="478" t="str">
        <f>Biodata!B22</f>
        <v>181910118</v>
      </c>
      <c r="C20" s="479" t="str">
        <f>Biodata!C22</f>
        <v>ENCEP CANDRA</v>
      </c>
      <c r="D20" s="474">
        <v>80</v>
      </c>
      <c r="E20" s="474" t="s">
        <v>6</v>
      </c>
      <c r="F20" s="474">
        <v>66</v>
      </c>
      <c r="G20" s="474" t="s">
        <v>19</v>
      </c>
    </row>
    <row r="21" spans="1:7">
      <c r="A21" s="474">
        <f>Biodata!A23</f>
        <v>15</v>
      </c>
      <c r="B21" s="478" t="str">
        <f>Biodata!B23</f>
        <v>181910128</v>
      </c>
      <c r="C21" s="479" t="str">
        <f>Biodata!C23</f>
        <v>FAIZAL EGI</v>
      </c>
      <c r="D21" s="474">
        <v>70</v>
      </c>
      <c r="E21" s="474" t="s">
        <v>18</v>
      </c>
      <c r="F21" s="474">
        <v>45</v>
      </c>
      <c r="G21" s="474" t="s">
        <v>19</v>
      </c>
    </row>
    <row r="22" spans="1:7">
      <c r="A22" s="474">
        <f>Biodata!A24</f>
        <v>16</v>
      </c>
      <c r="B22" s="478" t="str">
        <f>Biodata!B24</f>
        <v>181910133</v>
      </c>
      <c r="C22" s="479" t="str">
        <f>Biodata!C24</f>
        <v>FAUZI DHALFADLIL AZHANI</v>
      </c>
      <c r="D22" s="474">
        <v>79</v>
      </c>
      <c r="E22" s="474" t="s">
        <v>6</v>
      </c>
      <c r="F22" s="474">
        <v>68</v>
      </c>
      <c r="G22" s="474" t="s">
        <v>19</v>
      </c>
    </row>
    <row r="23" spans="1:7">
      <c r="A23" s="474">
        <f>Biodata!A25</f>
        <v>17</v>
      </c>
      <c r="B23" s="478" t="str">
        <f>Biodata!B25</f>
        <v>181910161</v>
      </c>
      <c r="C23" s="479" t="str">
        <f>Biodata!C25</f>
        <v>HILMAN PUTRA PAMUNGKAS</v>
      </c>
      <c r="D23" s="474">
        <v>79</v>
      </c>
      <c r="E23" s="474" t="s">
        <v>6</v>
      </c>
      <c r="F23" s="474">
        <v>65</v>
      </c>
      <c r="G23" s="474" t="s">
        <v>19</v>
      </c>
    </row>
    <row r="24" spans="1:7">
      <c r="A24" s="474">
        <f>Biodata!A26</f>
        <v>18</v>
      </c>
      <c r="B24" s="478" t="str">
        <f>Biodata!B26</f>
        <v>181910165</v>
      </c>
      <c r="C24" s="479" t="str">
        <f>Biodata!C26</f>
        <v>IHSYA FADILLAH MUSLIM</v>
      </c>
      <c r="D24" s="474">
        <v>78</v>
      </c>
      <c r="E24" s="474" t="s">
        <v>6</v>
      </c>
      <c r="F24" s="474">
        <v>67</v>
      </c>
      <c r="G24" s="474" t="s">
        <v>19</v>
      </c>
    </row>
    <row r="25" spans="1:7">
      <c r="A25" s="474">
        <f>Biodata!A27</f>
        <v>19</v>
      </c>
      <c r="B25" s="478" t="str">
        <f>Biodata!B27</f>
        <v>181910185</v>
      </c>
      <c r="C25" s="479" t="str">
        <f>Biodata!C27</f>
        <v>JIHAD AKBAR</v>
      </c>
      <c r="D25" s="474">
        <v>77</v>
      </c>
      <c r="E25" s="474" t="s">
        <v>6</v>
      </c>
      <c r="F25" s="474">
        <v>64</v>
      </c>
      <c r="G25" s="474" t="s">
        <v>19</v>
      </c>
    </row>
    <row r="26" spans="1:7">
      <c r="A26" s="474">
        <f>Biodata!A28</f>
        <v>20</v>
      </c>
      <c r="B26" s="478" t="str">
        <f>Biodata!B28</f>
        <v>181910226</v>
      </c>
      <c r="C26" s="479" t="str">
        <f>Biodata!C28</f>
        <v>MUHAMAD IZZAZUL FIKRIAN</v>
      </c>
      <c r="D26" s="474">
        <v>80</v>
      </c>
      <c r="E26" s="474" t="s">
        <v>6</v>
      </c>
      <c r="F26" s="474">
        <v>66</v>
      </c>
      <c r="G26" s="474" t="s">
        <v>19</v>
      </c>
    </row>
    <row r="27" spans="1:7">
      <c r="A27" s="474">
        <f>Biodata!A29</f>
        <v>21</v>
      </c>
      <c r="B27" s="478" t="str">
        <f>Biodata!B29</f>
        <v>181910240</v>
      </c>
      <c r="C27" s="479" t="str">
        <f>Biodata!C29</f>
        <v>NESHA RAUDHATUL ZANNAH</v>
      </c>
      <c r="D27" s="474">
        <v>80</v>
      </c>
      <c r="E27" s="474" t="s">
        <v>6</v>
      </c>
      <c r="F27" s="474">
        <v>82</v>
      </c>
      <c r="G27" s="474" t="s">
        <v>6</v>
      </c>
    </row>
    <row r="28" spans="1:7">
      <c r="A28" s="474">
        <f>Biodata!A30</f>
        <v>22</v>
      </c>
      <c r="B28" s="478" t="str">
        <f>Biodata!B30</f>
        <v>181910262</v>
      </c>
      <c r="C28" s="479" t="str">
        <f>Biodata!C30</f>
        <v>PUTRI ANGGRAENI</v>
      </c>
      <c r="D28" s="474">
        <v>79</v>
      </c>
      <c r="E28" s="474" t="s">
        <v>6</v>
      </c>
      <c r="F28" s="474">
        <v>65</v>
      </c>
      <c r="G28" s="474" t="s">
        <v>19</v>
      </c>
    </row>
    <row r="29" spans="1:7">
      <c r="A29" s="474">
        <f>Biodata!A31</f>
        <v>23</v>
      </c>
      <c r="B29" s="478" t="str">
        <f>Biodata!B31</f>
        <v>181910266</v>
      </c>
      <c r="C29" s="479" t="str">
        <f>Biodata!C31</f>
        <v>PUTRI WULANDARI</v>
      </c>
      <c r="D29" s="474">
        <v>80</v>
      </c>
      <c r="E29" s="474" t="s">
        <v>6</v>
      </c>
      <c r="F29" s="474">
        <v>82</v>
      </c>
      <c r="G29" s="474" t="s">
        <v>6</v>
      </c>
    </row>
    <row r="30" spans="1:7">
      <c r="A30" s="474">
        <f>Biodata!A32</f>
        <v>24</v>
      </c>
      <c r="B30" s="478" t="str">
        <f>Biodata!B32</f>
        <v>181910272</v>
      </c>
      <c r="C30" s="479" t="str">
        <f>Biodata!C32</f>
        <v>RAFLY GYMNASTIAR</v>
      </c>
      <c r="D30" s="474">
        <v>60</v>
      </c>
      <c r="E30" s="474" t="s">
        <v>18</v>
      </c>
      <c r="F30" s="474">
        <v>55</v>
      </c>
      <c r="G30" s="474" t="s">
        <v>429</v>
      </c>
    </row>
    <row r="31" spans="1:7">
      <c r="A31" s="474">
        <f>Biodata!A33</f>
        <v>25</v>
      </c>
      <c r="B31" s="478" t="str">
        <f>Biodata!B33</f>
        <v>181910280</v>
      </c>
      <c r="C31" s="479" t="str">
        <f>Biodata!C33</f>
        <v>REFIANA</v>
      </c>
      <c r="D31" s="474">
        <v>77</v>
      </c>
      <c r="E31" s="474" t="s">
        <v>6</v>
      </c>
      <c r="F31" s="474">
        <v>62</v>
      </c>
      <c r="G31" s="474" t="s">
        <v>19</v>
      </c>
    </row>
    <row r="32" spans="1:7">
      <c r="A32" s="474">
        <f>Biodata!A34</f>
        <v>26</v>
      </c>
      <c r="B32" s="478" t="str">
        <f>Biodata!B34</f>
        <v>181910285</v>
      </c>
      <c r="C32" s="479" t="str">
        <f>Biodata!C34</f>
        <v>RENALDI PRIYATAMA</v>
      </c>
      <c r="D32" s="474">
        <v>58</v>
      </c>
      <c r="E32" s="474" t="s">
        <v>18</v>
      </c>
      <c r="F32" s="474">
        <v>47</v>
      </c>
      <c r="G32" s="474" t="s">
        <v>429</v>
      </c>
    </row>
    <row r="33" spans="1:7">
      <c r="A33" s="474">
        <f>Biodata!A35</f>
        <v>27</v>
      </c>
      <c r="B33" s="478" t="str">
        <f>Biodata!B35</f>
        <v>181910286</v>
      </c>
      <c r="C33" s="479" t="str">
        <f>Biodata!C35</f>
        <v>RENATA</v>
      </c>
      <c r="D33" s="474">
        <v>80</v>
      </c>
      <c r="E33" s="474" t="s">
        <v>6</v>
      </c>
      <c r="F33" s="474">
        <v>82</v>
      </c>
      <c r="G33" s="474" t="s">
        <v>6</v>
      </c>
    </row>
    <row r="34" spans="1:7">
      <c r="A34" s="474">
        <f>Biodata!A36</f>
        <v>28</v>
      </c>
      <c r="B34" s="478" t="str">
        <f>Biodata!B36</f>
        <v>181910293</v>
      </c>
      <c r="C34" s="479" t="str">
        <f>Biodata!C36</f>
        <v xml:space="preserve">REZA ERNANDA </v>
      </c>
      <c r="D34" s="474">
        <v>80</v>
      </c>
      <c r="E34" s="474" t="s">
        <v>6</v>
      </c>
      <c r="F34" s="474">
        <v>83</v>
      </c>
      <c r="G34" s="474" t="s">
        <v>6</v>
      </c>
    </row>
    <row r="35" spans="1:7">
      <c r="A35" s="474">
        <f>Biodata!A37</f>
        <v>29</v>
      </c>
      <c r="B35" s="478" t="str">
        <f>Biodata!B37</f>
        <v>181910300</v>
      </c>
      <c r="C35" s="479" t="str">
        <f>Biodata!C37</f>
        <v>RIFAN MUHAMAD RIZKI</v>
      </c>
      <c r="D35" s="474">
        <f t="shared" ref="D35:D46" si="0">IFERROR(VLOOKUP(B35&amp;"A",leggerx1,10,0),"")</f>
        <v>0</v>
      </c>
      <c r="E35" s="474" t="str">
        <f t="shared" ref="E35:E46" si="1">IFERROR(VLOOKUP(B35&amp;"C",leggerx1,10,0),"")</f>
        <v/>
      </c>
      <c r="F35" s="474">
        <f t="shared" ref="F35:F46" si="2">IFERROR(VLOOKUP(B35&amp;"B",leggerx1,10,0),"")</f>
        <v>70</v>
      </c>
      <c r="G35" s="474" t="str">
        <f t="shared" ref="G35:G46" si="3">IFERROR(VLOOKUP(B35&amp;"D",leggerx1,10,0),"")</f>
        <v>C</v>
      </c>
    </row>
    <row r="36" spans="1:7">
      <c r="A36" s="474">
        <f>Biodata!A38</f>
        <v>30</v>
      </c>
      <c r="B36" s="478" t="str">
        <f>Biodata!B38</f>
        <v>181910318</v>
      </c>
      <c r="C36" s="479" t="str">
        <f>Biodata!C38</f>
        <v>RISMA SURYANI</v>
      </c>
      <c r="D36" s="474">
        <v>79</v>
      </c>
      <c r="E36" s="474" t="s">
        <v>6</v>
      </c>
      <c r="F36" s="474">
        <v>67</v>
      </c>
      <c r="G36" s="474" t="s">
        <v>19</v>
      </c>
    </row>
    <row r="37" spans="1:7">
      <c r="A37" s="474">
        <f>Biodata!A39</f>
        <v>31</v>
      </c>
      <c r="B37" s="478" t="str">
        <f>Biodata!B39</f>
        <v>181910320</v>
      </c>
      <c r="C37" s="479" t="str">
        <f>Biodata!C39</f>
        <v>RISNA TIRANI</v>
      </c>
      <c r="D37" s="474">
        <v>81</v>
      </c>
      <c r="E37" s="474" t="s">
        <v>6</v>
      </c>
      <c r="F37" s="474">
        <v>85</v>
      </c>
      <c r="G37" s="474" t="s">
        <v>6</v>
      </c>
    </row>
    <row r="38" spans="1:7">
      <c r="A38" s="474">
        <f>Biodata!A40</f>
        <v>32</v>
      </c>
      <c r="B38" s="478" t="str">
        <f>Biodata!B40</f>
        <v>181910331</v>
      </c>
      <c r="C38" s="479" t="str">
        <f>Biodata!C40</f>
        <v>RULLY PRATAMA S.</v>
      </c>
      <c r="D38" s="474">
        <v>78</v>
      </c>
      <c r="E38" s="474" t="s">
        <v>6</v>
      </c>
      <c r="F38" s="474">
        <v>66</v>
      </c>
      <c r="G38" s="474" t="s">
        <v>19</v>
      </c>
    </row>
    <row r="39" spans="1:7">
      <c r="A39" s="474">
        <f>Biodata!A41</f>
        <v>33</v>
      </c>
      <c r="B39" s="478" t="str">
        <f>Biodata!B41</f>
        <v>181910335</v>
      </c>
      <c r="C39" s="479" t="str">
        <f>Biodata!C41</f>
        <v>SALSA ASYKIYA</v>
      </c>
      <c r="D39" s="474">
        <v>80</v>
      </c>
      <c r="E39" s="474" t="s">
        <v>6</v>
      </c>
      <c r="F39" s="474">
        <v>83</v>
      </c>
      <c r="G39" s="474" t="s">
        <v>6</v>
      </c>
    </row>
    <row r="40" spans="1:7">
      <c r="A40" s="474">
        <f>Biodata!A42</f>
        <v>34</v>
      </c>
      <c r="B40" s="478" t="str">
        <f>Biodata!B42</f>
        <v>181910353</v>
      </c>
      <c r="C40" s="479" t="str">
        <f>Biodata!C42</f>
        <v>SILFI HAMIDAH</v>
      </c>
      <c r="D40" s="474">
        <v>80</v>
      </c>
      <c r="E40" s="474" t="s">
        <v>6</v>
      </c>
      <c r="F40" s="474">
        <v>83</v>
      </c>
      <c r="G40" s="474" t="s">
        <v>6</v>
      </c>
    </row>
    <row r="41" spans="1:7">
      <c r="A41" s="474">
        <f>Biodata!A43</f>
        <v>35</v>
      </c>
      <c r="B41" s="478" t="str">
        <f>Biodata!B43</f>
        <v>181910408</v>
      </c>
      <c r="C41" s="479" t="str">
        <f>Biodata!C43</f>
        <v>YESHA RAHAYU</v>
      </c>
      <c r="D41" s="474">
        <v>68</v>
      </c>
      <c r="E41" s="474" t="s">
        <v>18</v>
      </c>
      <c r="F41" s="474">
        <v>62</v>
      </c>
      <c r="G41" s="474" t="s">
        <v>19</v>
      </c>
    </row>
    <row r="42" spans="1:7">
      <c r="A42" s="474">
        <f>Biodata!A44</f>
        <v>36</v>
      </c>
      <c r="B42" s="478" t="str">
        <f>Biodata!B44</f>
        <v>181910433</v>
      </c>
      <c r="C42" s="479" t="str">
        <f>Biodata!C44</f>
        <v>MUHAMAD RIZAL</v>
      </c>
      <c r="D42" s="474">
        <v>79</v>
      </c>
      <c r="E42" s="474" t="s">
        <v>6</v>
      </c>
      <c r="F42" s="474">
        <v>66</v>
      </c>
      <c r="G42" s="474" t="s">
        <v>19</v>
      </c>
    </row>
    <row r="43" spans="1:7">
      <c r="A43" s="474">
        <f>Biodata!A45</f>
        <v>37</v>
      </c>
      <c r="B43" s="478" t="str">
        <f>Biodata!B45</f>
        <v>037</v>
      </c>
      <c r="C43" s="479" t="str">
        <f>Biodata!C45</f>
        <v>A37</v>
      </c>
      <c r="D43" s="474">
        <f t="shared" si="0"/>
        <v>0</v>
      </c>
      <c r="E43" s="474" t="str">
        <f t="shared" si="1"/>
        <v/>
      </c>
      <c r="F43" s="474">
        <f t="shared" si="2"/>
        <v>0</v>
      </c>
      <c r="G43" s="474" t="str">
        <f t="shared" si="3"/>
        <v/>
      </c>
    </row>
    <row r="44" spans="1:7">
      <c r="A44" s="474">
        <f>Biodata!A46</f>
        <v>38</v>
      </c>
      <c r="B44" s="478" t="str">
        <f>Biodata!B46</f>
        <v>038</v>
      </c>
      <c r="C44" s="479" t="str">
        <f>Biodata!C46</f>
        <v>A38</v>
      </c>
      <c r="D44" s="474">
        <f t="shared" si="0"/>
        <v>0</v>
      </c>
      <c r="E44" s="474" t="str">
        <f t="shared" si="1"/>
        <v/>
      </c>
      <c r="F44" s="474">
        <f t="shared" si="2"/>
        <v>0</v>
      </c>
      <c r="G44" s="474" t="str">
        <f t="shared" si="3"/>
        <v/>
      </c>
    </row>
    <row r="45" spans="1:7">
      <c r="A45" s="474">
        <f>Biodata!A47</f>
        <v>39</v>
      </c>
      <c r="B45" s="478" t="str">
        <f>Biodata!B47</f>
        <v>039</v>
      </c>
      <c r="C45" s="479" t="str">
        <f>Biodata!C47</f>
        <v>A39</v>
      </c>
      <c r="D45" s="474">
        <f t="shared" si="0"/>
        <v>0</v>
      </c>
      <c r="E45" s="474" t="str">
        <f t="shared" si="1"/>
        <v/>
      </c>
      <c r="F45" s="474">
        <f t="shared" si="2"/>
        <v>0</v>
      </c>
      <c r="G45" s="474" t="str">
        <f t="shared" si="3"/>
        <v/>
      </c>
    </row>
    <row r="46" spans="1:7">
      <c r="A46" s="474">
        <f>Biodata!A48</f>
        <v>40</v>
      </c>
      <c r="B46" s="478" t="str">
        <f>Biodata!B48</f>
        <v>040</v>
      </c>
      <c r="C46" s="479" t="str">
        <f>Biodata!C48</f>
        <v>A40</v>
      </c>
      <c r="D46" s="474">
        <f t="shared" si="0"/>
        <v>0</v>
      </c>
      <c r="E46" s="474" t="str">
        <f t="shared" si="1"/>
        <v/>
      </c>
      <c r="F46" s="474">
        <f t="shared" si="2"/>
        <v>0</v>
      </c>
      <c r="G46" s="474" t="str">
        <f t="shared" si="3"/>
        <v/>
      </c>
    </row>
    <row r="47" spans="1:7">
      <c r="C47" s="483"/>
    </row>
    <row r="48" spans="1:7">
      <c r="C48" s="483"/>
    </row>
    <row r="49" spans="3:3" s="475" customFormat="1" ht="11.25">
      <c r="C49" s="483"/>
    </row>
    <row r="50" spans="3:3" s="475" customFormat="1" ht="11.25">
      <c r="C50" s="48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IV50"/>
  <sheetViews>
    <sheetView workbookViewId="0">
      <selection sqref="A1:X48"/>
    </sheetView>
  </sheetViews>
  <sheetFormatPr defaultColWidth="9" defaultRowHeight="12.75"/>
  <cols>
    <col min="1" max="1" width="5.85546875" style="15" customWidth="1"/>
    <col min="2" max="2" width="10.28515625" style="15" customWidth="1"/>
    <col min="3" max="3" width="28.85546875" style="15" customWidth="1"/>
    <col min="4" max="4" width="16.28515625" style="16" customWidth="1"/>
    <col min="5" max="7" width="9.140625" style="17" customWidth="1"/>
    <col min="8" max="8" width="12.140625" style="17" customWidth="1"/>
    <col min="9" max="9" width="6.85546875" style="17" customWidth="1"/>
    <col min="10" max="10" width="11.28515625" style="17" customWidth="1"/>
    <col min="11" max="12" width="9.140625" style="17" customWidth="1"/>
    <col min="13" max="13" width="5.7109375" style="17" customWidth="1"/>
    <col min="14" max="256" width="9.140625" style="17" customWidth="1"/>
  </cols>
  <sheetData>
    <row r="1" spans="1:24" ht="18" customHeight="1">
      <c r="A1" s="18"/>
      <c r="B1" s="19" t="s">
        <v>35</v>
      </c>
      <c r="C1" s="17"/>
    </row>
    <row r="2" spans="1:24">
      <c r="A2" s="20"/>
      <c r="B2" s="19" t="s">
        <v>40</v>
      </c>
    </row>
    <row r="3" spans="1:24">
      <c r="B3" s="21" t="s">
        <v>44</v>
      </c>
      <c r="C3" s="15" t="s">
        <v>38</v>
      </c>
    </row>
    <row r="4" spans="1:24">
      <c r="B4" s="21" t="s">
        <v>50</v>
      </c>
      <c r="C4" s="15" t="s">
        <v>355</v>
      </c>
      <c r="D4" s="22" t="s">
        <v>56</v>
      </c>
      <c r="E4" s="23" t="s">
        <v>354</v>
      </c>
    </row>
    <row r="5" spans="1:24">
      <c r="B5" s="21" t="s">
        <v>45</v>
      </c>
      <c r="C5" s="15" t="s">
        <v>191</v>
      </c>
      <c r="D5" s="22" t="s">
        <v>76</v>
      </c>
      <c r="E5" s="24" t="s">
        <v>179</v>
      </c>
    </row>
    <row r="6" spans="1:24">
      <c r="B6" s="21" t="s">
        <v>43</v>
      </c>
      <c r="C6" s="15" t="s">
        <v>340</v>
      </c>
    </row>
    <row r="7" spans="1:24">
      <c r="A7" s="486" t="s">
        <v>77</v>
      </c>
      <c r="B7" s="487" t="s">
        <v>10</v>
      </c>
      <c r="C7" s="485" t="s">
        <v>41</v>
      </c>
      <c r="D7" s="488" t="s">
        <v>60</v>
      </c>
      <c r="E7" s="487" t="s">
        <v>78</v>
      </c>
      <c r="F7" s="487" t="s">
        <v>79</v>
      </c>
      <c r="G7" s="485" t="s">
        <v>80</v>
      </c>
      <c r="H7" s="487" t="s">
        <v>81</v>
      </c>
      <c r="I7" s="487" t="s">
        <v>82</v>
      </c>
      <c r="J7" s="487" t="s">
        <v>83</v>
      </c>
      <c r="K7" s="487" t="s">
        <v>84</v>
      </c>
      <c r="L7" s="487" t="s">
        <v>85</v>
      </c>
      <c r="M7" s="484" t="s">
        <v>86</v>
      </c>
      <c r="N7" s="484"/>
      <c r="O7" s="485" t="s">
        <v>87</v>
      </c>
      <c r="P7" s="485"/>
      <c r="Q7" s="485"/>
      <c r="R7" s="485"/>
      <c r="S7" s="484" t="s">
        <v>88</v>
      </c>
      <c r="T7" s="484"/>
      <c r="U7" s="485" t="s">
        <v>89</v>
      </c>
      <c r="V7" s="485"/>
      <c r="W7" s="485"/>
      <c r="X7" s="485"/>
    </row>
    <row r="8" spans="1:24" s="25" customFormat="1">
      <c r="A8" s="486"/>
      <c r="B8" s="487"/>
      <c r="C8" s="485"/>
      <c r="D8" s="488"/>
      <c r="E8" s="487"/>
      <c r="F8" s="487"/>
      <c r="G8" s="485"/>
      <c r="H8" s="487"/>
      <c r="I8" s="487"/>
      <c r="J8" s="487"/>
      <c r="K8" s="487"/>
      <c r="L8" s="487"/>
      <c r="M8" s="26" t="s">
        <v>352</v>
      </c>
      <c r="N8" s="26" t="s">
        <v>90</v>
      </c>
      <c r="O8" s="27" t="s">
        <v>91</v>
      </c>
      <c r="P8" s="27" t="s">
        <v>92</v>
      </c>
      <c r="Q8" s="27" t="s">
        <v>93</v>
      </c>
      <c r="R8" s="27" t="s">
        <v>94</v>
      </c>
      <c r="S8" s="27" t="s">
        <v>95</v>
      </c>
      <c r="T8" s="27" t="s">
        <v>96</v>
      </c>
      <c r="U8" s="27" t="s">
        <v>97</v>
      </c>
      <c r="V8" s="27" t="s">
        <v>94</v>
      </c>
      <c r="W8" s="27" t="s">
        <v>93</v>
      </c>
      <c r="X8" s="27" t="s">
        <v>98</v>
      </c>
    </row>
    <row r="9" spans="1:24">
      <c r="A9" s="28">
        <v>1</v>
      </c>
      <c r="B9" s="29" t="s">
        <v>356</v>
      </c>
      <c r="C9" s="30" t="s">
        <v>357</v>
      </c>
      <c r="D9" s="16">
        <v>9991234567</v>
      </c>
      <c r="E9" s="31" t="s">
        <v>235</v>
      </c>
      <c r="F9" s="31" t="s">
        <v>99</v>
      </c>
      <c r="G9" s="31" t="s">
        <v>225</v>
      </c>
      <c r="H9" s="31" t="s">
        <v>224</v>
      </c>
      <c r="I9" s="31">
        <v>1</v>
      </c>
      <c r="J9" s="32" t="s">
        <v>100</v>
      </c>
      <c r="K9" s="33" t="s">
        <v>101</v>
      </c>
      <c r="L9" s="32" t="s">
        <v>226</v>
      </c>
      <c r="M9" s="34" t="s">
        <v>227</v>
      </c>
      <c r="N9" s="35" t="s">
        <v>351</v>
      </c>
      <c r="O9" s="31" t="s">
        <v>228</v>
      </c>
      <c r="P9" s="31" t="s">
        <v>229</v>
      </c>
      <c r="Q9" s="32" t="s">
        <v>230</v>
      </c>
      <c r="R9" s="33" t="s">
        <v>102</v>
      </c>
      <c r="S9" s="31" t="s">
        <v>103</v>
      </c>
      <c r="T9" s="31" t="s">
        <v>231</v>
      </c>
      <c r="U9" s="31" t="s">
        <v>232</v>
      </c>
      <c r="V9" s="33" t="s">
        <v>104</v>
      </c>
      <c r="W9" s="32" t="s">
        <v>233</v>
      </c>
      <c r="X9" s="31" t="s">
        <v>234</v>
      </c>
    </row>
    <row r="10" spans="1:24">
      <c r="A10" s="28">
        <v>2</v>
      </c>
      <c r="B10" s="29" t="s">
        <v>358</v>
      </c>
      <c r="C10" s="36" t="s">
        <v>359</v>
      </c>
      <c r="D10" s="16" t="s">
        <v>36</v>
      </c>
      <c r="E10" s="37" t="s">
        <v>36</v>
      </c>
      <c r="F10" s="37" t="s">
        <v>36</v>
      </c>
      <c r="G10" s="37" t="s">
        <v>36</v>
      </c>
      <c r="H10" s="37" t="s">
        <v>36</v>
      </c>
      <c r="I10" s="37" t="s">
        <v>36</v>
      </c>
      <c r="J10" s="37" t="s">
        <v>36</v>
      </c>
      <c r="K10" s="37" t="s">
        <v>36</v>
      </c>
      <c r="L10" s="37" t="s">
        <v>36</v>
      </c>
      <c r="M10" s="34" t="s">
        <v>227</v>
      </c>
      <c r="N10" s="35" t="str">
        <f>N9</f>
        <v>16 Juli 2018</v>
      </c>
      <c r="O10" s="37" t="s">
        <v>36</v>
      </c>
      <c r="P10" s="37" t="s">
        <v>36</v>
      </c>
      <c r="Q10" s="37" t="s">
        <v>36</v>
      </c>
      <c r="R10" s="37" t="s">
        <v>36</v>
      </c>
      <c r="S10" s="37" t="s">
        <v>36</v>
      </c>
      <c r="T10" s="37" t="s">
        <v>36</v>
      </c>
      <c r="U10" s="37" t="s">
        <v>36</v>
      </c>
      <c r="V10" s="37" t="s">
        <v>36</v>
      </c>
      <c r="W10" s="37" t="s">
        <v>36</v>
      </c>
      <c r="X10" s="37" t="s">
        <v>36</v>
      </c>
    </row>
    <row r="11" spans="1:24">
      <c r="A11" s="28">
        <v>3</v>
      </c>
      <c r="B11" s="29" t="s">
        <v>360</v>
      </c>
      <c r="C11" s="36" t="s">
        <v>361</v>
      </c>
      <c r="D11" s="16" t="s">
        <v>36</v>
      </c>
      <c r="E11" s="37" t="s">
        <v>36</v>
      </c>
      <c r="F11" s="37" t="s">
        <v>36</v>
      </c>
      <c r="G11" s="37" t="s">
        <v>36</v>
      </c>
      <c r="H11" s="37" t="s">
        <v>36</v>
      </c>
      <c r="I11" s="37" t="s">
        <v>36</v>
      </c>
      <c r="J11" s="37" t="s">
        <v>36</v>
      </c>
      <c r="K11" s="37" t="s">
        <v>36</v>
      </c>
      <c r="L11" s="37" t="s">
        <v>36</v>
      </c>
      <c r="M11" s="34" t="s">
        <v>227</v>
      </c>
      <c r="N11" s="35" t="str">
        <f t="shared" ref="N11:N48" si="0">N10</f>
        <v>16 Juli 2018</v>
      </c>
      <c r="O11" s="37" t="s">
        <v>36</v>
      </c>
      <c r="P11" s="37" t="s">
        <v>36</v>
      </c>
      <c r="Q11" s="37" t="s">
        <v>36</v>
      </c>
      <c r="R11" s="37" t="s">
        <v>36</v>
      </c>
      <c r="S11" s="37" t="s">
        <v>36</v>
      </c>
      <c r="T11" s="37" t="s">
        <v>36</v>
      </c>
      <c r="U11" s="37" t="s">
        <v>36</v>
      </c>
      <c r="V11" s="37" t="s">
        <v>36</v>
      </c>
      <c r="W11" s="37" t="s">
        <v>36</v>
      </c>
      <c r="X11" s="37" t="s">
        <v>36</v>
      </c>
    </row>
    <row r="12" spans="1:24">
      <c r="A12" s="28">
        <v>4</v>
      </c>
      <c r="B12" s="29" t="s">
        <v>362</v>
      </c>
      <c r="C12" s="36" t="s">
        <v>363</v>
      </c>
      <c r="D12" s="16" t="s">
        <v>36</v>
      </c>
      <c r="E12" s="37" t="s">
        <v>36</v>
      </c>
      <c r="F12" s="37" t="s">
        <v>36</v>
      </c>
      <c r="G12" s="37" t="s">
        <v>36</v>
      </c>
      <c r="H12" s="37" t="s">
        <v>36</v>
      </c>
      <c r="I12" s="37" t="s">
        <v>36</v>
      </c>
      <c r="J12" s="37" t="s">
        <v>36</v>
      </c>
      <c r="K12" s="37" t="s">
        <v>36</v>
      </c>
      <c r="L12" s="37" t="s">
        <v>36</v>
      </c>
      <c r="M12" s="34" t="s">
        <v>227</v>
      </c>
      <c r="N12" s="35" t="str">
        <f t="shared" si="0"/>
        <v>16 Juli 2018</v>
      </c>
      <c r="O12" s="37" t="s">
        <v>36</v>
      </c>
      <c r="P12" s="37" t="s">
        <v>36</v>
      </c>
      <c r="Q12" s="37" t="s">
        <v>36</v>
      </c>
      <c r="R12" s="37" t="s">
        <v>36</v>
      </c>
      <c r="S12" s="37" t="s">
        <v>36</v>
      </c>
      <c r="T12" s="37" t="s">
        <v>36</v>
      </c>
      <c r="U12" s="37" t="s">
        <v>36</v>
      </c>
      <c r="V12" s="37" t="s">
        <v>36</v>
      </c>
      <c r="W12" s="37" t="s">
        <v>36</v>
      </c>
      <c r="X12" s="37" t="s">
        <v>36</v>
      </c>
    </row>
    <row r="13" spans="1:24">
      <c r="A13" s="28">
        <v>5</v>
      </c>
      <c r="B13" s="29" t="s">
        <v>364</v>
      </c>
      <c r="C13" s="36" t="s">
        <v>365</v>
      </c>
      <c r="D13" s="16" t="s">
        <v>36</v>
      </c>
      <c r="E13" s="37" t="s">
        <v>36</v>
      </c>
      <c r="F13" s="37" t="s">
        <v>36</v>
      </c>
      <c r="G13" s="37" t="s">
        <v>36</v>
      </c>
      <c r="H13" s="37" t="s">
        <v>36</v>
      </c>
      <c r="I13" s="37" t="s">
        <v>36</v>
      </c>
      <c r="J13" s="37" t="s">
        <v>36</v>
      </c>
      <c r="K13" s="37" t="s">
        <v>36</v>
      </c>
      <c r="L13" s="37" t="s">
        <v>36</v>
      </c>
      <c r="M13" s="34" t="s">
        <v>227</v>
      </c>
      <c r="N13" s="35" t="str">
        <f t="shared" si="0"/>
        <v>16 Juli 2018</v>
      </c>
      <c r="O13" s="37" t="s">
        <v>36</v>
      </c>
      <c r="P13" s="37" t="s">
        <v>36</v>
      </c>
      <c r="Q13" s="37" t="s">
        <v>36</v>
      </c>
      <c r="R13" s="37" t="s">
        <v>36</v>
      </c>
      <c r="S13" s="37" t="s">
        <v>36</v>
      </c>
      <c r="T13" s="37" t="s">
        <v>36</v>
      </c>
      <c r="U13" s="37" t="s">
        <v>36</v>
      </c>
      <c r="V13" s="37" t="s">
        <v>36</v>
      </c>
      <c r="W13" s="37" t="s">
        <v>36</v>
      </c>
      <c r="X13" s="37" t="s">
        <v>36</v>
      </c>
    </row>
    <row r="14" spans="1:24">
      <c r="A14" s="28">
        <v>6</v>
      </c>
      <c r="B14" s="29" t="s">
        <v>366</v>
      </c>
      <c r="C14" s="36" t="s">
        <v>367</v>
      </c>
      <c r="D14" s="16" t="s">
        <v>36</v>
      </c>
      <c r="E14" s="37" t="s">
        <v>36</v>
      </c>
      <c r="F14" s="37" t="s">
        <v>36</v>
      </c>
      <c r="G14" s="37" t="s">
        <v>36</v>
      </c>
      <c r="H14" s="37" t="s">
        <v>36</v>
      </c>
      <c r="I14" s="37" t="s">
        <v>36</v>
      </c>
      <c r="J14" s="37" t="s">
        <v>36</v>
      </c>
      <c r="K14" s="37" t="s">
        <v>36</v>
      </c>
      <c r="L14" s="37" t="s">
        <v>36</v>
      </c>
      <c r="M14" s="34" t="s">
        <v>227</v>
      </c>
      <c r="N14" s="35" t="str">
        <f t="shared" si="0"/>
        <v>16 Juli 2018</v>
      </c>
      <c r="O14" s="37" t="s">
        <v>36</v>
      </c>
      <c r="P14" s="37" t="s">
        <v>36</v>
      </c>
      <c r="Q14" s="37" t="s">
        <v>36</v>
      </c>
      <c r="R14" s="37" t="s">
        <v>36</v>
      </c>
      <c r="S14" s="37" t="s">
        <v>36</v>
      </c>
      <c r="T14" s="37" t="s">
        <v>36</v>
      </c>
      <c r="U14" s="37" t="s">
        <v>36</v>
      </c>
      <c r="V14" s="37" t="s">
        <v>36</v>
      </c>
      <c r="W14" s="37" t="s">
        <v>36</v>
      </c>
      <c r="X14" s="37" t="s">
        <v>36</v>
      </c>
    </row>
    <row r="15" spans="1:24">
      <c r="A15" s="28">
        <v>7</v>
      </c>
      <c r="B15" s="29" t="s">
        <v>368</v>
      </c>
      <c r="C15" s="38" t="s">
        <v>369</v>
      </c>
      <c r="D15" s="16" t="s">
        <v>36</v>
      </c>
      <c r="E15" s="37" t="s">
        <v>36</v>
      </c>
      <c r="F15" s="37" t="s">
        <v>36</v>
      </c>
      <c r="G15" s="37" t="s">
        <v>36</v>
      </c>
      <c r="H15" s="37" t="s">
        <v>36</v>
      </c>
      <c r="I15" s="37" t="s">
        <v>36</v>
      </c>
      <c r="J15" s="37" t="s">
        <v>36</v>
      </c>
      <c r="K15" s="37" t="s">
        <v>36</v>
      </c>
      <c r="L15" s="37" t="s">
        <v>36</v>
      </c>
      <c r="M15" s="34" t="s">
        <v>227</v>
      </c>
      <c r="N15" s="35" t="str">
        <f t="shared" si="0"/>
        <v>16 Juli 2018</v>
      </c>
      <c r="O15" s="37" t="s">
        <v>36</v>
      </c>
      <c r="P15" s="37" t="s">
        <v>36</v>
      </c>
      <c r="Q15" s="37" t="s">
        <v>36</v>
      </c>
      <c r="R15" s="37" t="s">
        <v>36</v>
      </c>
      <c r="S15" s="37" t="s">
        <v>36</v>
      </c>
      <c r="T15" s="37" t="s">
        <v>36</v>
      </c>
      <c r="U15" s="37" t="s">
        <v>36</v>
      </c>
      <c r="V15" s="37" t="s">
        <v>36</v>
      </c>
      <c r="W15" s="37" t="s">
        <v>36</v>
      </c>
      <c r="X15" s="37" t="s">
        <v>36</v>
      </c>
    </row>
    <row r="16" spans="1:24">
      <c r="A16" s="28">
        <v>8</v>
      </c>
      <c r="B16" s="29" t="s">
        <v>370</v>
      </c>
      <c r="C16" s="36" t="s">
        <v>371</v>
      </c>
      <c r="D16" s="16" t="s">
        <v>36</v>
      </c>
      <c r="E16" s="37" t="s">
        <v>36</v>
      </c>
      <c r="F16" s="37" t="s">
        <v>36</v>
      </c>
      <c r="G16" s="37" t="s">
        <v>36</v>
      </c>
      <c r="H16" s="37" t="s">
        <v>36</v>
      </c>
      <c r="I16" s="37" t="s">
        <v>36</v>
      </c>
      <c r="J16" s="37" t="s">
        <v>36</v>
      </c>
      <c r="K16" s="37" t="s">
        <v>36</v>
      </c>
      <c r="L16" s="37" t="s">
        <v>36</v>
      </c>
      <c r="M16" s="34" t="s">
        <v>227</v>
      </c>
      <c r="N16" s="35" t="str">
        <f t="shared" si="0"/>
        <v>16 Juli 2018</v>
      </c>
      <c r="O16" s="37" t="s">
        <v>36</v>
      </c>
      <c r="P16" s="37" t="s">
        <v>36</v>
      </c>
      <c r="Q16" s="37" t="s">
        <v>36</v>
      </c>
      <c r="R16" s="37" t="s">
        <v>36</v>
      </c>
      <c r="S16" s="37" t="s">
        <v>36</v>
      </c>
      <c r="T16" s="37" t="s">
        <v>36</v>
      </c>
      <c r="U16" s="37" t="s">
        <v>36</v>
      </c>
      <c r="V16" s="37" t="s">
        <v>36</v>
      </c>
      <c r="W16" s="37" t="s">
        <v>36</v>
      </c>
      <c r="X16" s="37" t="s">
        <v>36</v>
      </c>
    </row>
    <row r="17" spans="1:24">
      <c r="A17" s="28">
        <v>9</v>
      </c>
      <c r="B17" s="29" t="s">
        <v>372</v>
      </c>
      <c r="C17" s="36" t="s">
        <v>373</v>
      </c>
      <c r="D17" s="16" t="s">
        <v>36</v>
      </c>
      <c r="E17" s="37" t="s">
        <v>36</v>
      </c>
      <c r="F17" s="37" t="s">
        <v>36</v>
      </c>
      <c r="G17" s="37" t="s">
        <v>36</v>
      </c>
      <c r="H17" s="37" t="s">
        <v>36</v>
      </c>
      <c r="I17" s="37" t="s">
        <v>36</v>
      </c>
      <c r="J17" s="37" t="s">
        <v>36</v>
      </c>
      <c r="K17" s="37" t="s">
        <v>36</v>
      </c>
      <c r="L17" s="37" t="s">
        <v>36</v>
      </c>
      <c r="M17" s="34" t="s">
        <v>227</v>
      </c>
      <c r="N17" s="35" t="str">
        <f t="shared" si="0"/>
        <v>16 Juli 2018</v>
      </c>
      <c r="O17" s="37" t="s">
        <v>36</v>
      </c>
      <c r="P17" s="37" t="s">
        <v>36</v>
      </c>
      <c r="Q17" s="37" t="s">
        <v>36</v>
      </c>
      <c r="R17" s="37" t="s">
        <v>36</v>
      </c>
      <c r="S17" s="37" t="s">
        <v>36</v>
      </c>
      <c r="T17" s="37" t="s">
        <v>36</v>
      </c>
      <c r="U17" s="37" t="s">
        <v>36</v>
      </c>
      <c r="V17" s="37" t="s">
        <v>36</v>
      </c>
      <c r="W17" s="37" t="s">
        <v>36</v>
      </c>
      <c r="X17" s="37" t="s">
        <v>36</v>
      </c>
    </row>
    <row r="18" spans="1:24">
      <c r="A18" s="28">
        <v>10</v>
      </c>
      <c r="B18" s="29" t="s">
        <v>374</v>
      </c>
      <c r="C18" s="36" t="s">
        <v>375</v>
      </c>
      <c r="D18" s="16" t="s">
        <v>36</v>
      </c>
      <c r="E18" s="37" t="s">
        <v>36</v>
      </c>
      <c r="F18" s="37" t="s">
        <v>36</v>
      </c>
      <c r="G18" s="37" t="s">
        <v>36</v>
      </c>
      <c r="H18" s="37" t="s">
        <v>36</v>
      </c>
      <c r="I18" s="37" t="s">
        <v>36</v>
      </c>
      <c r="J18" s="37" t="s">
        <v>36</v>
      </c>
      <c r="K18" s="37" t="s">
        <v>36</v>
      </c>
      <c r="L18" s="37" t="s">
        <v>36</v>
      </c>
      <c r="M18" s="34" t="s">
        <v>227</v>
      </c>
      <c r="N18" s="35" t="str">
        <f t="shared" si="0"/>
        <v>16 Juli 2018</v>
      </c>
      <c r="O18" s="37" t="s">
        <v>36</v>
      </c>
      <c r="P18" s="37" t="s">
        <v>36</v>
      </c>
      <c r="Q18" s="37" t="s">
        <v>36</v>
      </c>
      <c r="R18" s="37" t="s">
        <v>36</v>
      </c>
      <c r="S18" s="37" t="s">
        <v>36</v>
      </c>
      <c r="T18" s="37" t="s">
        <v>36</v>
      </c>
      <c r="U18" s="37" t="s">
        <v>36</v>
      </c>
      <c r="V18" s="37" t="s">
        <v>36</v>
      </c>
      <c r="W18" s="37" t="s">
        <v>36</v>
      </c>
      <c r="X18" s="37" t="s">
        <v>36</v>
      </c>
    </row>
    <row r="19" spans="1:24">
      <c r="A19" s="28">
        <v>11</v>
      </c>
      <c r="B19" s="29" t="s">
        <v>376</v>
      </c>
      <c r="C19" s="36" t="s">
        <v>377</v>
      </c>
      <c r="D19" s="16" t="s">
        <v>36</v>
      </c>
      <c r="E19" s="37" t="s">
        <v>36</v>
      </c>
      <c r="F19" s="37" t="s">
        <v>36</v>
      </c>
      <c r="G19" s="37" t="s">
        <v>36</v>
      </c>
      <c r="H19" s="37" t="s">
        <v>36</v>
      </c>
      <c r="I19" s="37" t="s">
        <v>36</v>
      </c>
      <c r="J19" s="37" t="s">
        <v>36</v>
      </c>
      <c r="K19" s="37" t="s">
        <v>36</v>
      </c>
      <c r="L19" s="37" t="s">
        <v>36</v>
      </c>
      <c r="M19" s="34" t="s">
        <v>227</v>
      </c>
      <c r="N19" s="35" t="str">
        <f t="shared" si="0"/>
        <v>16 Juli 2018</v>
      </c>
      <c r="O19" s="37" t="s">
        <v>36</v>
      </c>
      <c r="P19" s="37" t="s">
        <v>36</v>
      </c>
      <c r="Q19" s="37" t="s">
        <v>36</v>
      </c>
      <c r="R19" s="37" t="s">
        <v>36</v>
      </c>
      <c r="S19" s="37" t="s">
        <v>36</v>
      </c>
      <c r="T19" s="37" t="s">
        <v>36</v>
      </c>
      <c r="U19" s="37" t="s">
        <v>36</v>
      </c>
      <c r="V19" s="37" t="s">
        <v>36</v>
      </c>
      <c r="W19" s="37" t="s">
        <v>36</v>
      </c>
      <c r="X19" s="37" t="s">
        <v>36</v>
      </c>
    </row>
    <row r="20" spans="1:24">
      <c r="A20" s="28">
        <v>12</v>
      </c>
      <c r="B20" s="29" t="s">
        <v>378</v>
      </c>
      <c r="C20" s="36" t="s">
        <v>379</v>
      </c>
      <c r="D20" s="16" t="s">
        <v>36</v>
      </c>
      <c r="E20" s="37" t="s">
        <v>36</v>
      </c>
      <c r="F20" s="37" t="s">
        <v>36</v>
      </c>
      <c r="G20" s="37" t="s">
        <v>36</v>
      </c>
      <c r="H20" s="37" t="s">
        <v>36</v>
      </c>
      <c r="I20" s="37" t="s">
        <v>36</v>
      </c>
      <c r="J20" s="37" t="s">
        <v>36</v>
      </c>
      <c r="K20" s="37" t="s">
        <v>36</v>
      </c>
      <c r="L20" s="37" t="s">
        <v>36</v>
      </c>
      <c r="M20" s="34" t="s">
        <v>227</v>
      </c>
      <c r="N20" s="35" t="str">
        <f t="shared" si="0"/>
        <v>16 Juli 2018</v>
      </c>
      <c r="O20" s="37" t="s">
        <v>36</v>
      </c>
      <c r="P20" s="37" t="s">
        <v>36</v>
      </c>
      <c r="Q20" s="37" t="s">
        <v>36</v>
      </c>
      <c r="R20" s="37" t="s">
        <v>36</v>
      </c>
      <c r="S20" s="37" t="s">
        <v>36</v>
      </c>
      <c r="T20" s="37" t="s">
        <v>36</v>
      </c>
      <c r="U20" s="37" t="s">
        <v>36</v>
      </c>
      <c r="V20" s="37" t="s">
        <v>36</v>
      </c>
      <c r="W20" s="37" t="s">
        <v>36</v>
      </c>
      <c r="X20" s="37" t="s">
        <v>36</v>
      </c>
    </row>
    <row r="21" spans="1:24">
      <c r="A21" s="28">
        <v>13</v>
      </c>
      <c r="B21" s="29" t="s">
        <v>380</v>
      </c>
      <c r="C21" s="36" t="s">
        <v>381</v>
      </c>
      <c r="D21" s="16" t="s">
        <v>36</v>
      </c>
      <c r="E21" s="37" t="s">
        <v>36</v>
      </c>
      <c r="F21" s="37" t="s">
        <v>36</v>
      </c>
      <c r="G21" s="37" t="s">
        <v>36</v>
      </c>
      <c r="H21" s="37" t="s">
        <v>36</v>
      </c>
      <c r="I21" s="37" t="s">
        <v>36</v>
      </c>
      <c r="J21" s="37" t="s">
        <v>36</v>
      </c>
      <c r="K21" s="37" t="s">
        <v>36</v>
      </c>
      <c r="L21" s="37" t="s">
        <v>36</v>
      </c>
      <c r="M21" s="34" t="s">
        <v>227</v>
      </c>
      <c r="N21" s="35" t="str">
        <f t="shared" si="0"/>
        <v>16 Juli 2018</v>
      </c>
      <c r="O21" s="37" t="s">
        <v>36</v>
      </c>
      <c r="P21" s="37" t="s">
        <v>36</v>
      </c>
      <c r="Q21" s="37" t="s">
        <v>36</v>
      </c>
      <c r="R21" s="37" t="s">
        <v>36</v>
      </c>
      <c r="S21" s="37" t="s">
        <v>36</v>
      </c>
      <c r="T21" s="37" t="s">
        <v>36</v>
      </c>
      <c r="U21" s="37" t="s">
        <v>36</v>
      </c>
      <c r="V21" s="37" t="s">
        <v>36</v>
      </c>
      <c r="W21" s="37" t="s">
        <v>36</v>
      </c>
      <c r="X21" s="37" t="s">
        <v>36</v>
      </c>
    </row>
    <row r="22" spans="1:24">
      <c r="A22" s="28">
        <v>14</v>
      </c>
      <c r="B22" s="29" t="s">
        <v>382</v>
      </c>
      <c r="C22" s="36" t="s">
        <v>383</v>
      </c>
      <c r="D22" s="16" t="s">
        <v>36</v>
      </c>
      <c r="E22" s="37" t="s">
        <v>36</v>
      </c>
      <c r="F22" s="37" t="s">
        <v>36</v>
      </c>
      <c r="G22" s="37" t="s">
        <v>36</v>
      </c>
      <c r="H22" s="37" t="s">
        <v>36</v>
      </c>
      <c r="I22" s="37" t="s">
        <v>36</v>
      </c>
      <c r="J22" s="37" t="s">
        <v>36</v>
      </c>
      <c r="K22" s="37" t="s">
        <v>36</v>
      </c>
      <c r="L22" s="37" t="s">
        <v>36</v>
      </c>
      <c r="M22" s="34" t="s">
        <v>227</v>
      </c>
      <c r="N22" s="35" t="str">
        <f t="shared" si="0"/>
        <v>16 Juli 2018</v>
      </c>
      <c r="O22" s="37" t="s">
        <v>36</v>
      </c>
      <c r="P22" s="37" t="s">
        <v>36</v>
      </c>
      <c r="Q22" s="37" t="s">
        <v>36</v>
      </c>
      <c r="R22" s="37" t="s">
        <v>36</v>
      </c>
      <c r="S22" s="37" t="s">
        <v>36</v>
      </c>
      <c r="T22" s="37" t="s">
        <v>36</v>
      </c>
      <c r="U22" s="37" t="s">
        <v>36</v>
      </c>
      <c r="V22" s="37" t="s">
        <v>36</v>
      </c>
      <c r="W22" s="37" t="s">
        <v>36</v>
      </c>
      <c r="X22" s="37" t="s">
        <v>36</v>
      </c>
    </row>
    <row r="23" spans="1:24">
      <c r="A23" s="28">
        <v>15</v>
      </c>
      <c r="B23" s="29" t="s">
        <v>384</v>
      </c>
      <c r="C23" s="36" t="s">
        <v>385</v>
      </c>
      <c r="D23" s="16" t="s">
        <v>36</v>
      </c>
      <c r="E23" s="37" t="s">
        <v>36</v>
      </c>
      <c r="F23" s="37" t="s">
        <v>36</v>
      </c>
      <c r="G23" s="37" t="s">
        <v>36</v>
      </c>
      <c r="H23" s="37" t="s">
        <v>36</v>
      </c>
      <c r="I23" s="37" t="s">
        <v>36</v>
      </c>
      <c r="J23" s="37" t="s">
        <v>36</v>
      </c>
      <c r="K23" s="37" t="s">
        <v>36</v>
      </c>
      <c r="L23" s="37" t="s">
        <v>36</v>
      </c>
      <c r="M23" s="34" t="s">
        <v>227</v>
      </c>
      <c r="N23" s="35" t="str">
        <f t="shared" si="0"/>
        <v>16 Juli 2018</v>
      </c>
      <c r="O23" s="37" t="s">
        <v>36</v>
      </c>
      <c r="P23" s="37" t="s">
        <v>36</v>
      </c>
      <c r="Q23" s="37" t="s">
        <v>36</v>
      </c>
      <c r="R23" s="37" t="s">
        <v>36</v>
      </c>
      <c r="S23" s="37" t="s">
        <v>36</v>
      </c>
      <c r="T23" s="37" t="s">
        <v>36</v>
      </c>
      <c r="U23" s="37" t="s">
        <v>36</v>
      </c>
      <c r="V23" s="37" t="s">
        <v>36</v>
      </c>
      <c r="W23" s="37" t="s">
        <v>36</v>
      </c>
      <c r="X23" s="37" t="s">
        <v>36</v>
      </c>
    </row>
    <row r="24" spans="1:24">
      <c r="A24" s="28">
        <v>16</v>
      </c>
      <c r="B24" s="29" t="s">
        <v>386</v>
      </c>
      <c r="C24" s="36" t="s">
        <v>387</v>
      </c>
      <c r="D24" s="16" t="s">
        <v>36</v>
      </c>
      <c r="E24" s="37" t="s">
        <v>36</v>
      </c>
      <c r="F24" s="37" t="s">
        <v>36</v>
      </c>
      <c r="G24" s="37" t="s">
        <v>36</v>
      </c>
      <c r="H24" s="37" t="s">
        <v>36</v>
      </c>
      <c r="I24" s="37" t="s">
        <v>36</v>
      </c>
      <c r="J24" s="37" t="s">
        <v>36</v>
      </c>
      <c r="K24" s="37" t="s">
        <v>36</v>
      </c>
      <c r="L24" s="37" t="s">
        <v>36</v>
      </c>
      <c r="M24" s="34" t="s">
        <v>227</v>
      </c>
      <c r="N24" s="35" t="str">
        <f t="shared" si="0"/>
        <v>16 Juli 2018</v>
      </c>
      <c r="O24" s="37" t="s">
        <v>36</v>
      </c>
      <c r="P24" s="37" t="s">
        <v>36</v>
      </c>
      <c r="Q24" s="37" t="s">
        <v>36</v>
      </c>
      <c r="R24" s="37" t="s">
        <v>36</v>
      </c>
      <c r="S24" s="37" t="s">
        <v>36</v>
      </c>
      <c r="T24" s="37" t="s">
        <v>36</v>
      </c>
      <c r="U24" s="37" t="s">
        <v>36</v>
      </c>
      <c r="V24" s="37" t="s">
        <v>36</v>
      </c>
      <c r="W24" s="37" t="s">
        <v>36</v>
      </c>
      <c r="X24" s="37" t="s">
        <v>36</v>
      </c>
    </row>
    <row r="25" spans="1:24">
      <c r="A25" s="28">
        <v>17</v>
      </c>
      <c r="B25" s="29" t="s">
        <v>388</v>
      </c>
      <c r="C25" s="36" t="s">
        <v>389</v>
      </c>
      <c r="D25" s="16" t="s">
        <v>36</v>
      </c>
      <c r="E25" s="37" t="s">
        <v>36</v>
      </c>
      <c r="F25" s="37" t="s">
        <v>36</v>
      </c>
      <c r="G25" s="37" t="s">
        <v>36</v>
      </c>
      <c r="H25" s="37" t="s">
        <v>36</v>
      </c>
      <c r="I25" s="37" t="s">
        <v>36</v>
      </c>
      <c r="J25" s="37" t="s">
        <v>36</v>
      </c>
      <c r="K25" s="37" t="s">
        <v>36</v>
      </c>
      <c r="L25" s="37" t="s">
        <v>36</v>
      </c>
      <c r="M25" s="34" t="s">
        <v>227</v>
      </c>
      <c r="N25" s="35" t="str">
        <f t="shared" si="0"/>
        <v>16 Juli 2018</v>
      </c>
      <c r="O25" s="37" t="s">
        <v>36</v>
      </c>
      <c r="P25" s="37" t="s">
        <v>36</v>
      </c>
      <c r="Q25" s="37" t="s">
        <v>36</v>
      </c>
      <c r="R25" s="37" t="s">
        <v>36</v>
      </c>
      <c r="S25" s="37" t="s">
        <v>36</v>
      </c>
      <c r="T25" s="37" t="s">
        <v>36</v>
      </c>
      <c r="U25" s="37" t="s">
        <v>36</v>
      </c>
      <c r="V25" s="37" t="s">
        <v>36</v>
      </c>
      <c r="W25" s="37" t="s">
        <v>36</v>
      </c>
      <c r="X25" s="37" t="s">
        <v>36</v>
      </c>
    </row>
    <row r="26" spans="1:24">
      <c r="A26" s="28">
        <v>18</v>
      </c>
      <c r="B26" s="29" t="s">
        <v>390</v>
      </c>
      <c r="C26" s="36" t="s">
        <v>391</v>
      </c>
      <c r="D26" s="16" t="s">
        <v>36</v>
      </c>
      <c r="E26" s="37" t="s">
        <v>36</v>
      </c>
      <c r="F26" s="37" t="s">
        <v>36</v>
      </c>
      <c r="G26" s="37" t="s">
        <v>36</v>
      </c>
      <c r="H26" s="37" t="s">
        <v>36</v>
      </c>
      <c r="I26" s="37" t="s">
        <v>36</v>
      </c>
      <c r="J26" s="37" t="s">
        <v>36</v>
      </c>
      <c r="K26" s="37" t="s">
        <v>36</v>
      </c>
      <c r="L26" s="37" t="s">
        <v>36</v>
      </c>
      <c r="M26" s="34" t="s">
        <v>227</v>
      </c>
      <c r="N26" s="35" t="str">
        <f t="shared" si="0"/>
        <v>16 Juli 2018</v>
      </c>
      <c r="O26" s="37" t="s">
        <v>36</v>
      </c>
      <c r="P26" s="37" t="s">
        <v>36</v>
      </c>
      <c r="Q26" s="37" t="s">
        <v>36</v>
      </c>
      <c r="R26" s="37" t="s">
        <v>36</v>
      </c>
      <c r="S26" s="37" t="s">
        <v>36</v>
      </c>
      <c r="T26" s="37" t="s">
        <v>36</v>
      </c>
      <c r="U26" s="37" t="s">
        <v>36</v>
      </c>
      <c r="V26" s="37" t="s">
        <v>36</v>
      </c>
      <c r="W26" s="37" t="s">
        <v>36</v>
      </c>
      <c r="X26" s="37" t="s">
        <v>36</v>
      </c>
    </row>
    <row r="27" spans="1:24">
      <c r="A27" s="28">
        <v>19</v>
      </c>
      <c r="B27" s="29" t="s">
        <v>392</v>
      </c>
      <c r="C27" s="36" t="s">
        <v>393</v>
      </c>
      <c r="D27" s="16" t="s">
        <v>36</v>
      </c>
      <c r="E27" s="37" t="s">
        <v>36</v>
      </c>
      <c r="F27" s="37" t="s">
        <v>36</v>
      </c>
      <c r="G27" s="37" t="s">
        <v>36</v>
      </c>
      <c r="H27" s="37" t="s">
        <v>36</v>
      </c>
      <c r="I27" s="37" t="s">
        <v>36</v>
      </c>
      <c r="J27" s="37" t="s">
        <v>36</v>
      </c>
      <c r="K27" s="37" t="s">
        <v>36</v>
      </c>
      <c r="L27" s="37" t="s">
        <v>36</v>
      </c>
      <c r="M27" s="34" t="s">
        <v>227</v>
      </c>
      <c r="N27" s="35" t="str">
        <f t="shared" si="0"/>
        <v>16 Juli 2018</v>
      </c>
      <c r="O27" s="37" t="s">
        <v>36</v>
      </c>
      <c r="P27" s="37" t="s">
        <v>36</v>
      </c>
      <c r="Q27" s="37" t="s">
        <v>36</v>
      </c>
      <c r="R27" s="37" t="s">
        <v>36</v>
      </c>
      <c r="S27" s="37" t="s">
        <v>36</v>
      </c>
      <c r="T27" s="37" t="s">
        <v>36</v>
      </c>
      <c r="U27" s="37" t="s">
        <v>36</v>
      </c>
      <c r="V27" s="37" t="s">
        <v>36</v>
      </c>
      <c r="W27" s="37" t="s">
        <v>36</v>
      </c>
      <c r="X27" s="37" t="s">
        <v>36</v>
      </c>
    </row>
    <row r="28" spans="1:24">
      <c r="A28" s="28">
        <v>20</v>
      </c>
      <c r="B28" s="29" t="s">
        <v>394</v>
      </c>
      <c r="C28" s="36" t="s">
        <v>395</v>
      </c>
      <c r="D28" s="16" t="s">
        <v>36</v>
      </c>
      <c r="E28" s="37" t="s">
        <v>36</v>
      </c>
      <c r="F28" s="37" t="s">
        <v>36</v>
      </c>
      <c r="G28" s="37" t="s">
        <v>36</v>
      </c>
      <c r="H28" s="37" t="s">
        <v>36</v>
      </c>
      <c r="I28" s="37" t="s">
        <v>36</v>
      </c>
      <c r="J28" s="37" t="s">
        <v>36</v>
      </c>
      <c r="K28" s="37" t="s">
        <v>36</v>
      </c>
      <c r="L28" s="37" t="s">
        <v>36</v>
      </c>
      <c r="M28" s="34" t="s">
        <v>227</v>
      </c>
      <c r="N28" s="35" t="str">
        <f t="shared" si="0"/>
        <v>16 Juli 2018</v>
      </c>
      <c r="O28" s="37" t="s">
        <v>36</v>
      </c>
      <c r="P28" s="37" t="s">
        <v>36</v>
      </c>
      <c r="Q28" s="37" t="s">
        <v>36</v>
      </c>
      <c r="R28" s="37" t="s">
        <v>36</v>
      </c>
      <c r="S28" s="37" t="s">
        <v>36</v>
      </c>
      <c r="T28" s="37" t="s">
        <v>36</v>
      </c>
      <c r="U28" s="37" t="s">
        <v>36</v>
      </c>
      <c r="V28" s="37" t="s">
        <v>36</v>
      </c>
      <c r="W28" s="37" t="s">
        <v>36</v>
      </c>
      <c r="X28" s="37" t="s">
        <v>36</v>
      </c>
    </row>
    <row r="29" spans="1:24">
      <c r="A29" s="28">
        <v>21</v>
      </c>
      <c r="B29" s="29" t="s">
        <v>396</v>
      </c>
      <c r="C29" s="36" t="s">
        <v>397</v>
      </c>
      <c r="D29" s="16" t="s">
        <v>36</v>
      </c>
      <c r="E29" s="37" t="s">
        <v>36</v>
      </c>
      <c r="F29" s="37" t="s">
        <v>36</v>
      </c>
      <c r="G29" s="37" t="s">
        <v>36</v>
      </c>
      <c r="H29" s="37" t="s">
        <v>36</v>
      </c>
      <c r="I29" s="37" t="s">
        <v>36</v>
      </c>
      <c r="J29" s="37" t="s">
        <v>36</v>
      </c>
      <c r="K29" s="37" t="s">
        <v>36</v>
      </c>
      <c r="L29" s="37" t="s">
        <v>36</v>
      </c>
      <c r="M29" s="34" t="s">
        <v>227</v>
      </c>
      <c r="N29" s="35" t="str">
        <f t="shared" si="0"/>
        <v>16 Juli 2018</v>
      </c>
      <c r="O29" s="37" t="s">
        <v>36</v>
      </c>
      <c r="P29" s="37" t="s">
        <v>36</v>
      </c>
      <c r="Q29" s="37" t="s">
        <v>36</v>
      </c>
      <c r="R29" s="37" t="s">
        <v>36</v>
      </c>
      <c r="S29" s="37" t="s">
        <v>36</v>
      </c>
      <c r="T29" s="37" t="s">
        <v>36</v>
      </c>
      <c r="U29" s="37" t="s">
        <v>36</v>
      </c>
      <c r="V29" s="37" t="s">
        <v>36</v>
      </c>
      <c r="W29" s="37" t="s">
        <v>36</v>
      </c>
      <c r="X29" s="37" t="s">
        <v>36</v>
      </c>
    </row>
    <row r="30" spans="1:24">
      <c r="A30" s="28">
        <v>22</v>
      </c>
      <c r="B30" s="29" t="s">
        <v>398</v>
      </c>
      <c r="C30" s="36" t="s">
        <v>399</v>
      </c>
      <c r="D30" s="16" t="s">
        <v>36</v>
      </c>
      <c r="E30" s="37" t="s">
        <v>36</v>
      </c>
      <c r="F30" s="37" t="s">
        <v>36</v>
      </c>
      <c r="G30" s="37" t="s">
        <v>36</v>
      </c>
      <c r="H30" s="37" t="s">
        <v>36</v>
      </c>
      <c r="I30" s="37" t="s">
        <v>36</v>
      </c>
      <c r="J30" s="37" t="s">
        <v>36</v>
      </c>
      <c r="K30" s="37" t="s">
        <v>36</v>
      </c>
      <c r="L30" s="37" t="s">
        <v>36</v>
      </c>
      <c r="M30" s="34" t="s">
        <v>227</v>
      </c>
      <c r="N30" s="35" t="str">
        <f t="shared" si="0"/>
        <v>16 Juli 2018</v>
      </c>
      <c r="O30" s="37" t="s">
        <v>36</v>
      </c>
      <c r="P30" s="37" t="s">
        <v>36</v>
      </c>
      <c r="Q30" s="37" t="s">
        <v>36</v>
      </c>
      <c r="R30" s="37" t="s">
        <v>36</v>
      </c>
      <c r="S30" s="37" t="s">
        <v>36</v>
      </c>
      <c r="T30" s="37" t="s">
        <v>36</v>
      </c>
      <c r="U30" s="37" t="s">
        <v>36</v>
      </c>
      <c r="V30" s="37" t="s">
        <v>36</v>
      </c>
      <c r="W30" s="37" t="s">
        <v>36</v>
      </c>
      <c r="X30" s="37" t="s">
        <v>36</v>
      </c>
    </row>
    <row r="31" spans="1:24">
      <c r="A31" s="28">
        <v>23</v>
      </c>
      <c r="B31" s="29" t="s">
        <v>400</v>
      </c>
      <c r="C31" s="36" t="s">
        <v>401</v>
      </c>
      <c r="D31" s="16" t="s">
        <v>36</v>
      </c>
      <c r="E31" s="37" t="s">
        <v>36</v>
      </c>
      <c r="F31" s="37" t="s">
        <v>36</v>
      </c>
      <c r="G31" s="37" t="s">
        <v>36</v>
      </c>
      <c r="H31" s="37" t="s">
        <v>36</v>
      </c>
      <c r="I31" s="37" t="s">
        <v>36</v>
      </c>
      <c r="J31" s="37" t="s">
        <v>36</v>
      </c>
      <c r="K31" s="37" t="s">
        <v>36</v>
      </c>
      <c r="L31" s="37" t="s">
        <v>36</v>
      </c>
      <c r="M31" s="34" t="s">
        <v>227</v>
      </c>
      <c r="N31" s="35" t="str">
        <f t="shared" si="0"/>
        <v>16 Juli 2018</v>
      </c>
      <c r="O31" s="37" t="s">
        <v>36</v>
      </c>
      <c r="P31" s="37" t="s">
        <v>36</v>
      </c>
      <c r="Q31" s="37" t="s">
        <v>36</v>
      </c>
      <c r="R31" s="37" t="s">
        <v>36</v>
      </c>
      <c r="S31" s="37" t="s">
        <v>36</v>
      </c>
      <c r="T31" s="37" t="s">
        <v>36</v>
      </c>
      <c r="U31" s="37" t="s">
        <v>36</v>
      </c>
      <c r="V31" s="37" t="s">
        <v>36</v>
      </c>
      <c r="W31" s="37" t="s">
        <v>36</v>
      </c>
      <c r="X31" s="37" t="s">
        <v>36</v>
      </c>
    </row>
    <row r="32" spans="1:24">
      <c r="A32" s="28">
        <v>24</v>
      </c>
      <c r="B32" s="29" t="s">
        <v>402</v>
      </c>
      <c r="C32" s="39" t="s">
        <v>403</v>
      </c>
      <c r="D32" s="16" t="s">
        <v>36</v>
      </c>
      <c r="E32" s="37" t="s">
        <v>36</v>
      </c>
      <c r="F32" s="37" t="s">
        <v>36</v>
      </c>
      <c r="G32" s="37" t="s">
        <v>36</v>
      </c>
      <c r="H32" s="37" t="s">
        <v>36</v>
      </c>
      <c r="I32" s="37" t="s">
        <v>36</v>
      </c>
      <c r="J32" s="37" t="s">
        <v>36</v>
      </c>
      <c r="K32" s="37" t="s">
        <v>36</v>
      </c>
      <c r="L32" s="37" t="s">
        <v>36</v>
      </c>
      <c r="M32" s="34" t="s">
        <v>227</v>
      </c>
      <c r="N32" s="35" t="str">
        <f t="shared" si="0"/>
        <v>16 Juli 2018</v>
      </c>
      <c r="O32" s="37" t="s">
        <v>36</v>
      </c>
      <c r="P32" s="37" t="s">
        <v>36</v>
      </c>
      <c r="Q32" s="37" t="s">
        <v>36</v>
      </c>
      <c r="R32" s="37" t="s">
        <v>36</v>
      </c>
      <c r="S32" s="37" t="s">
        <v>36</v>
      </c>
      <c r="T32" s="37" t="s">
        <v>36</v>
      </c>
      <c r="U32" s="37" t="s">
        <v>36</v>
      </c>
      <c r="V32" s="37" t="s">
        <v>36</v>
      </c>
      <c r="W32" s="37" t="s">
        <v>36</v>
      </c>
      <c r="X32" s="37" t="s">
        <v>36</v>
      </c>
    </row>
    <row r="33" spans="1:24">
      <c r="A33" s="28">
        <v>25</v>
      </c>
      <c r="B33" s="29" t="s">
        <v>404</v>
      </c>
      <c r="C33" s="36" t="s">
        <v>405</v>
      </c>
      <c r="D33" s="16" t="s">
        <v>36</v>
      </c>
      <c r="E33" s="37" t="s">
        <v>36</v>
      </c>
      <c r="F33" s="37" t="s">
        <v>36</v>
      </c>
      <c r="G33" s="37" t="s">
        <v>36</v>
      </c>
      <c r="H33" s="37" t="s">
        <v>36</v>
      </c>
      <c r="I33" s="37" t="s">
        <v>36</v>
      </c>
      <c r="J33" s="37" t="s">
        <v>36</v>
      </c>
      <c r="K33" s="37" t="s">
        <v>36</v>
      </c>
      <c r="L33" s="37" t="s">
        <v>36</v>
      </c>
      <c r="M33" s="34" t="s">
        <v>227</v>
      </c>
      <c r="N33" s="35" t="str">
        <f t="shared" si="0"/>
        <v>16 Juli 2018</v>
      </c>
      <c r="O33" s="37" t="s">
        <v>36</v>
      </c>
      <c r="P33" s="37" t="s">
        <v>36</v>
      </c>
      <c r="Q33" s="37" t="s">
        <v>36</v>
      </c>
      <c r="R33" s="37" t="s">
        <v>36</v>
      </c>
      <c r="S33" s="37" t="s">
        <v>36</v>
      </c>
      <c r="T33" s="37" t="s">
        <v>36</v>
      </c>
      <c r="U33" s="37" t="s">
        <v>36</v>
      </c>
      <c r="V33" s="37" t="s">
        <v>36</v>
      </c>
      <c r="W33" s="37" t="s">
        <v>36</v>
      </c>
      <c r="X33" s="37" t="s">
        <v>36</v>
      </c>
    </row>
    <row r="34" spans="1:24">
      <c r="A34" s="28">
        <v>26</v>
      </c>
      <c r="B34" s="29" t="s">
        <v>406</v>
      </c>
      <c r="C34" s="36" t="s">
        <v>407</v>
      </c>
      <c r="D34" s="16" t="s">
        <v>36</v>
      </c>
      <c r="E34" s="37" t="s">
        <v>36</v>
      </c>
      <c r="F34" s="37" t="s">
        <v>36</v>
      </c>
      <c r="G34" s="37" t="s">
        <v>36</v>
      </c>
      <c r="H34" s="37" t="s">
        <v>36</v>
      </c>
      <c r="I34" s="37" t="s">
        <v>36</v>
      </c>
      <c r="J34" s="37" t="s">
        <v>36</v>
      </c>
      <c r="K34" s="37" t="s">
        <v>36</v>
      </c>
      <c r="L34" s="37" t="s">
        <v>36</v>
      </c>
      <c r="M34" s="34" t="s">
        <v>227</v>
      </c>
      <c r="N34" s="35" t="str">
        <f t="shared" si="0"/>
        <v>16 Juli 2018</v>
      </c>
      <c r="O34" s="37" t="s">
        <v>36</v>
      </c>
      <c r="P34" s="37" t="s">
        <v>36</v>
      </c>
      <c r="Q34" s="37" t="s">
        <v>36</v>
      </c>
      <c r="R34" s="37" t="s">
        <v>36</v>
      </c>
      <c r="S34" s="37" t="s">
        <v>36</v>
      </c>
      <c r="T34" s="37" t="s">
        <v>36</v>
      </c>
      <c r="U34" s="37" t="s">
        <v>36</v>
      </c>
      <c r="V34" s="37" t="s">
        <v>36</v>
      </c>
      <c r="W34" s="37" t="s">
        <v>36</v>
      </c>
      <c r="X34" s="37" t="s">
        <v>36</v>
      </c>
    </row>
    <row r="35" spans="1:24">
      <c r="A35" s="28">
        <v>27</v>
      </c>
      <c r="B35" s="29" t="s">
        <v>408</v>
      </c>
      <c r="C35" s="36" t="s">
        <v>409</v>
      </c>
      <c r="D35" s="16" t="s">
        <v>36</v>
      </c>
      <c r="E35" s="37" t="s">
        <v>36</v>
      </c>
      <c r="F35" s="37" t="s">
        <v>36</v>
      </c>
      <c r="G35" s="37" t="s">
        <v>36</v>
      </c>
      <c r="H35" s="37" t="s">
        <v>36</v>
      </c>
      <c r="I35" s="37" t="s">
        <v>36</v>
      </c>
      <c r="J35" s="37" t="s">
        <v>36</v>
      </c>
      <c r="K35" s="37" t="s">
        <v>36</v>
      </c>
      <c r="L35" s="37" t="s">
        <v>36</v>
      </c>
      <c r="M35" s="34" t="s">
        <v>227</v>
      </c>
      <c r="N35" s="35" t="str">
        <f t="shared" si="0"/>
        <v>16 Juli 2018</v>
      </c>
      <c r="O35" s="37" t="s">
        <v>36</v>
      </c>
      <c r="P35" s="37" t="s">
        <v>36</v>
      </c>
      <c r="Q35" s="37" t="s">
        <v>36</v>
      </c>
      <c r="R35" s="37" t="s">
        <v>36</v>
      </c>
      <c r="S35" s="37" t="s">
        <v>36</v>
      </c>
      <c r="T35" s="37" t="s">
        <v>36</v>
      </c>
      <c r="U35" s="37" t="s">
        <v>36</v>
      </c>
      <c r="V35" s="37" t="s">
        <v>36</v>
      </c>
      <c r="W35" s="37" t="s">
        <v>36</v>
      </c>
      <c r="X35" s="37" t="s">
        <v>36</v>
      </c>
    </row>
    <row r="36" spans="1:24">
      <c r="A36" s="28">
        <v>28</v>
      </c>
      <c r="B36" s="29" t="s">
        <v>410</v>
      </c>
      <c r="C36" s="36" t="s">
        <v>411</v>
      </c>
      <c r="D36" s="16" t="s">
        <v>36</v>
      </c>
      <c r="E36" s="37" t="s">
        <v>36</v>
      </c>
      <c r="F36" s="37" t="s">
        <v>36</v>
      </c>
      <c r="G36" s="37" t="s">
        <v>36</v>
      </c>
      <c r="H36" s="37" t="s">
        <v>36</v>
      </c>
      <c r="I36" s="37" t="s">
        <v>36</v>
      </c>
      <c r="J36" s="37" t="s">
        <v>36</v>
      </c>
      <c r="K36" s="37" t="s">
        <v>36</v>
      </c>
      <c r="L36" s="37" t="s">
        <v>36</v>
      </c>
      <c r="M36" s="34" t="s">
        <v>227</v>
      </c>
      <c r="N36" s="35" t="str">
        <f t="shared" si="0"/>
        <v>16 Juli 2018</v>
      </c>
      <c r="O36" s="37" t="s">
        <v>36</v>
      </c>
      <c r="P36" s="37" t="s">
        <v>36</v>
      </c>
      <c r="Q36" s="37" t="s">
        <v>36</v>
      </c>
      <c r="R36" s="37" t="s">
        <v>36</v>
      </c>
      <c r="S36" s="37" t="s">
        <v>36</v>
      </c>
      <c r="T36" s="37" t="s">
        <v>36</v>
      </c>
      <c r="U36" s="37" t="s">
        <v>36</v>
      </c>
      <c r="V36" s="37" t="s">
        <v>36</v>
      </c>
      <c r="W36" s="37" t="s">
        <v>36</v>
      </c>
      <c r="X36" s="37" t="s">
        <v>36</v>
      </c>
    </row>
    <row r="37" spans="1:24">
      <c r="A37" s="28">
        <v>29</v>
      </c>
      <c r="B37" s="29" t="s">
        <v>412</v>
      </c>
      <c r="C37" s="36" t="s">
        <v>413</v>
      </c>
      <c r="D37" s="16" t="s">
        <v>36</v>
      </c>
      <c r="E37" s="37" t="s">
        <v>36</v>
      </c>
      <c r="F37" s="37" t="s">
        <v>36</v>
      </c>
      <c r="G37" s="37" t="s">
        <v>36</v>
      </c>
      <c r="H37" s="37" t="s">
        <v>36</v>
      </c>
      <c r="I37" s="37" t="s">
        <v>36</v>
      </c>
      <c r="J37" s="37" t="s">
        <v>36</v>
      </c>
      <c r="K37" s="37" t="s">
        <v>36</v>
      </c>
      <c r="L37" s="37" t="s">
        <v>36</v>
      </c>
      <c r="M37" s="34" t="s">
        <v>227</v>
      </c>
      <c r="N37" s="35" t="str">
        <f t="shared" si="0"/>
        <v>16 Juli 2018</v>
      </c>
      <c r="O37" s="37" t="s">
        <v>36</v>
      </c>
      <c r="P37" s="37" t="s">
        <v>36</v>
      </c>
      <c r="Q37" s="37" t="s">
        <v>36</v>
      </c>
      <c r="R37" s="37" t="s">
        <v>36</v>
      </c>
      <c r="S37" s="37" t="s">
        <v>36</v>
      </c>
      <c r="T37" s="37" t="s">
        <v>36</v>
      </c>
      <c r="U37" s="37" t="s">
        <v>36</v>
      </c>
      <c r="V37" s="37" t="s">
        <v>36</v>
      </c>
      <c r="W37" s="37" t="s">
        <v>36</v>
      </c>
      <c r="X37" s="37" t="s">
        <v>36</v>
      </c>
    </row>
    <row r="38" spans="1:24">
      <c r="A38" s="28">
        <v>30</v>
      </c>
      <c r="B38" s="29" t="s">
        <v>414</v>
      </c>
      <c r="C38" s="36" t="s">
        <v>415</v>
      </c>
      <c r="D38" s="16" t="s">
        <v>36</v>
      </c>
      <c r="E38" s="37" t="s">
        <v>36</v>
      </c>
      <c r="F38" s="37" t="s">
        <v>36</v>
      </c>
      <c r="G38" s="37" t="s">
        <v>36</v>
      </c>
      <c r="H38" s="37" t="s">
        <v>36</v>
      </c>
      <c r="I38" s="37" t="s">
        <v>36</v>
      </c>
      <c r="J38" s="37" t="s">
        <v>36</v>
      </c>
      <c r="K38" s="37" t="s">
        <v>36</v>
      </c>
      <c r="L38" s="37" t="s">
        <v>36</v>
      </c>
      <c r="M38" s="34" t="s">
        <v>227</v>
      </c>
      <c r="N38" s="35" t="str">
        <f t="shared" si="0"/>
        <v>16 Juli 2018</v>
      </c>
      <c r="O38" s="37" t="s">
        <v>36</v>
      </c>
      <c r="P38" s="37" t="s">
        <v>36</v>
      </c>
      <c r="Q38" s="37" t="s">
        <v>36</v>
      </c>
      <c r="R38" s="37" t="s">
        <v>36</v>
      </c>
      <c r="S38" s="37" t="s">
        <v>36</v>
      </c>
      <c r="T38" s="37" t="s">
        <v>36</v>
      </c>
      <c r="U38" s="37" t="s">
        <v>36</v>
      </c>
      <c r="V38" s="37" t="s">
        <v>36</v>
      </c>
      <c r="W38" s="37" t="s">
        <v>36</v>
      </c>
      <c r="X38" s="37" t="s">
        <v>36</v>
      </c>
    </row>
    <row r="39" spans="1:24">
      <c r="A39" s="28">
        <v>31</v>
      </c>
      <c r="B39" s="29" t="s">
        <v>416</v>
      </c>
      <c r="C39" s="36" t="s">
        <v>417</v>
      </c>
      <c r="D39" s="16" t="s">
        <v>36</v>
      </c>
      <c r="E39" s="37" t="s">
        <v>36</v>
      </c>
      <c r="F39" s="37" t="s">
        <v>36</v>
      </c>
      <c r="G39" s="37" t="s">
        <v>36</v>
      </c>
      <c r="H39" s="37" t="s">
        <v>36</v>
      </c>
      <c r="I39" s="37" t="s">
        <v>36</v>
      </c>
      <c r="J39" s="37" t="s">
        <v>36</v>
      </c>
      <c r="K39" s="37" t="s">
        <v>36</v>
      </c>
      <c r="L39" s="37" t="s">
        <v>36</v>
      </c>
      <c r="M39" s="34" t="s">
        <v>227</v>
      </c>
      <c r="N39" s="35" t="str">
        <f t="shared" si="0"/>
        <v>16 Juli 2018</v>
      </c>
      <c r="O39" s="37" t="s">
        <v>36</v>
      </c>
      <c r="P39" s="37" t="s">
        <v>36</v>
      </c>
      <c r="Q39" s="37" t="s">
        <v>36</v>
      </c>
      <c r="R39" s="37" t="s">
        <v>36</v>
      </c>
      <c r="S39" s="37" t="s">
        <v>36</v>
      </c>
      <c r="T39" s="37" t="s">
        <v>36</v>
      </c>
      <c r="U39" s="37" t="s">
        <v>36</v>
      </c>
      <c r="V39" s="37" t="s">
        <v>36</v>
      </c>
      <c r="W39" s="37" t="s">
        <v>36</v>
      </c>
      <c r="X39" s="37" t="s">
        <v>36</v>
      </c>
    </row>
    <row r="40" spans="1:24">
      <c r="A40" s="28">
        <v>32</v>
      </c>
      <c r="B40" s="29" t="s">
        <v>418</v>
      </c>
      <c r="C40" s="36" t="s">
        <v>419</v>
      </c>
      <c r="D40" s="16" t="s">
        <v>36</v>
      </c>
      <c r="E40" s="37" t="s">
        <v>36</v>
      </c>
      <c r="F40" s="37" t="s">
        <v>36</v>
      </c>
      <c r="G40" s="37" t="s">
        <v>36</v>
      </c>
      <c r="H40" s="37" t="s">
        <v>36</v>
      </c>
      <c r="I40" s="37" t="s">
        <v>36</v>
      </c>
      <c r="J40" s="37" t="s">
        <v>36</v>
      </c>
      <c r="K40" s="37" t="s">
        <v>36</v>
      </c>
      <c r="L40" s="37" t="s">
        <v>36</v>
      </c>
      <c r="M40" s="34" t="s">
        <v>227</v>
      </c>
      <c r="N40" s="35" t="str">
        <f t="shared" si="0"/>
        <v>16 Juli 2018</v>
      </c>
      <c r="O40" s="37" t="s">
        <v>36</v>
      </c>
      <c r="P40" s="37" t="s">
        <v>36</v>
      </c>
      <c r="Q40" s="37" t="s">
        <v>36</v>
      </c>
      <c r="R40" s="37" t="s">
        <v>36</v>
      </c>
      <c r="S40" s="37" t="s">
        <v>36</v>
      </c>
      <c r="T40" s="37" t="s">
        <v>36</v>
      </c>
      <c r="U40" s="37" t="s">
        <v>36</v>
      </c>
      <c r="V40" s="37" t="s">
        <v>36</v>
      </c>
      <c r="W40" s="37" t="s">
        <v>36</v>
      </c>
      <c r="X40" s="37" t="s">
        <v>36</v>
      </c>
    </row>
    <row r="41" spans="1:24">
      <c r="A41" s="28">
        <v>33</v>
      </c>
      <c r="B41" s="29" t="s">
        <v>420</v>
      </c>
      <c r="C41" s="36" t="s">
        <v>421</v>
      </c>
      <c r="D41" s="16" t="s">
        <v>36</v>
      </c>
      <c r="E41" s="37" t="s">
        <v>36</v>
      </c>
      <c r="F41" s="37" t="s">
        <v>36</v>
      </c>
      <c r="G41" s="37" t="s">
        <v>36</v>
      </c>
      <c r="H41" s="37" t="s">
        <v>36</v>
      </c>
      <c r="I41" s="37" t="s">
        <v>36</v>
      </c>
      <c r="J41" s="37" t="s">
        <v>36</v>
      </c>
      <c r="K41" s="37" t="s">
        <v>36</v>
      </c>
      <c r="L41" s="37" t="s">
        <v>36</v>
      </c>
      <c r="M41" s="34" t="s">
        <v>227</v>
      </c>
      <c r="N41" s="35" t="str">
        <f t="shared" si="0"/>
        <v>16 Juli 2018</v>
      </c>
      <c r="O41" s="37" t="s">
        <v>36</v>
      </c>
      <c r="P41" s="37" t="s">
        <v>36</v>
      </c>
      <c r="Q41" s="37" t="s">
        <v>36</v>
      </c>
      <c r="R41" s="37" t="s">
        <v>36</v>
      </c>
      <c r="S41" s="37" t="s">
        <v>36</v>
      </c>
      <c r="T41" s="37" t="s">
        <v>36</v>
      </c>
      <c r="U41" s="37" t="s">
        <v>36</v>
      </c>
      <c r="V41" s="37" t="s">
        <v>36</v>
      </c>
      <c r="W41" s="37" t="s">
        <v>36</v>
      </c>
      <c r="X41" s="37" t="s">
        <v>36</v>
      </c>
    </row>
    <row r="42" spans="1:24">
      <c r="A42" s="28">
        <v>34</v>
      </c>
      <c r="B42" s="29" t="s">
        <v>422</v>
      </c>
      <c r="C42" s="36" t="s">
        <v>423</v>
      </c>
      <c r="D42" s="16" t="s">
        <v>36</v>
      </c>
      <c r="E42" s="37" t="s">
        <v>36</v>
      </c>
      <c r="F42" s="37" t="s">
        <v>36</v>
      </c>
      <c r="G42" s="37" t="s">
        <v>36</v>
      </c>
      <c r="H42" s="37" t="s">
        <v>36</v>
      </c>
      <c r="I42" s="37" t="s">
        <v>36</v>
      </c>
      <c r="J42" s="37" t="s">
        <v>36</v>
      </c>
      <c r="K42" s="37" t="s">
        <v>36</v>
      </c>
      <c r="L42" s="37" t="s">
        <v>36</v>
      </c>
      <c r="M42" s="34" t="s">
        <v>227</v>
      </c>
      <c r="N42" s="35" t="str">
        <f t="shared" si="0"/>
        <v>16 Juli 2018</v>
      </c>
      <c r="O42" s="37" t="s">
        <v>36</v>
      </c>
      <c r="P42" s="37" t="s">
        <v>36</v>
      </c>
      <c r="Q42" s="37" t="s">
        <v>36</v>
      </c>
      <c r="R42" s="37" t="s">
        <v>36</v>
      </c>
      <c r="S42" s="37" t="s">
        <v>36</v>
      </c>
      <c r="T42" s="37" t="s">
        <v>36</v>
      </c>
      <c r="U42" s="37" t="s">
        <v>36</v>
      </c>
      <c r="V42" s="37" t="s">
        <v>36</v>
      </c>
      <c r="W42" s="37" t="s">
        <v>36</v>
      </c>
      <c r="X42" s="37" t="s">
        <v>36</v>
      </c>
    </row>
    <row r="43" spans="1:24">
      <c r="A43" s="28">
        <v>35</v>
      </c>
      <c r="B43" s="29" t="s">
        <v>424</v>
      </c>
      <c r="C43" s="36" t="s">
        <v>425</v>
      </c>
      <c r="D43" s="16" t="s">
        <v>36</v>
      </c>
      <c r="E43" s="37" t="s">
        <v>36</v>
      </c>
      <c r="F43" s="37" t="s">
        <v>36</v>
      </c>
      <c r="G43" s="37" t="s">
        <v>36</v>
      </c>
      <c r="H43" s="37" t="s">
        <v>36</v>
      </c>
      <c r="I43" s="37" t="s">
        <v>36</v>
      </c>
      <c r="J43" s="37" t="s">
        <v>36</v>
      </c>
      <c r="K43" s="37" t="s">
        <v>36</v>
      </c>
      <c r="L43" s="37" t="s">
        <v>36</v>
      </c>
      <c r="M43" s="34" t="s">
        <v>227</v>
      </c>
      <c r="N43" s="35" t="str">
        <f t="shared" si="0"/>
        <v>16 Juli 2018</v>
      </c>
      <c r="O43" s="37" t="s">
        <v>36</v>
      </c>
      <c r="P43" s="37" t="s">
        <v>36</v>
      </c>
      <c r="Q43" s="37" t="s">
        <v>36</v>
      </c>
      <c r="R43" s="37" t="s">
        <v>36</v>
      </c>
      <c r="S43" s="37" t="s">
        <v>36</v>
      </c>
      <c r="T43" s="37" t="s">
        <v>36</v>
      </c>
      <c r="U43" s="37" t="s">
        <v>36</v>
      </c>
      <c r="V43" s="37" t="s">
        <v>36</v>
      </c>
      <c r="W43" s="37" t="s">
        <v>36</v>
      </c>
      <c r="X43" s="37" t="s">
        <v>36</v>
      </c>
    </row>
    <row r="44" spans="1:24">
      <c r="A44" s="28">
        <v>36</v>
      </c>
      <c r="B44" s="29" t="s">
        <v>426</v>
      </c>
      <c r="C44" s="36" t="s">
        <v>427</v>
      </c>
      <c r="D44" s="16" t="s">
        <v>36</v>
      </c>
      <c r="E44" s="37" t="s">
        <v>36</v>
      </c>
      <c r="F44" s="37" t="s">
        <v>36</v>
      </c>
      <c r="G44" s="37" t="s">
        <v>36</v>
      </c>
      <c r="H44" s="37" t="s">
        <v>36</v>
      </c>
      <c r="I44" s="37" t="s">
        <v>36</v>
      </c>
      <c r="J44" s="37" t="s">
        <v>36</v>
      </c>
      <c r="K44" s="37" t="s">
        <v>36</v>
      </c>
      <c r="L44" s="37" t="s">
        <v>36</v>
      </c>
      <c r="M44" s="34" t="s">
        <v>227</v>
      </c>
      <c r="N44" s="35" t="str">
        <f t="shared" si="0"/>
        <v>16 Juli 2018</v>
      </c>
      <c r="O44" s="37" t="s">
        <v>36</v>
      </c>
      <c r="P44" s="37" t="s">
        <v>36</v>
      </c>
      <c r="Q44" s="37" t="s">
        <v>36</v>
      </c>
      <c r="R44" s="37" t="s">
        <v>36</v>
      </c>
      <c r="S44" s="37" t="s">
        <v>36</v>
      </c>
      <c r="T44" s="37" t="s">
        <v>36</v>
      </c>
      <c r="U44" s="37" t="s">
        <v>36</v>
      </c>
      <c r="V44" s="37" t="s">
        <v>36</v>
      </c>
      <c r="W44" s="37" t="s">
        <v>36</v>
      </c>
      <c r="X44" s="37" t="s">
        <v>36</v>
      </c>
    </row>
    <row r="45" spans="1:24">
      <c r="A45" s="28">
        <v>37</v>
      </c>
      <c r="B45" s="40" t="s">
        <v>341</v>
      </c>
      <c r="C45" s="41" t="s">
        <v>342</v>
      </c>
      <c r="D45" s="16" t="s">
        <v>36</v>
      </c>
      <c r="E45" s="37" t="s">
        <v>36</v>
      </c>
      <c r="F45" s="37" t="s">
        <v>36</v>
      </c>
      <c r="G45" s="37" t="s">
        <v>36</v>
      </c>
      <c r="H45" s="37" t="s">
        <v>36</v>
      </c>
      <c r="I45" s="37" t="s">
        <v>36</v>
      </c>
      <c r="J45" s="37" t="s">
        <v>36</v>
      </c>
      <c r="K45" s="37" t="s">
        <v>36</v>
      </c>
      <c r="L45" s="37" t="s">
        <v>36</v>
      </c>
      <c r="M45" s="34" t="s">
        <v>227</v>
      </c>
      <c r="N45" s="35" t="str">
        <f t="shared" si="0"/>
        <v>16 Juli 2018</v>
      </c>
      <c r="O45" s="37" t="s">
        <v>36</v>
      </c>
      <c r="P45" s="37" t="s">
        <v>36</v>
      </c>
      <c r="Q45" s="37" t="s">
        <v>36</v>
      </c>
      <c r="R45" s="37" t="s">
        <v>36</v>
      </c>
      <c r="S45" s="37" t="s">
        <v>36</v>
      </c>
      <c r="T45" s="37" t="s">
        <v>36</v>
      </c>
      <c r="U45" s="37" t="s">
        <v>36</v>
      </c>
      <c r="V45" s="37" t="s">
        <v>36</v>
      </c>
      <c r="W45" s="37" t="s">
        <v>36</v>
      </c>
      <c r="X45" s="37" t="s">
        <v>36</v>
      </c>
    </row>
    <row r="46" spans="1:24">
      <c r="A46" s="28">
        <v>38</v>
      </c>
      <c r="B46" s="40" t="s">
        <v>343</v>
      </c>
      <c r="C46" s="41" t="s">
        <v>344</v>
      </c>
      <c r="D46" s="16" t="s">
        <v>36</v>
      </c>
      <c r="E46" s="37" t="s">
        <v>36</v>
      </c>
      <c r="F46" s="37" t="s">
        <v>36</v>
      </c>
      <c r="G46" s="37" t="s">
        <v>36</v>
      </c>
      <c r="H46" s="37" t="s">
        <v>36</v>
      </c>
      <c r="I46" s="37" t="s">
        <v>36</v>
      </c>
      <c r="J46" s="37" t="s">
        <v>36</v>
      </c>
      <c r="K46" s="37" t="s">
        <v>36</v>
      </c>
      <c r="L46" s="37" t="s">
        <v>36</v>
      </c>
      <c r="M46" s="34" t="s">
        <v>227</v>
      </c>
      <c r="N46" s="35" t="str">
        <f t="shared" si="0"/>
        <v>16 Juli 2018</v>
      </c>
      <c r="O46" s="37" t="s">
        <v>36</v>
      </c>
      <c r="P46" s="37" t="s">
        <v>36</v>
      </c>
      <c r="Q46" s="37" t="s">
        <v>36</v>
      </c>
      <c r="R46" s="37" t="s">
        <v>36</v>
      </c>
      <c r="S46" s="37" t="s">
        <v>36</v>
      </c>
      <c r="T46" s="37" t="s">
        <v>36</v>
      </c>
      <c r="U46" s="37" t="s">
        <v>36</v>
      </c>
      <c r="V46" s="37" t="s">
        <v>36</v>
      </c>
      <c r="W46" s="37" t="s">
        <v>36</v>
      </c>
      <c r="X46" s="37" t="s">
        <v>36</v>
      </c>
    </row>
    <row r="47" spans="1:24">
      <c r="A47" s="28">
        <v>39</v>
      </c>
      <c r="B47" s="40" t="s">
        <v>345</v>
      </c>
      <c r="C47" s="41" t="s">
        <v>346</v>
      </c>
      <c r="D47" s="16" t="s">
        <v>36</v>
      </c>
      <c r="E47" s="37" t="s">
        <v>36</v>
      </c>
      <c r="F47" s="37" t="s">
        <v>36</v>
      </c>
      <c r="G47" s="37" t="s">
        <v>36</v>
      </c>
      <c r="H47" s="37" t="s">
        <v>36</v>
      </c>
      <c r="I47" s="37" t="s">
        <v>36</v>
      </c>
      <c r="J47" s="37" t="s">
        <v>36</v>
      </c>
      <c r="K47" s="37" t="s">
        <v>36</v>
      </c>
      <c r="L47" s="37" t="s">
        <v>36</v>
      </c>
      <c r="M47" s="34" t="s">
        <v>227</v>
      </c>
      <c r="N47" s="35" t="str">
        <f t="shared" si="0"/>
        <v>16 Juli 2018</v>
      </c>
      <c r="O47" s="37" t="s">
        <v>36</v>
      </c>
      <c r="P47" s="37" t="s">
        <v>36</v>
      </c>
      <c r="Q47" s="37" t="s">
        <v>36</v>
      </c>
      <c r="R47" s="37" t="s">
        <v>36</v>
      </c>
      <c r="S47" s="37" t="s">
        <v>36</v>
      </c>
      <c r="T47" s="37" t="s">
        <v>36</v>
      </c>
      <c r="U47" s="37" t="s">
        <v>36</v>
      </c>
      <c r="V47" s="37" t="s">
        <v>36</v>
      </c>
      <c r="W47" s="37" t="s">
        <v>36</v>
      </c>
      <c r="X47" s="37" t="s">
        <v>36</v>
      </c>
    </row>
    <row r="48" spans="1:24">
      <c r="A48" s="28">
        <v>40</v>
      </c>
      <c r="B48" s="40" t="s">
        <v>347</v>
      </c>
      <c r="C48" s="41" t="s">
        <v>348</v>
      </c>
      <c r="D48" s="16" t="s">
        <v>36</v>
      </c>
      <c r="E48" s="37" t="s">
        <v>36</v>
      </c>
      <c r="F48" s="37" t="s">
        <v>36</v>
      </c>
      <c r="G48" s="37" t="s">
        <v>36</v>
      </c>
      <c r="H48" s="37" t="s">
        <v>36</v>
      </c>
      <c r="I48" s="37" t="s">
        <v>36</v>
      </c>
      <c r="J48" s="37" t="s">
        <v>36</v>
      </c>
      <c r="K48" s="37" t="s">
        <v>36</v>
      </c>
      <c r="L48" s="37" t="s">
        <v>36</v>
      </c>
      <c r="M48" s="34" t="s">
        <v>227</v>
      </c>
      <c r="N48" s="35" t="str">
        <f t="shared" si="0"/>
        <v>16 Juli 2018</v>
      </c>
      <c r="O48" s="37" t="s">
        <v>36</v>
      </c>
      <c r="P48" s="37" t="s">
        <v>36</v>
      </c>
      <c r="Q48" s="37" t="s">
        <v>36</v>
      </c>
      <c r="R48" s="37" t="s">
        <v>36</v>
      </c>
      <c r="S48" s="37" t="s">
        <v>36</v>
      </c>
      <c r="T48" s="37" t="s">
        <v>36</v>
      </c>
      <c r="U48" s="37" t="s">
        <v>36</v>
      </c>
      <c r="V48" s="37" t="s">
        <v>36</v>
      </c>
      <c r="W48" s="37" t="s">
        <v>36</v>
      </c>
      <c r="X48" s="37" t="s">
        <v>36</v>
      </c>
    </row>
    <row r="49" spans="1:4" s="25" customFormat="1">
      <c r="A49" s="42"/>
      <c r="B49" s="43"/>
      <c r="C49" s="15"/>
      <c r="D49" s="16"/>
    </row>
    <row r="50" spans="1:4" s="25" customFormat="1">
      <c r="A50" s="42"/>
      <c r="B50" s="43"/>
      <c r="C50" s="15"/>
      <c r="D50" s="16"/>
    </row>
  </sheetData>
  <mergeCells count="16">
    <mergeCell ref="S7:T7"/>
    <mergeCell ref="U7:X7"/>
    <mergeCell ref="A7:A8"/>
    <mergeCell ref="K7:K8"/>
    <mergeCell ref="G7:G8"/>
    <mergeCell ref="I7:I8"/>
    <mergeCell ref="L7:L8"/>
    <mergeCell ref="B7:B8"/>
    <mergeCell ref="C7:C8"/>
    <mergeCell ref="H7:H8"/>
    <mergeCell ref="J7:J8"/>
    <mergeCell ref="F7:F8"/>
    <mergeCell ref="D7:D8"/>
    <mergeCell ref="E7:E8"/>
    <mergeCell ref="M7:N7"/>
    <mergeCell ref="O7:R7"/>
  </mergeCells>
  <pageMargins left="0.11811023622047245" right="0.19685039370078741" top="0.51181102362204722" bottom="0.31496062992125984" header="0.27559055118110237" footer="0.11811023622047245"/>
  <pageSetup paperSize="10000" scale="70"/>
  <headerFooter alignWithMargins="0">
    <oddHeader>&amp;C&amp;"Arial Black,Regular"BIODATA PESERTA DIDIK SMA PASUNDAN BANJARAN</oddHeader>
  </headerFooter>
  <drawing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0"/>
  <sheetViews>
    <sheetView workbookViewId="0">
      <selection activeCell="I33" sqref="I33"/>
    </sheetView>
  </sheetViews>
  <sheetFormatPr defaultColWidth="9" defaultRowHeight="12.75"/>
  <cols>
    <col min="1" max="1" width="3.7109375" style="474" customWidth="1"/>
    <col min="2" max="2" width="7.140625" style="474" customWidth="1"/>
    <col min="3" max="3" width="21.7109375" style="475" customWidth="1"/>
    <col min="4" max="4" width="11.85546875" style="474" customWidth="1"/>
    <col min="5" max="5" width="8" style="474" customWidth="1"/>
    <col min="6" max="6" width="12" style="474" customWidth="1"/>
    <col min="7" max="7" width="8" style="474" customWidth="1"/>
    <col min="8" max="256" width="9.140625" style="475" customWidth="1"/>
  </cols>
  <sheetData>
    <row r="1" spans="1:7">
      <c r="C1" s="476" t="s">
        <v>329</v>
      </c>
      <c r="D1" s="477" t="str">
        <f>Biodata!C4</f>
        <v xml:space="preserve"> X / IPS_5</v>
      </c>
    </row>
    <row r="2" spans="1:7">
      <c r="C2" s="476" t="s">
        <v>330</v>
      </c>
      <c r="D2" s="477" t="str">
        <f>Biodata!C5</f>
        <v>1 / Ganjil</v>
      </c>
    </row>
    <row r="3" spans="1:7">
      <c r="D3" s="477"/>
    </row>
    <row r="4" spans="1:7">
      <c r="C4" s="476" t="s">
        <v>331</v>
      </c>
      <c r="D4" s="477" t="str">
        <f>LEGER!N6</f>
        <v>Prakarya dan Kewirausahaan</v>
      </c>
    </row>
    <row r="5" spans="1:7">
      <c r="C5" s="476" t="s">
        <v>332</v>
      </c>
      <c r="D5" s="477">
        <f>RAPORT!C84</f>
        <v>70</v>
      </c>
    </row>
    <row r="6" spans="1:7">
      <c r="A6" s="474" t="s">
        <v>325</v>
      </c>
      <c r="B6" s="474" t="s">
        <v>10</v>
      </c>
      <c r="C6" s="475" t="s">
        <v>324</v>
      </c>
      <c r="D6" s="474" t="s">
        <v>75</v>
      </c>
      <c r="E6" s="474" t="s">
        <v>71</v>
      </c>
      <c r="F6" s="474" t="s">
        <v>147</v>
      </c>
      <c r="G6" s="474" t="s">
        <v>71</v>
      </c>
    </row>
    <row r="7" spans="1:7">
      <c r="A7" s="474">
        <f>Biodata!A9</f>
        <v>1</v>
      </c>
      <c r="B7" s="478" t="str">
        <f>Biodata!B9</f>
        <v>181910008</v>
      </c>
      <c r="C7" s="479" t="str">
        <f>Biodata!C9</f>
        <v>ADITA TRI KURNIA PUTRI</v>
      </c>
      <c r="D7" s="474">
        <f t="shared" ref="D7:D46" si="0">IFERROR(VLOOKUP(B7&amp;"A",leggerx1,11,0),"")</f>
        <v>80</v>
      </c>
      <c r="E7" s="474" t="str">
        <f t="shared" ref="E7:E46" si="1">IFERROR(VLOOKUP(B7&amp;"C",leggerx1,11,0),"")</f>
        <v>B</v>
      </c>
      <c r="F7" s="474">
        <f t="shared" ref="F7:F46" si="2">IFERROR(VLOOKUP(B7&amp;"B",leggerx1,11,0),"")</f>
        <v>40</v>
      </c>
      <c r="G7" s="474" t="str">
        <f t="shared" ref="G7:G46" si="3">IFERROR(VLOOKUP(B7&amp;"D",leggerx1,11,0),"")</f>
        <v>D</v>
      </c>
    </row>
    <row r="8" spans="1:7">
      <c r="A8" s="474">
        <f>Biodata!A10</f>
        <v>2</v>
      </c>
      <c r="B8" s="478" t="str">
        <f>Biodata!B10</f>
        <v>181910011</v>
      </c>
      <c r="C8" s="479" t="str">
        <f>Biodata!C10</f>
        <v xml:space="preserve">ADNES KOMALA DEWI </v>
      </c>
      <c r="D8" s="474">
        <f t="shared" si="0"/>
        <v>25</v>
      </c>
      <c r="E8" s="474" t="str">
        <f t="shared" si="1"/>
        <v>D</v>
      </c>
      <c r="F8" s="474">
        <f t="shared" si="2"/>
        <v>30</v>
      </c>
      <c r="G8" s="474" t="str">
        <f t="shared" si="3"/>
        <v>D</v>
      </c>
    </row>
    <row r="9" spans="1:7">
      <c r="A9" s="474">
        <f>Biodata!A11</f>
        <v>3</v>
      </c>
      <c r="B9" s="478" t="str">
        <f>Biodata!B11</f>
        <v>181910014</v>
      </c>
      <c r="C9" s="479" t="str">
        <f>Biodata!C11</f>
        <v>AGUNG BUDI PRASTAWA</v>
      </c>
      <c r="D9" s="474">
        <f t="shared" si="0"/>
        <v>35</v>
      </c>
      <c r="E9" s="474" t="str">
        <f t="shared" si="1"/>
        <v>D</v>
      </c>
      <c r="F9" s="474">
        <f t="shared" si="2"/>
        <v>80</v>
      </c>
      <c r="G9" s="474" t="str">
        <f t="shared" si="3"/>
        <v>B</v>
      </c>
    </row>
    <row r="10" spans="1:7">
      <c r="A10" s="474">
        <f>Biodata!A12</f>
        <v>4</v>
      </c>
      <c r="B10" s="478" t="str">
        <f>Biodata!B12</f>
        <v>181910021</v>
      </c>
      <c r="C10" s="479" t="str">
        <f>Biodata!C12</f>
        <v>AISYAH</v>
      </c>
      <c r="D10" s="474">
        <f t="shared" si="0"/>
        <v>35</v>
      </c>
      <c r="E10" s="474" t="str">
        <f t="shared" si="1"/>
        <v>D</v>
      </c>
      <c r="F10" s="474">
        <f t="shared" si="2"/>
        <v>40</v>
      </c>
      <c r="G10" s="474" t="str">
        <f t="shared" si="3"/>
        <v>D</v>
      </c>
    </row>
    <row r="11" spans="1:7">
      <c r="A11" s="474">
        <f>Biodata!A13</f>
        <v>5</v>
      </c>
      <c r="B11" s="478" t="str">
        <f>Biodata!B13</f>
        <v>181910045</v>
      </c>
      <c r="C11" s="479" t="str">
        <f>Biodata!C13</f>
        <v>ARYA DYTA WIGUNA</v>
      </c>
      <c r="D11" s="474">
        <f t="shared" si="0"/>
        <v>65</v>
      </c>
      <c r="E11" s="474" t="str">
        <f t="shared" si="1"/>
        <v>D</v>
      </c>
      <c r="F11" s="474">
        <f t="shared" si="2"/>
        <v>82</v>
      </c>
      <c r="G11" s="474" t="str">
        <f t="shared" si="3"/>
        <v>B</v>
      </c>
    </row>
    <row r="12" spans="1:7">
      <c r="A12" s="474">
        <f>Biodata!A14</f>
        <v>6</v>
      </c>
      <c r="B12" s="478" t="str">
        <f>Biodata!B14</f>
        <v>181910054</v>
      </c>
      <c r="C12" s="479" t="str">
        <f>Biodata!C14</f>
        <v>AZRIEL TAMA SANTIAJI</v>
      </c>
      <c r="D12" s="474">
        <f t="shared" si="0"/>
        <v>10</v>
      </c>
      <c r="E12" s="474" t="str">
        <f t="shared" si="1"/>
        <v>D</v>
      </c>
      <c r="F12" s="474">
        <f t="shared" si="2"/>
        <v>20</v>
      </c>
      <c r="G12" s="474" t="str">
        <f t="shared" si="3"/>
        <v>D</v>
      </c>
    </row>
    <row r="13" spans="1:7">
      <c r="A13" s="474">
        <f>Biodata!A15</f>
        <v>7</v>
      </c>
      <c r="B13" s="478" t="str">
        <f>Biodata!B15</f>
        <v>181910055</v>
      </c>
      <c r="C13" s="479" t="str">
        <f>Biodata!C15</f>
        <v>AZZUHRI HAUDI</v>
      </c>
      <c r="D13" s="474">
        <f t="shared" si="0"/>
        <v>40</v>
      </c>
      <c r="E13" s="474" t="str">
        <f t="shared" si="1"/>
        <v>D</v>
      </c>
      <c r="F13" s="474">
        <f t="shared" si="2"/>
        <v>80</v>
      </c>
      <c r="G13" s="474" t="str">
        <f t="shared" si="3"/>
        <v>B</v>
      </c>
    </row>
    <row r="14" spans="1:7">
      <c r="A14" s="474">
        <f>Biodata!A16</f>
        <v>8</v>
      </c>
      <c r="B14" s="478" t="str">
        <f>Biodata!B16</f>
        <v>181910056</v>
      </c>
      <c r="C14" s="479" t="str">
        <f>Biodata!C16</f>
        <v>BAYU BATARA SURYA PUTRA</v>
      </c>
      <c r="D14" s="474">
        <f t="shared" si="0"/>
        <v>30</v>
      </c>
      <c r="E14" s="474" t="str">
        <f t="shared" si="1"/>
        <v>D</v>
      </c>
      <c r="F14" s="474">
        <f t="shared" si="2"/>
        <v>80</v>
      </c>
      <c r="G14" s="474" t="str">
        <f t="shared" si="3"/>
        <v>B</v>
      </c>
    </row>
    <row r="15" spans="1:7">
      <c r="A15" s="474">
        <f>Biodata!A17</f>
        <v>9</v>
      </c>
      <c r="B15" s="478" t="str">
        <f>Biodata!B17</f>
        <v>181910069</v>
      </c>
      <c r="C15" s="479" t="str">
        <f>Biodata!C17</f>
        <v>DANDY ERVAN PRATAMA</v>
      </c>
      <c r="D15" s="474">
        <f t="shared" si="0"/>
        <v>20</v>
      </c>
      <c r="E15" s="474" t="str">
        <f t="shared" si="1"/>
        <v>D</v>
      </c>
      <c r="F15" s="474">
        <f t="shared" si="2"/>
        <v>20</v>
      </c>
      <c r="G15" s="474" t="str">
        <f t="shared" si="3"/>
        <v>D</v>
      </c>
    </row>
    <row r="16" spans="1:7">
      <c r="A16" s="474">
        <f>Biodata!A18</f>
        <v>10</v>
      </c>
      <c r="B16" s="478" t="str">
        <f>Biodata!B18</f>
        <v>181910085</v>
      </c>
      <c r="C16" s="479" t="str">
        <f>Biodata!C18</f>
        <v>DENISA ASTI RAHMAWATI</v>
      </c>
      <c r="D16" s="474">
        <f t="shared" si="0"/>
        <v>25</v>
      </c>
      <c r="E16" s="474" t="str">
        <f t="shared" si="1"/>
        <v>D</v>
      </c>
      <c r="F16" s="474">
        <f t="shared" si="2"/>
        <v>40</v>
      </c>
      <c r="G16" s="474" t="str">
        <f t="shared" si="3"/>
        <v>D</v>
      </c>
    </row>
    <row r="17" spans="1:7">
      <c r="A17" s="474">
        <f>Biodata!A19</f>
        <v>11</v>
      </c>
      <c r="B17" s="478" t="str">
        <f>Biodata!B19</f>
        <v>181910093</v>
      </c>
      <c r="C17" s="479" t="str">
        <f>Biodata!C19</f>
        <v>DIAN RAMDHAN SAPTIAN</v>
      </c>
      <c r="D17" s="474">
        <f t="shared" si="0"/>
        <v>20</v>
      </c>
      <c r="E17" s="474" t="str">
        <f t="shared" si="1"/>
        <v>D</v>
      </c>
      <c r="F17" s="474">
        <f t="shared" si="2"/>
        <v>25</v>
      </c>
      <c r="G17" s="474" t="str">
        <f t="shared" si="3"/>
        <v>D</v>
      </c>
    </row>
    <row r="18" spans="1:7">
      <c r="A18" s="474">
        <f>Biodata!A20</f>
        <v>12</v>
      </c>
      <c r="B18" s="478" t="str">
        <f>Biodata!B20</f>
        <v>181910103</v>
      </c>
      <c r="C18" s="479" t="str">
        <f>Biodata!C20</f>
        <v>DIVYA ADHIANI NURDIN</v>
      </c>
      <c r="D18" s="474">
        <f t="shared" si="0"/>
        <v>40</v>
      </c>
      <c r="E18" s="474" t="str">
        <f t="shared" si="1"/>
        <v>D</v>
      </c>
      <c r="F18" s="474">
        <f t="shared" si="2"/>
        <v>40</v>
      </c>
      <c r="G18" s="474" t="str">
        <f t="shared" si="3"/>
        <v>D</v>
      </c>
    </row>
    <row r="19" spans="1:7">
      <c r="A19" s="474">
        <f>Biodata!A21</f>
        <v>13</v>
      </c>
      <c r="B19" s="478" t="str">
        <f>Biodata!B21</f>
        <v>181910104</v>
      </c>
      <c r="C19" s="479" t="str">
        <f>Biodata!C21</f>
        <v>DWIKI DERMAWAN</v>
      </c>
      <c r="D19" s="474">
        <f t="shared" si="0"/>
        <v>20</v>
      </c>
      <c r="E19" s="474" t="str">
        <f t="shared" si="1"/>
        <v>D</v>
      </c>
      <c r="F19" s="474">
        <f t="shared" si="2"/>
        <v>25</v>
      </c>
      <c r="G19" s="474" t="str">
        <f t="shared" si="3"/>
        <v>D</v>
      </c>
    </row>
    <row r="20" spans="1:7">
      <c r="A20" s="474">
        <f>Biodata!A22</f>
        <v>14</v>
      </c>
      <c r="B20" s="478" t="str">
        <f>Biodata!B22</f>
        <v>181910118</v>
      </c>
      <c r="C20" s="479" t="str">
        <f>Biodata!C22</f>
        <v>ENCEP CANDRA</v>
      </c>
      <c r="D20" s="474">
        <f t="shared" si="0"/>
        <v>40</v>
      </c>
      <c r="E20" s="474" t="str">
        <f t="shared" si="1"/>
        <v>D</v>
      </c>
      <c r="F20" s="474">
        <f t="shared" si="2"/>
        <v>80</v>
      </c>
      <c r="G20" s="474" t="str">
        <f t="shared" si="3"/>
        <v>B</v>
      </c>
    </row>
    <row r="21" spans="1:7">
      <c r="A21" s="474">
        <f>Biodata!A23</f>
        <v>15</v>
      </c>
      <c r="B21" s="478" t="str">
        <f>Biodata!B23</f>
        <v>181910128</v>
      </c>
      <c r="C21" s="479" t="str">
        <f>Biodata!C23</f>
        <v>FAIZAL EGI</v>
      </c>
      <c r="D21" s="474">
        <f t="shared" si="0"/>
        <v>15</v>
      </c>
      <c r="E21" s="474" t="str">
        <f t="shared" si="1"/>
        <v>D</v>
      </c>
      <c r="F21" s="474">
        <f t="shared" si="2"/>
        <v>25</v>
      </c>
      <c r="G21" s="474" t="str">
        <f t="shared" si="3"/>
        <v>D</v>
      </c>
    </row>
    <row r="22" spans="1:7">
      <c r="A22" s="474">
        <f>Biodata!A24</f>
        <v>16</v>
      </c>
      <c r="B22" s="478" t="str">
        <f>Biodata!B24</f>
        <v>181910133</v>
      </c>
      <c r="C22" s="479" t="str">
        <f>Biodata!C24</f>
        <v>FAUZI DHALFADLIL AZHANI</v>
      </c>
      <c r="D22" s="474">
        <f t="shared" si="0"/>
        <v>30</v>
      </c>
      <c r="E22" s="474" t="str">
        <f t="shared" si="1"/>
        <v>D</v>
      </c>
      <c r="F22" s="474">
        <f t="shared" si="2"/>
        <v>30</v>
      </c>
      <c r="G22" s="474" t="str">
        <f t="shared" si="3"/>
        <v>D</v>
      </c>
    </row>
    <row r="23" spans="1:7">
      <c r="A23" s="474">
        <f>Biodata!A25</f>
        <v>17</v>
      </c>
      <c r="B23" s="478" t="str">
        <f>Biodata!B25</f>
        <v>181910161</v>
      </c>
      <c r="C23" s="479" t="str">
        <f>Biodata!C25</f>
        <v>HILMAN PUTRA PAMUNGKAS</v>
      </c>
      <c r="D23" s="474">
        <f t="shared" si="0"/>
        <v>45</v>
      </c>
      <c r="E23" s="474" t="str">
        <f t="shared" si="1"/>
        <v>D</v>
      </c>
      <c r="F23" s="474">
        <f t="shared" si="2"/>
        <v>82</v>
      </c>
      <c r="G23" s="474" t="str">
        <f t="shared" si="3"/>
        <v>B</v>
      </c>
    </row>
    <row r="24" spans="1:7">
      <c r="A24" s="474">
        <f>Biodata!A26</f>
        <v>18</v>
      </c>
      <c r="B24" s="478" t="str">
        <f>Biodata!B26</f>
        <v>181910165</v>
      </c>
      <c r="C24" s="479" t="str">
        <f>Biodata!C26</f>
        <v>IHSYA FADILLAH MUSLIM</v>
      </c>
      <c r="D24" s="474">
        <f t="shared" si="0"/>
        <v>45</v>
      </c>
      <c r="E24" s="474" t="str">
        <f t="shared" si="1"/>
        <v>D</v>
      </c>
      <c r="F24" s="474">
        <f t="shared" si="2"/>
        <v>80</v>
      </c>
      <c r="G24" s="474" t="str">
        <f t="shared" si="3"/>
        <v>B</v>
      </c>
    </row>
    <row r="25" spans="1:7">
      <c r="A25" s="474">
        <f>Biodata!A27</f>
        <v>19</v>
      </c>
      <c r="B25" s="478" t="str">
        <f>Biodata!B27</f>
        <v>181910185</v>
      </c>
      <c r="C25" s="479" t="str">
        <f>Biodata!C27</f>
        <v>JIHAD AKBAR</v>
      </c>
      <c r="D25" s="474">
        <f t="shared" si="0"/>
        <v>20</v>
      </c>
      <c r="E25" s="474" t="str">
        <f t="shared" si="1"/>
        <v>D</v>
      </c>
      <c r="F25" s="474">
        <f t="shared" si="2"/>
        <v>79</v>
      </c>
      <c r="G25" s="474" t="str">
        <f t="shared" si="3"/>
        <v>C</v>
      </c>
    </row>
    <row r="26" spans="1:7">
      <c r="A26" s="474">
        <f>Biodata!A28</f>
        <v>20</v>
      </c>
      <c r="B26" s="478" t="str">
        <f>Biodata!B28</f>
        <v>181910226</v>
      </c>
      <c r="C26" s="479" t="str">
        <f>Biodata!C28</f>
        <v>MUHAMAD IZZAZUL FIKRIAN</v>
      </c>
      <c r="D26" s="474">
        <f t="shared" si="0"/>
        <v>30</v>
      </c>
      <c r="E26" s="474" t="str">
        <f t="shared" si="1"/>
        <v>D</v>
      </c>
      <c r="F26" s="474">
        <f t="shared" si="2"/>
        <v>30</v>
      </c>
      <c r="G26" s="474" t="str">
        <f t="shared" si="3"/>
        <v>D</v>
      </c>
    </row>
    <row r="27" spans="1:7">
      <c r="A27" s="474">
        <f>Biodata!A29</f>
        <v>21</v>
      </c>
      <c r="B27" s="478" t="str">
        <f>Biodata!B29</f>
        <v>181910240</v>
      </c>
      <c r="C27" s="479" t="str">
        <f>Biodata!C29</f>
        <v>NESHA RAUDHATUL ZANNAH</v>
      </c>
      <c r="D27" s="474">
        <f t="shared" si="0"/>
        <v>79</v>
      </c>
      <c r="E27" s="474" t="str">
        <f t="shared" si="1"/>
        <v>C</v>
      </c>
      <c r="F27" s="474">
        <f t="shared" si="2"/>
        <v>80</v>
      </c>
      <c r="G27" s="474" t="str">
        <f t="shared" si="3"/>
        <v>B</v>
      </c>
    </row>
    <row r="28" spans="1:7">
      <c r="A28" s="474">
        <f>Biodata!A30</f>
        <v>22</v>
      </c>
      <c r="B28" s="478" t="str">
        <f>Biodata!B30</f>
        <v>181910262</v>
      </c>
      <c r="C28" s="479" t="str">
        <f>Biodata!C30</f>
        <v>PUTRI ANGGRAENI</v>
      </c>
      <c r="D28" s="474">
        <f t="shared" si="0"/>
        <v>64</v>
      </c>
      <c r="E28" s="474" t="str">
        <f t="shared" si="1"/>
        <v>D</v>
      </c>
      <c r="F28" s="474">
        <f t="shared" si="2"/>
        <v>40</v>
      </c>
      <c r="G28" s="474" t="str">
        <f t="shared" si="3"/>
        <v>D</v>
      </c>
    </row>
    <row r="29" spans="1:7">
      <c r="A29" s="474">
        <f>Biodata!A31</f>
        <v>23</v>
      </c>
      <c r="B29" s="478" t="str">
        <f>Biodata!B31</f>
        <v>181910266</v>
      </c>
      <c r="C29" s="479" t="str">
        <f>Biodata!C31</f>
        <v>PUTRI WULANDARI</v>
      </c>
      <c r="D29" s="474">
        <f t="shared" si="0"/>
        <v>50</v>
      </c>
      <c r="E29" s="474" t="str">
        <f t="shared" si="1"/>
        <v>D</v>
      </c>
      <c r="F29" s="474">
        <f t="shared" si="2"/>
        <v>45</v>
      </c>
      <c r="G29" s="474" t="str">
        <f t="shared" si="3"/>
        <v>D</v>
      </c>
    </row>
    <row r="30" spans="1:7">
      <c r="A30" s="474">
        <f>Biodata!A32</f>
        <v>24</v>
      </c>
      <c r="B30" s="478" t="str">
        <f>Biodata!B32</f>
        <v>181910272</v>
      </c>
      <c r="C30" s="479" t="str">
        <f>Biodata!C32</f>
        <v>RAFLY GYMNASTIAR</v>
      </c>
      <c r="D30" s="474">
        <f t="shared" si="0"/>
        <v>20</v>
      </c>
      <c r="E30" s="474" t="str">
        <f t="shared" si="1"/>
        <v>D</v>
      </c>
      <c r="F30" s="474">
        <f t="shared" si="2"/>
        <v>20</v>
      </c>
      <c r="G30" s="474" t="str">
        <f t="shared" si="3"/>
        <v>D</v>
      </c>
    </row>
    <row r="31" spans="1:7">
      <c r="A31" s="474">
        <f>Biodata!A33</f>
        <v>25</v>
      </c>
      <c r="B31" s="478" t="str">
        <f>Biodata!B33</f>
        <v>181910280</v>
      </c>
      <c r="C31" s="479" t="str">
        <f>Biodata!C33</f>
        <v>REFIANA</v>
      </c>
      <c r="D31" s="474">
        <f t="shared" si="0"/>
        <v>25</v>
      </c>
      <c r="E31" s="474" t="str">
        <f t="shared" si="1"/>
        <v>D</v>
      </c>
      <c r="F31" s="474">
        <f t="shared" si="2"/>
        <v>35</v>
      </c>
      <c r="G31" s="474" t="str">
        <f t="shared" si="3"/>
        <v>D</v>
      </c>
    </row>
    <row r="32" spans="1:7">
      <c r="A32" s="474">
        <f>Biodata!A34</f>
        <v>26</v>
      </c>
      <c r="B32" s="478" t="str">
        <f>Biodata!B34</f>
        <v>181910285</v>
      </c>
      <c r="C32" s="479" t="str">
        <f>Biodata!C34</f>
        <v>RENALDI PRIYATAMA</v>
      </c>
      <c r="D32" s="474">
        <f t="shared" si="0"/>
        <v>15</v>
      </c>
      <c r="E32" s="474" t="str">
        <f t="shared" si="1"/>
        <v>D</v>
      </c>
      <c r="F32" s="474">
        <f t="shared" si="2"/>
        <v>20</v>
      </c>
      <c r="G32" s="474" t="str">
        <f t="shared" si="3"/>
        <v>D</v>
      </c>
    </row>
    <row r="33" spans="1:7">
      <c r="A33" s="474">
        <f>Biodata!A35</f>
        <v>27</v>
      </c>
      <c r="B33" s="478" t="str">
        <f>Biodata!B35</f>
        <v>181910286</v>
      </c>
      <c r="C33" s="479" t="str">
        <f>Biodata!C35</f>
        <v>RENATA</v>
      </c>
      <c r="D33" s="474">
        <f t="shared" si="0"/>
        <v>73</v>
      </c>
      <c r="E33" s="474" t="str">
        <f t="shared" si="1"/>
        <v>C</v>
      </c>
      <c r="F33" s="474">
        <f t="shared" si="2"/>
        <v>80</v>
      </c>
      <c r="G33" s="474" t="str">
        <f t="shared" si="3"/>
        <v>B</v>
      </c>
    </row>
    <row r="34" spans="1:7">
      <c r="A34" s="474">
        <f>Biodata!A36</f>
        <v>28</v>
      </c>
      <c r="B34" s="478" t="str">
        <f>Biodata!B36</f>
        <v>181910293</v>
      </c>
      <c r="C34" s="479" t="str">
        <f>Biodata!C36</f>
        <v xml:space="preserve">REZA ERNANDA </v>
      </c>
      <c r="D34" s="474">
        <f t="shared" si="0"/>
        <v>64</v>
      </c>
      <c r="E34" s="474" t="str">
        <f t="shared" si="1"/>
        <v>D</v>
      </c>
      <c r="F34" s="474">
        <f t="shared" si="2"/>
        <v>40</v>
      </c>
      <c r="G34" s="474" t="str">
        <f t="shared" si="3"/>
        <v>D</v>
      </c>
    </row>
    <row r="35" spans="1:7">
      <c r="A35" s="474">
        <f>Biodata!A37</f>
        <v>29</v>
      </c>
      <c r="B35" s="478" t="str">
        <f>Biodata!B37</f>
        <v>181910300</v>
      </c>
      <c r="C35" s="479" t="str">
        <f>Biodata!C37</f>
        <v>RIFAN MUHAMAD RIZKI</v>
      </c>
      <c r="D35" s="474">
        <f t="shared" si="0"/>
        <v>15</v>
      </c>
      <c r="E35" s="474" t="str">
        <f t="shared" si="1"/>
        <v>D</v>
      </c>
      <c r="F35" s="474">
        <f t="shared" si="2"/>
        <v>20</v>
      </c>
      <c r="G35" s="474" t="str">
        <f t="shared" si="3"/>
        <v>D</v>
      </c>
    </row>
    <row r="36" spans="1:7">
      <c r="A36" s="474">
        <f>Biodata!A38</f>
        <v>30</v>
      </c>
      <c r="B36" s="478" t="str">
        <f>Biodata!B38</f>
        <v>181910318</v>
      </c>
      <c r="C36" s="479" t="str">
        <f>Biodata!C38</f>
        <v>RISMA SURYANI</v>
      </c>
      <c r="D36" s="474">
        <f t="shared" si="0"/>
        <v>65</v>
      </c>
      <c r="E36" s="474" t="str">
        <f t="shared" si="1"/>
        <v>D</v>
      </c>
      <c r="F36" s="474">
        <f t="shared" si="2"/>
        <v>79</v>
      </c>
      <c r="G36" s="474" t="str">
        <f t="shared" si="3"/>
        <v>C</v>
      </c>
    </row>
    <row r="37" spans="1:7">
      <c r="A37" s="474">
        <f>Biodata!A39</f>
        <v>31</v>
      </c>
      <c r="B37" s="478" t="str">
        <f>Biodata!B39</f>
        <v>181910320</v>
      </c>
      <c r="C37" s="479" t="str">
        <f>Biodata!C39</f>
        <v>RISNA TIRANI</v>
      </c>
      <c r="D37" s="474">
        <f t="shared" si="0"/>
        <v>85</v>
      </c>
      <c r="E37" s="474" t="str">
        <f t="shared" si="1"/>
        <v>B</v>
      </c>
      <c r="F37" s="474">
        <f t="shared" si="2"/>
        <v>80</v>
      </c>
      <c r="G37" s="474" t="str">
        <f t="shared" si="3"/>
        <v>B</v>
      </c>
    </row>
    <row r="38" spans="1:7">
      <c r="A38" s="474">
        <f>Biodata!A40</f>
        <v>32</v>
      </c>
      <c r="B38" s="478" t="str">
        <f>Biodata!B40</f>
        <v>181910331</v>
      </c>
      <c r="C38" s="479" t="str">
        <f>Biodata!C40</f>
        <v>RULLY PRATAMA S.</v>
      </c>
      <c r="D38" s="474">
        <f t="shared" si="0"/>
        <v>15</v>
      </c>
      <c r="E38" s="474" t="str">
        <f t="shared" si="1"/>
        <v>D</v>
      </c>
      <c r="F38" s="474">
        <f t="shared" si="2"/>
        <v>79</v>
      </c>
      <c r="G38" s="474" t="str">
        <f t="shared" si="3"/>
        <v>C</v>
      </c>
    </row>
    <row r="39" spans="1:7">
      <c r="A39" s="474">
        <f>Biodata!A41</f>
        <v>33</v>
      </c>
      <c r="B39" s="478" t="str">
        <f>Biodata!B41</f>
        <v>181910335</v>
      </c>
      <c r="C39" s="479" t="str">
        <f>Biodata!C41</f>
        <v>SALSA ASYKIYA</v>
      </c>
      <c r="D39" s="474">
        <f t="shared" si="0"/>
        <v>85</v>
      </c>
      <c r="E39" s="474" t="str">
        <f t="shared" si="1"/>
        <v>B</v>
      </c>
      <c r="F39" s="474">
        <f t="shared" si="2"/>
        <v>80</v>
      </c>
      <c r="G39" s="474" t="str">
        <f t="shared" si="3"/>
        <v>B</v>
      </c>
    </row>
    <row r="40" spans="1:7">
      <c r="A40" s="474">
        <f>Biodata!A42</f>
        <v>34</v>
      </c>
      <c r="B40" s="478" t="str">
        <f>Biodata!B42</f>
        <v>181910353</v>
      </c>
      <c r="C40" s="479" t="str">
        <f>Biodata!C42</f>
        <v>SILFI HAMIDAH</v>
      </c>
      <c r="D40" s="474">
        <f t="shared" si="0"/>
        <v>83</v>
      </c>
      <c r="E40" s="474" t="str">
        <f t="shared" si="1"/>
        <v>B</v>
      </c>
      <c r="F40" s="474">
        <f t="shared" si="2"/>
        <v>80</v>
      </c>
      <c r="G40" s="474" t="str">
        <f t="shared" si="3"/>
        <v>B</v>
      </c>
    </row>
    <row r="41" spans="1:7">
      <c r="A41" s="474">
        <f>Biodata!A43</f>
        <v>35</v>
      </c>
      <c r="B41" s="478" t="str">
        <f>Biodata!B43</f>
        <v>181910408</v>
      </c>
      <c r="C41" s="479" t="str">
        <f>Biodata!C43</f>
        <v>YESHA RAHAYU</v>
      </c>
      <c r="D41" s="474">
        <f t="shared" si="0"/>
        <v>35</v>
      </c>
      <c r="E41" s="474" t="str">
        <f t="shared" si="1"/>
        <v>D</v>
      </c>
      <c r="F41" s="474">
        <f t="shared" si="2"/>
        <v>35</v>
      </c>
      <c r="G41" s="474" t="str">
        <f t="shared" si="3"/>
        <v>D</v>
      </c>
    </row>
    <row r="42" spans="1:7">
      <c r="A42" s="474">
        <f>Biodata!A44</f>
        <v>36</v>
      </c>
      <c r="B42" s="478" t="str">
        <f>Biodata!B44</f>
        <v>181910433</v>
      </c>
      <c r="C42" s="479" t="str">
        <f>Biodata!C44</f>
        <v>MUHAMAD RIZAL</v>
      </c>
      <c r="D42" s="474">
        <f t="shared" si="0"/>
        <v>25</v>
      </c>
      <c r="E42" s="474" t="str">
        <f t="shared" si="1"/>
        <v>D</v>
      </c>
      <c r="F42" s="474">
        <f t="shared" si="2"/>
        <v>30</v>
      </c>
      <c r="G42" s="474" t="str">
        <f t="shared" si="3"/>
        <v>D</v>
      </c>
    </row>
    <row r="43" spans="1:7">
      <c r="A43" s="474">
        <f>Biodata!A45</f>
        <v>37</v>
      </c>
      <c r="B43" s="478" t="str">
        <f>Biodata!B45</f>
        <v>037</v>
      </c>
      <c r="C43" s="479" t="str">
        <f>Biodata!C45</f>
        <v>A37</v>
      </c>
      <c r="D43" s="474">
        <f t="shared" si="0"/>
        <v>0</v>
      </c>
      <c r="E43" s="474" t="str">
        <f t="shared" si="1"/>
        <v/>
      </c>
      <c r="F43" s="474">
        <f t="shared" si="2"/>
        <v>0</v>
      </c>
      <c r="G43" s="474" t="str">
        <f t="shared" si="3"/>
        <v/>
      </c>
    </row>
    <row r="44" spans="1:7">
      <c r="A44" s="474">
        <f>Biodata!A46</f>
        <v>38</v>
      </c>
      <c r="B44" s="478" t="str">
        <f>Biodata!B46</f>
        <v>038</v>
      </c>
      <c r="C44" s="479" t="str">
        <f>Biodata!C46</f>
        <v>A38</v>
      </c>
      <c r="D44" s="474">
        <f t="shared" si="0"/>
        <v>0</v>
      </c>
      <c r="E44" s="474" t="str">
        <f t="shared" si="1"/>
        <v/>
      </c>
      <c r="F44" s="474">
        <f t="shared" si="2"/>
        <v>0</v>
      </c>
      <c r="G44" s="474" t="str">
        <f t="shared" si="3"/>
        <v/>
      </c>
    </row>
    <row r="45" spans="1:7">
      <c r="A45" s="474">
        <f>Biodata!A47</f>
        <v>39</v>
      </c>
      <c r="B45" s="478" t="str">
        <f>Biodata!B47</f>
        <v>039</v>
      </c>
      <c r="C45" s="479" t="str">
        <f>Biodata!C47</f>
        <v>A39</v>
      </c>
      <c r="D45" s="474">
        <f t="shared" si="0"/>
        <v>0</v>
      </c>
      <c r="E45" s="474" t="str">
        <f t="shared" si="1"/>
        <v/>
      </c>
      <c r="F45" s="474">
        <f t="shared" si="2"/>
        <v>0</v>
      </c>
      <c r="G45" s="474" t="str">
        <f t="shared" si="3"/>
        <v/>
      </c>
    </row>
    <row r="46" spans="1:7">
      <c r="A46" s="474">
        <f>Biodata!A48</f>
        <v>40</v>
      </c>
      <c r="B46" s="478" t="str">
        <f>Biodata!B48</f>
        <v>040</v>
      </c>
      <c r="C46" s="479" t="str">
        <f>Biodata!C48</f>
        <v>A40</v>
      </c>
      <c r="D46" s="474">
        <f t="shared" si="0"/>
        <v>0</v>
      </c>
      <c r="E46" s="474" t="str">
        <f t="shared" si="1"/>
        <v/>
      </c>
      <c r="F46" s="474">
        <f t="shared" si="2"/>
        <v>0</v>
      </c>
      <c r="G46" s="474" t="str">
        <f t="shared" si="3"/>
        <v/>
      </c>
    </row>
    <row r="47" spans="1:7">
      <c r="C47" s="483"/>
    </row>
    <row r="48" spans="1:7">
      <c r="C48" s="483"/>
    </row>
    <row r="49" spans="3:3" s="475" customFormat="1" ht="11.25">
      <c r="C49" s="483"/>
    </row>
    <row r="50" spans="3:3" s="475" customFormat="1" ht="11.25">
      <c r="C50" s="483"/>
    </row>
  </sheetData>
  <sheetProtection sheet="1" objects="1" scenarios="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0"/>
  <sheetViews>
    <sheetView topLeftCell="A4" workbookViewId="0">
      <selection activeCell="G22" sqref="G22"/>
    </sheetView>
  </sheetViews>
  <sheetFormatPr defaultColWidth="9" defaultRowHeight="12.75"/>
  <cols>
    <col min="1" max="1" width="3.7109375" style="474" customWidth="1"/>
    <col min="2" max="2" width="7.140625" style="474" customWidth="1"/>
    <col min="3" max="3" width="21.7109375" style="475" customWidth="1"/>
    <col min="4" max="4" width="11.85546875" style="474" customWidth="1"/>
    <col min="5" max="5" width="8" style="474" customWidth="1"/>
    <col min="6" max="6" width="12" style="474" customWidth="1"/>
    <col min="7" max="7" width="8" style="474" customWidth="1"/>
    <col min="8" max="256" width="9.140625" style="475" customWidth="1"/>
  </cols>
  <sheetData>
    <row r="1" spans="1:7">
      <c r="C1" s="476" t="s">
        <v>329</v>
      </c>
      <c r="D1" s="477" t="str">
        <f>Biodata!C4</f>
        <v xml:space="preserve"> X / IPS_5</v>
      </c>
    </row>
    <row r="2" spans="1:7">
      <c r="C2" s="476" t="s">
        <v>330</v>
      </c>
      <c r="D2" s="477" t="str">
        <f>Biodata!C5</f>
        <v>1 / Ganjil</v>
      </c>
    </row>
    <row r="3" spans="1:7">
      <c r="D3" s="477"/>
    </row>
    <row r="4" spans="1:7">
      <c r="C4" s="476" t="s">
        <v>331</v>
      </c>
      <c r="D4" s="477" t="str">
        <f>LEGER!O6</f>
        <v>Bahasa Sunda</v>
      </c>
    </row>
    <row r="5" spans="1:7">
      <c r="C5" s="476" t="s">
        <v>332</v>
      </c>
      <c r="D5" s="477">
        <f>RAPORT!C84</f>
        <v>70</v>
      </c>
    </row>
    <row r="6" spans="1:7">
      <c r="A6" s="474" t="s">
        <v>325</v>
      </c>
      <c r="B6" s="474" t="s">
        <v>10</v>
      </c>
      <c r="C6" s="475" t="s">
        <v>324</v>
      </c>
      <c r="D6" s="474" t="s">
        <v>75</v>
      </c>
      <c r="E6" s="474" t="s">
        <v>71</v>
      </c>
      <c r="F6" s="474" t="s">
        <v>147</v>
      </c>
      <c r="G6" s="474" t="s">
        <v>71</v>
      </c>
    </row>
    <row r="7" spans="1:7">
      <c r="A7" s="474">
        <f>Biodata!A9</f>
        <v>1</v>
      </c>
      <c r="B7" s="478" t="str">
        <f>Biodata!B9</f>
        <v>181910008</v>
      </c>
      <c r="C7" s="479" t="str">
        <f>Biodata!C9</f>
        <v>ADITA TRI KURNIA PUTRI</v>
      </c>
      <c r="D7" s="474">
        <v>80</v>
      </c>
      <c r="E7" s="474" t="s">
        <v>6</v>
      </c>
      <c r="F7" s="474">
        <v>75</v>
      </c>
      <c r="G7" s="474" t="s">
        <v>18</v>
      </c>
    </row>
    <row r="8" spans="1:7">
      <c r="A8" s="474">
        <f>Biodata!A10</f>
        <v>2</v>
      </c>
      <c r="B8" s="478" t="str">
        <f>Biodata!B10</f>
        <v>181910011</v>
      </c>
      <c r="C8" s="479" t="str">
        <f>Biodata!C10</f>
        <v xml:space="preserve">ADNES KOMALA DEWI </v>
      </c>
      <c r="D8" s="474">
        <v>26</v>
      </c>
      <c r="E8" s="474" t="s">
        <v>429</v>
      </c>
      <c r="F8" s="474">
        <v>35</v>
      </c>
      <c r="G8" s="474" t="s">
        <v>429</v>
      </c>
    </row>
    <row r="9" spans="1:7">
      <c r="A9" s="474">
        <f>Biodata!A11</f>
        <v>3</v>
      </c>
      <c r="B9" s="478" t="str">
        <f>Biodata!B11</f>
        <v>181910014</v>
      </c>
      <c r="C9" s="479" t="str">
        <f>Biodata!C11</f>
        <v>AGUNG BUDI PRASTAWA</v>
      </c>
      <c r="D9" s="474">
        <v>28</v>
      </c>
      <c r="E9" s="474" t="s">
        <v>429</v>
      </c>
      <c r="F9" s="474">
        <v>35</v>
      </c>
      <c r="G9" s="474" t="s">
        <v>429</v>
      </c>
    </row>
    <row r="10" spans="1:7">
      <c r="A10" s="474">
        <f>Biodata!A12</f>
        <v>4</v>
      </c>
      <c r="B10" s="478" t="str">
        <f>Biodata!B12</f>
        <v>181910021</v>
      </c>
      <c r="C10" s="479" t="str">
        <f>Biodata!C12</f>
        <v>AISYAH</v>
      </c>
      <c r="D10" s="474">
        <v>58</v>
      </c>
      <c r="E10" s="474" t="s">
        <v>429</v>
      </c>
      <c r="F10" s="474">
        <v>35</v>
      </c>
      <c r="G10" s="474" t="s">
        <v>429</v>
      </c>
    </row>
    <row r="11" spans="1:7">
      <c r="A11" s="474">
        <f>Biodata!A13</f>
        <v>5</v>
      </c>
      <c r="B11" s="478" t="str">
        <f>Biodata!B13</f>
        <v>181910045</v>
      </c>
      <c r="C11" s="479" t="str">
        <f>Biodata!C13</f>
        <v>ARYA DYTA WIGUNA</v>
      </c>
      <c r="D11" s="474">
        <v>57</v>
      </c>
      <c r="E11" s="474" t="s">
        <v>429</v>
      </c>
      <c r="F11" s="474">
        <v>78</v>
      </c>
      <c r="G11" s="474" t="s">
        <v>6</v>
      </c>
    </row>
    <row r="12" spans="1:7">
      <c r="A12" s="474">
        <f>Biodata!A14</f>
        <v>6</v>
      </c>
      <c r="B12" s="478" t="str">
        <f>Biodata!B14</f>
        <v>181910054</v>
      </c>
      <c r="C12" s="479" t="str">
        <f>Biodata!C14</f>
        <v>AZRIEL TAMA SANTIAJI</v>
      </c>
      <c r="D12" s="474">
        <v>23</v>
      </c>
      <c r="E12" s="474" t="s">
        <v>429</v>
      </c>
      <c r="F12" s="474">
        <v>35</v>
      </c>
      <c r="G12" s="474" t="s">
        <v>429</v>
      </c>
    </row>
    <row r="13" spans="1:7">
      <c r="A13" s="474">
        <f>Biodata!A15</f>
        <v>7</v>
      </c>
      <c r="B13" s="478" t="str">
        <f>Biodata!B15</f>
        <v>181910055</v>
      </c>
      <c r="C13" s="479" t="str">
        <f>Biodata!C15</f>
        <v>AZZUHRI HAUDI</v>
      </c>
      <c r="D13" s="474">
        <v>59</v>
      </c>
      <c r="E13" s="474" t="s">
        <v>429</v>
      </c>
      <c r="F13" s="474">
        <v>38</v>
      </c>
      <c r="G13" s="474" t="s">
        <v>429</v>
      </c>
    </row>
    <row r="14" spans="1:7">
      <c r="A14" s="474">
        <f>Biodata!A16</f>
        <v>8</v>
      </c>
      <c r="B14" s="478" t="str">
        <f>Biodata!B16</f>
        <v>181910056</v>
      </c>
      <c r="C14" s="479" t="str">
        <f>Biodata!C16</f>
        <v>BAYU BATARA SURYA PUTRA</v>
      </c>
      <c r="D14" s="474">
        <v>70</v>
      </c>
      <c r="E14" s="474" t="s">
        <v>18</v>
      </c>
      <c r="F14" s="474">
        <v>38</v>
      </c>
      <c r="G14" s="474" t="s">
        <v>429</v>
      </c>
    </row>
    <row r="15" spans="1:7">
      <c r="A15" s="474">
        <f>Biodata!A17</f>
        <v>9</v>
      </c>
      <c r="B15" s="478" t="str">
        <f>Biodata!B17</f>
        <v>181910069</v>
      </c>
      <c r="C15" s="479" t="str">
        <f>Biodata!C17</f>
        <v>DANDY ERVAN PRATAMA</v>
      </c>
      <c r="D15" s="474">
        <v>17</v>
      </c>
      <c r="E15" s="474" t="s">
        <v>429</v>
      </c>
      <c r="F15" s="474">
        <f t="shared" ref="F15:F46" si="0">IFERROR(VLOOKUP(B15&amp;"B",leggerx1,12,0),"")</f>
        <v>0</v>
      </c>
      <c r="G15" s="474" t="str">
        <f t="shared" ref="G15:G46" si="1">IFERROR(VLOOKUP(B15&amp;"D",leggerx1,12,0),"")</f>
        <v/>
      </c>
    </row>
    <row r="16" spans="1:7">
      <c r="A16" s="474">
        <f>Biodata!A18</f>
        <v>10</v>
      </c>
      <c r="B16" s="478" t="str">
        <f>Biodata!B18</f>
        <v>181910085</v>
      </c>
      <c r="C16" s="479" t="str">
        <f>Biodata!C18</f>
        <v>DENISA ASTI RAHMAWATI</v>
      </c>
      <c r="D16" s="474">
        <v>42</v>
      </c>
      <c r="E16" s="474" t="s">
        <v>429</v>
      </c>
      <c r="F16" s="474">
        <v>35</v>
      </c>
      <c r="G16" s="474" t="s">
        <v>429</v>
      </c>
    </row>
    <row r="17" spans="1:7">
      <c r="A17" s="474">
        <f>Biodata!A19</f>
        <v>11</v>
      </c>
      <c r="B17" s="478" t="str">
        <f>Biodata!B19</f>
        <v>181910093</v>
      </c>
      <c r="C17" s="479" t="str">
        <f>Biodata!C19</f>
        <v>DIAN RAMDHAN SAPTIAN</v>
      </c>
      <c r="D17" s="474">
        <v>27</v>
      </c>
      <c r="E17" s="474" t="s">
        <v>429</v>
      </c>
      <c r="F17" s="474">
        <v>40</v>
      </c>
      <c r="G17" s="474" t="s">
        <v>429</v>
      </c>
    </row>
    <row r="18" spans="1:7">
      <c r="A18" s="474">
        <f>Biodata!A20</f>
        <v>12</v>
      </c>
      <c r="B18" s="478" t="str">
        <f>Biodata!B20</f>
        <v>181910103</v>
      </c>
      <c r="C18" s="479" t="str">
        <f>Biodata!C20</f>
        <v>DIVYA ADHIANI NURDIN</v>
      </c>
      <c r="D18" s="474">
        <v>78</v>
      </c>
      <c r="E18" s="474" t="s">
        <v>6</v>
      </c>
      <c r="F18" s="474">
        <v>73</v>
      </c>
      <c r="G18" s="474" t="s">
        <v>18</v>
      </c>
    </row>
    <row r="19" spans="1:7">
      <c r="A19" s="474">
        <f>Biodata!A21</f>
        <v>13</v>
      </c>
      <c r="B19" s="478" t="str">
        <f>Biodata!B21</f>
        <v>181910104</v>
      </c>
      <c r="C19" s="479" t="str">
        <f>Biodata!C21</f>
        <v>DWIKI DERMAWAN</v>
      </c>
      <c r="D19" s="474">
        <v>33</v>
      </c>
      <c r="E19" s="474" t="s">
        <v>429</v>
      </c>
      <c r="F19" s="474">
        <v>35</v>
      </c>
      <c r="G19" s="474" t="s">
        <v>429</v>
      </c>
    </row>
    <row r="20" spans="1:7">
      <c r="A20" s="474">
        <f>Biodata!A22</f>
        <v>14</v>
      </c>
      <c r="B20" s="478" t="str">
        <f>Biodata!B22</f>
        <v>181910118</v>
      </c>
      <c r="C20" s="479" t="str">
        <f>Biodata!C22</f>
        <v>ENCEP CANDRA</v>
      </c>
      <c r="D20" s="474">
        <v>52</v>
      </c>
      <c r="E20" s="474" t="s">
        <v>429</v>
      </c>
      <c r="F20" s="474">
        <v>40</v>
      </c>
      <c r="G20" s="474" t="s">
        <v>429</v>
      </c>
    </row>
    <row r="21" spans="1:7">
      <c r="A21" s="474">
        <f>Biodata!A23</f>
        <v>15</v>
      </c>
      <c r="B21" s="478" t="str">
        <f>Biodata!B23</f>
        <v>181910128</v>
      </c>
      <c r="C21" s="479" t="str">
        <f>Biodata!C23</f>
        <v>FAIZAL EGI</v>
      </c>
      <c r="D21" s="474">
        <v>18</v>
      </c>
      <c r="E21" s="474" t="s">
        <v>429</v>
      </c>
      <c r="F21" s="474">
        <v>39</v>
      </c>
      <c r="G21" s="474" t="s">
        <v>429</v>
      </c>
    </row>
    <row r="22" spans="1:7">
      <c r="A22" s="474">
        <f>Biodata!A24</f>
        <v>16</v>
      </c>
      <c r="B22" s="478" t="str">
        <f>Biodata!B24</f>
        <v>181910133</v>
      </c>
      <c r="C22" s="479" t="str">
        <f>Biodata!C24</f>
        <v>FAUZI DHALFADLIL AZHANI</v>
      </c>
      <c r="D22" s="474">
        <v>24</v>
      </c>
      <c r="E22" s="474" t="s">
        <v>429</v>
      </c>
      <c r="F22" s="474">
        <v>35</v>
      </c>
      <c r="G22" s="474" t="s">
        <v>429</v>
      </c>
    </row>
    <row r="23" spans="1:7">
      <c r="A23" s="474">
        <f>Biodata!A25</f>
        <v>17</v>
      </c>
      <c r="B23" s="478" t="str">
        <f>Biodata!B25</f>
        <v>181910161</v>
      </c>
      <c r="C23" s="479" t="str">
        <f>Biodata!C25</f>
        <v>HILMAN PUTRA PAMUNGKAS</v>
      </c>
      <c r="D23" s="474">
        <v>78</v>
      </c>
      <c r="E23" s="474" t="s">
        <v>6</v>
      </c>
      <c r="F23" s="474">
        <v>81</v>
      </c>
      <c r="G23" s="474" t="s">
        <v>6</v>
      </c>
    </row>
    <row r="24" spans="1:7">
      <c r="A24" s="474">
        <f>Biodata!A26</f>
        <v>18</v>
      </c>
      <c r="B24" s="478" t="str">
        <f>Biodata!B26</f>
        <v>181910165</v>
      </c>
      <c r="C24" s="479" t="str">
        <f>Biodata!C26</f>
        <v>IHSYA FADILLAH MUSLIM</v>
      </c>
      <c r="D24" s="474">
        <v>43</v>
      </c>
      <c r="E24" s="474" t="s">
        <v>429</v>
      </c>
      <c r="F24" s="474">
        <v>39</v>
      </c>
      <c r="G24" s="474" t="s">
        <v>429</v>
      </c>
    </row>
    <row r="25" spans="1:7">
      <c r="A25" s="474">
        <f>Biodata!A27</f>
        <v>19</v>
      </c>
      <c r="B25" s="478" t="str">
        <f>Biodata!B27</f>
        <v>181910185</v>
      </c>
      <c r="C25" s="479" t="str">
        <f>Biodata!C27</f>
        <v>JIHAD AKBAR</v>
      </c>
      <c r="D25" s="474">
        <v>45</v>
      </c>
      <c r="E25" s="474" t="s">
        <v>429</v>
      </c>
      <c r="F25" s="474">
        <v>35</v>
      </c>
      <c r="G25" s="474" t="s">
        <v>429</v>
      </c>
    </row>
    <row r="26" spans="1:7">
      <c r="A26" s="474">
        <f>Biodata!A28</f>
        <v>20</v>
      </c>
      <c r="B26" s="478" t="str">
        <f>Biodata!B28</f>
        <v>181910226</v>
      </c>
      <c r="C26" s="479" t="str">
        <f>Biodata!C28</f>
        <v>MUHAMAD IZZAZUL FIKRIAN</v>
      </c>
      <c r="D26" s="474">
        <v>46</v>
      </c>
      <c r="E26" s="474" t="s">
        <v>429</v>
      </c>
      <c r="F26" s="474">
        <v>75</v>
      </c>
      <c r="G26" s="474" t="s">
        <v>18</v>
      </c>
    </row>
    <row r="27" spans="1:7">
      <c r="A27" s="474">
        <f>Biodata!A29</f>
        <v>21</v>
      </c>
      <c r="B27" s="478" t="str">
        <f>Biodata!B29</f>
        <v>181910240</v>
      </c>
      <c r="C27" s="479" t="str">
        <f>Biodata!C29</f>
        <v>NESHA RAUDHATUL ZANNAH</v>
      </c>
      <c r="D27" s="474">
        <v>56</v>
      </c>
      <c r="E27" s="474" t="s">
        <v>429</v>
      </c>
      <c r="F27" s="474">
        <v>38</v>
      </c>
      <c r="G27" s="474" t="s">
        <v>429</v>
      </c>
    </row>
    <row r="28" spans="1:7">
      <c r="A28" s="474">
        <f>Biodata!A30</f>
        <v>22</v>
      </c>
      <c r="B28" s="478" t="str">
        <f>Biodata!B30</f>
        <v>181910262</v>
      </c>
      <c r="C28" s="479" t="str">
        <f>Biodata!C30</f>
        <v>PUTRI ANGGRAENI</v>
      </c>
      <c r="D28" s="474">
        <v>76</v>
      </c>
      <c r="E28" s="474" t="s">
        <v>6</v>
      </c>
      <c r="F28" s="474">
        <v>38</v>
      </c>
      <c r="G28" s="474" t="s">
        <v>429</v>
      </c>
    </row>
    <row r="29" spans="1:7">
      <c r="A29" s="474">
        <f>Biodata!A31</f>
        <v>23</v>
      </c>
      <c r="B29" s="478" t="str">
        <f>Biodata!B31</f>
        <v>181910266</v>
      </c>
      <c r="C29" s="479" t="str">
        <f>Biodata!C31</f>
        <v>PUTRI WULANDARI</v>
      </c>
      <c r="D29" s="474">
        <v>72</v>
      </c>
      <c r="E29" s="474" t="s">
        <v>18</v>
      </c>
      <c r="F29" s="474">
        <v>80</v>
      </c>
      <c r="G29" s="474" t="s">
        <v>6</v>
      </c>
    </row>
    <row r="30" spans="1:7">
      <c r="A30" s="474">
        <f>Biodata!A32</f>
        <v>24</v>
      </c>
      <c r="B30" s="478" t="str">
        <f>Biodata!B32</f>
        <v>181910272</v>
      </c>
      <c r="C30" s="479" t="str">
        <f>Biodata!C32</f>
        <v>RAFLY GYMNASTIAR</v>
      </c>
      <c r="D30" s="474">
        <v>18</v>
      </c>
      <c r="E30" s="474" t="s">
        <v>429</v>
      </c>
      <c r="F30" s="474">
        <v>0</v>
      </c>
      <c r="G30" s="474" t="str">
        <f t="shared" si="1"/>
        <v/>
      </c>
    </row>
    <row r="31" spans="1:7">
      <c r="A31" s="474">
        <f>Biodata!A33</f>
        <v>25</v>
      </c>
      <c r="B31" s="478" t="str">
        <f>Biodata!B33</f>
        <v>181910280</v>
      </c>
      <c r="C31" s="479" t="str">
        <f>Biodata!C33</f>
        <v>REFIANA</v>
      </c>
      <c r="D31" s="474">
        <v>45</v>
      </c>
      <c r="E31" s="474" t="s">
        <v>429</v>
      </c>
      <c r="F31" s="474">
        <v>40</v>
      </c>
      <c r="G31" s="474" t="s">
        <v>429</v>
      </c>
    </row>
    <row r="32" spans="1:7">
      <c r="A32" s="474">
        <f>Biodata!A34</f>
        <v>26</v>
      </c>
      <c r="B32" s="478" t="str">
        <f>Biodata!B34</f>
        <v>181910285</v>
      </c>
      <c r="C32" s="479" t="str">
        <f>Biodata!C34</f>
        <v>RENALDI PRIYATAMA</v>
      </c>
      <c r="D32" s="474">
        <v>19</v>
      </c>
      <c r="E32" s="474" t="s">
        <v>429</v>
      </c>
      <c r="F32" s="474">
        <v>0</v>
      </c>
    </row>
    <row r="33" spans="1:7">
      <c r="A33" s="474">
        <f>Biodata!A35</f>
        <v>27</v>
      </c>
      <c r="B33" s="478" t="str">
        <f>Biodata!B35</f>
        <v>181910286</v>
      </c>
      <c r="C33" s="479" t="str">
        <f>Biodata!C35</f>
        <v>RENATA</v>
      </c>
      <c r="D33" s="474">
        <v>78</v>
      </c>
      <c r="E33" s="474" t="s">
        <v>6</v>
      </c>
      <c r="F33" s="474">
        <v>78</v>
      </c>
      <c r="G33" s="474" t="s">
        <v>6</v>
      </c>
    </row>
    <row r="34" spans="1:7">
      <c r="A34" s="474">
        <f>Biodata!A36</f>
        <v>28</v>
      </c>
      <c r="B34" s="478" t="str">
        <f>Biodata!B36</f>
        <v>181910293</v>
      </c>
      <c r="C34" s="479" t="str">
        <f>Biodata!C36</f>
        <v xml:space="preserve">REZA ERNANDA </v>
      </c>
      <c r="D34" s="474">
        <v>78</v>
      </c>
      <c r="E34" s="474" t="s">
        <v>6</v>
      </c>
      <c r="F34" s="474">
        <v>78</v>
      </c>
      <c r="G34" s="474" t="s">
        <v>6</v>
      </c>
    </row>
    <row r="35" spans="1:7">
      <c r="A35" s="474">
        <f>Biodata!A37</f>
        <v>29</v>
      </c>
      <c r="B35" s="478" t="str">
        <f>Biodata!B37</f>
        <v>181910300</v>
      </c>
      <c r="C35" s="479" t="str">
        <f>Biodata!C37</f>
        <v>RIFAN MUHAMAD RIZKI</v>
      </c>
      <c r="D35" s="474">
        <v>20</v>
      </c>
      <c r="E35" s="474" t="s">
        <v>429</v>
      </c>
      <c r="F35" s="474">
        <v>0</v>
      </c>
      <c r="G35" s="474" t="s">
        <v>429</v>
      </c>
    </row>
    <row r="36" spans="1:7">
      <c r="A36" s="474">
        <f>Biodata!A38</f>
        <v>30</v>
      </c>
      <c r="B36" s="478" t="str">
        <f>Biodata!B38</f>
        <v>181910318</v>
      </c>
      <c r="C36" s="479" t="str">
        <f>Biodata!C38</f>
        <v>RISMA SURYANI</v>
      </c>
      <c r="D36" s="474">
        <v>85</v>
      </c>
      <c r="E36" s="474" t="s">
        <v>6</v>
      </c>
      <c r="F36" s="474">
        <v>80</v>
      </c>
      <c r="G36" s="474" t="s">
        <v>6</v>
      </c>
    </row>
    <row r="37" spans="1:7">
      <c r="A37" s="474">
        <f>Biodata!A39</f>
        <v>31</v>
      </c>
      <c r="B37" s="478" t="str">
        <f>Biodata!B39</f>
        <v>181910320</v>
      </c>
      <c r="C37" s="479" t="str">
        <f>Biodata!C39</f>
        <v>RISNA TIRANI</v>
      </c>
      <c r="D37" s="474">
        <v>85</v>
      </c>
      <c r="E37" s="474" t="s">
        <v>6</v>
      </c>
      <c r="F37" s="474">
        <v>78</v>
      </c>
      <c r="G37" s="474" t="s">
        <v>6</v>
      </c>
    </row>
    <row r="38" spans="1:7">
      <c r="A38" s="474">
        <f>Biodata!A40</f>
        <v>32</v>
      </c>
      <c r="B38" s="478" t="str">
        <f>Biodata!B40</f>
        <v>181910331</v>
      </c>
      <c r="C38" s="479" t="str">
        <f>Biodata!C40</f>
        <v>RULLY PRATAMA S.</v>
      </c>
      <c r="D38" s="474">
        <v>52</v>
      </c>
      <c r="E38" s="474" t="s">
        <v>429</v>
      </c>
      <c r="F38" s="474">
        <v>75</v>
      </c>
      <c r="G38" s="474" t="s">
        <v>18</v>
      </c>
    </row>
    <row r="39" spans="1:7">
      <c r="A39" s="474">
        <f>Biodata!A41</f>
        <v>33</v>
      </c>
      <c r="B39" s="478" t="str">
        <f>Biodata!B41</f>
        <v>181910335</v>
      </c>
      <c r="C39" s="479" t="str">
        <f>Biodata!C41</f>
        <v>SALSA ASYKIYA</v>
      </c>
      <c r="D39" s="474">
        <v>84</v>
      </c>
      <c r="E39" s="474" t="s">
        <v>6</v>
      </c>
      <c r="F39" s="474">
        <v>83</v>
      </c>
      <c r="G39" s="474" t="s">
        <v>6</v>
      </c>
    </row>
    <row r="40" spans="1:7">
      <c r="A40" s="474">
        <f>Biodata!A42</f>
        <v>34</v>
      </c>
      <c r="B40" s="478" t="str">
        <f>Biodata!B42</f>
        <v>181910353</v>
      </c>
      <c r="C40" s="479" t="str">
        <f>Biodata!C42</f>
        <v>SILFI HAMIDAH</v>
      </c>
      <c r="D40" s="474">
        <v>71</v>
      </c>
      <c r="E40" s="474" t="s">
        <v>18</v>
      </c>
      <c r="F40" s="474">
        <v>85</v>
      </c>
      <c r="G40" s="474" t="s">
        <v>6</v>
      </c>
    </row>
    <row r="41" spans="1:7">
      <c r="A41" s="474">
        <f>Biodata!A43</f>
        <v>35</v>
      </c>
      <c r="B41" s="478" t="str">
        <f>Biodata!B43</f>
        <v>181910408</v>
      </c>
      <c r="C41" s="479" t="str">
        <f>Biodata!C43</f>
        <v>YESHA RAHAYU</v>
      </c>
      <c r="D41" s="474">
        <v>70</v>
      </c>
      <c r="E41" s="474" t="s">
        <v>18</v>
      </c>
      <c r="F41" s="474">
        <v>73</v>
      </c>
      <c r="G41" s="474" t="s">
        <v>18</v>
      </c>
    </row>
    <row r="42" spans="1:7">
      <c r="A42" s="474">
        <f>Biodata!A44</f>
        <v>36</v>
      </c>
      <c r="B42" s="478" t="str">
        <f>Biodata!B44</f>
        <v>181910433</v>
      </c>
      <c r="C42" s="479" t="str">
        <f>Biodata!C44</f>
        <v>MUHAMAD RIZAL</v>
      </c>
      <c r="D42" s="474">
        <v>10</v>
      </c>
      <c r="E42" s="474" t="s">
        <v>429</v>
      </c>
      <c r="F42" s="474">
        <v>0</v>
      </c>
      <c r="G42" s="474" t="s">
        <v>429</v>
      </c>
    </row>
    <row r="43" spans="1:7">
      <c r="A43" s="474">
        <f>Biodata!A45</f>
        <v>37</v>
      </c>
      <c r="B43" s="478" t="str">
        <f>Biodata!B45</f>
        <v>037</v>
      </c>
      <c r="C43" s="479" t="str">
        <f>Biodata!C45</f>
        <v>A37</v>
      </c>
      <c r="D43" s="474">
        <f t="shared" ref="D43:D46" si="2">IFERROR(VLOOKUP(B43&amp;"A",leggerx1,12,0),"")</f>
        <v>0</v>
      </c>
      <c r="E43" s="474" t="str">
        <f t="shared" ref="E43:E46" si="3">IFERROR(VLOOKUP(B43&amp;"C",leggerx1,12,0),"")</f>
        <v/>
      </c>
      <c r="F43" s="474">
        <f t="shared" si="0"/>
        <v>0</v>
      </c>
      <c r="G43" s="474" t="str">
        <f t="shared" si="1"/>
        <v/>
      </c>
    </row>
    <row r="44" spans="1:7">
      <c r="A44" s="474">
        <f>Biodata!A46</f>
        <v>38</v>
      </c>
      <c r="B44" s="478" t="str">
        <f>Biodata!B46</f>
        <v>038</v>
      </c>
      <c r="C44" s="479" t="str">
        <f>Biodata!C46</f>
        <v>A38</v>
      </c>
      <c r="D44" s="474">
        <f t="shared" si="2"/>
        <v>0</v>
      </c>
      <c r="E44" s="474" t="str">
        <f t="shared" si="3"/>
        <v/>
      </c>
      <c r="F44" s="474">
        <f t="shared" si="0"/>
        <v>0</v>
      </c>
      <c r="G44" s="474" t="str">
        <f t="shared" si="1"/>
        <v/>
      </c>
    </row>
    <row r="45" spans="1:7">
      <c r="A45" s="474">
        <f>Biodata!A47</f>
        <v>39</v>
      </c>
      <c r="B45" s="478" t="str">
        <f>Biodata!B47</f>
        <v>039</v>
      </c>
      <c r="C45" s="479" t="str">
        <f>Biodata!C47</f>
        <v>A39</v>
      </c>
      <c r="D45" s="474">
        <f t="shared" si="2"/>
        <v>0</v>
      </c>
      <c r="E45" s="474" t="str">
        <f t="shared" si="3"/>
        <v/>
      </c>
      <c r="F45" s="474">
        <f t="shared" si="0"/>
        <v>0</v>
      </c>
      <c r="G45" s="474" t="str">
        <f t="shared" si="1"/>
        <v/>
      </c>
    </row>
    <row r="46" spans="1:7">
      <c r="A46" s="474">
        <f>Biodata!A48</f>
        <v>40</v>
      </c>
      <c r="B46" s="478" t="str">
        <f>Biodata!B48</f>
        <v>040</v>
      </c>
      <c r="C46" s="479" t="str">
        <f>Biodata!C48</f>
        <v>A40</v>
      </c>
      <c r="D46" s="474">
        <f t="shared" si="2"/>
        <v>0</v>
      </c>
      <c r="E46" s="474" t="str">
        <f t="shared" si="3"/>
        <v/>
      </c>
      <c r="F46" s="474">
        <f t="shared" si="0"/>
        <v>0</v>
      </c>
      <c r="G46" s="474" t="str">
        <f t="shared" si="1"/>
        <v/>
      </c>
    </row>
    <row r="47" spans="1:7">
      <c r="C47" s="483"/>
    </row>
    <row r="48" spans="1:7">
      <c r="C48" s="483"/>
    </row>
    <row r="49" spans="3:3" s="475" customFormat="1" ht="11.25">
      <c r="C49" s="483"/>
    </row>
    <row r="50" spans="3:3" s="475" customFormat="1" ht="11.25">
      <c r="C50" s="48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0"/>
  <sheetViews>
    <sheetView topLeftCell="N34" zoomScaleNormal="100" workbookViewId="0">
      <selection activeCell="N1" sqref="N1:N1048576"/>
    </sheetView>
  </sheetViews>
  <sheetFormatPr defaultColWidth="9" defaultRowHeight="12.75"/>
  <cols>
    <col min="1" max="1" width="3.7109375" style="474" customWidth="1"/>
    <col min="2" max="2" width="7.140625" style="474" customWidth="1"/>
    <col min="3" max="3" width="21.7109375" style="475" customWidth="1"/>
    <col min="4" max="4" width="11.85546875" style="474" customWidth="1"/>
    <col min="5" max="5" width="8" style="474" customWidth="1"/>
    <col min="6" max="6" width="12" style="474" customWidth="1"/>
    <col min="7" max="7" width="8" style="474" customWidth="1"/>
    <col min="8" max="256" width="9.140625" style="475" customWidth="1"/>
  </cols>
  <sheetData>
    <row r="1" spans="1:7">
      <c r="C1" s="476" t="s">
        <v>329</v>
      </c>
      <c r="D1" s="477" t="str">
        <f>Biodata!C4</f>
        <v xml:space="preserve"> X / IPS_5</v>
      </c>
    </row>
    <row r="2" spans="1:7">
      <c r="C2" s="476" t="s">
        <v>330</v>
      </c>
      <c r="D2" s="477" t="str">
        <f>Biodata!C5</f>
        <v>1 / Ganjil</v>
      </c>
    </row>
    <row r="3" spans="1:7">
      <c r="D3" s="477"/>
    </row>
    <row r="4" spans="1:7">
      <c r="C4" s="476" t="s">
        <v>331</v>
      </c>
      <c r="D4" s="477" t="str">
        <f>LEGER!P6</f>
        <v>Sejarah IPS</v>
      </c>
    </row>
    <row r="5" spans="1:7">
      <c r="C5" s="476" t="s">
        <v>332</v>
      </c>
      <c r="D5" s="477">
        <f>RAPORT!C84</f>
        <v>70</v>
      </c>
    </row>
    <row r="6" spans="1:7">
      <c r="A6" s="474" t="s">
        <v>325</v>
      </c>
      <c r="B6" s="474" t="s">
        <v>10</v>
      </c>
      <c r="C6" s="475" t="s">
        <v>324</v>
      </c>
      <c r="D6" s="474" t="s">
        <v>75</v>
      </c>
      <c r="E6" s="474" t="s">
        <v>71</v>
      </c>
      <c r="F6" s="474" t="s">
        <v>147</v>
      </c>
      <c r="G6" s="474" t="s">
        <v>71</v>
      </c>
    </row>
    <row r="7" spans="1:7">
      <c r="A7" s="474">
        <f>Biodata!A9</f>
        <v>1</v>
      </c>
      <c r="B7" s="478" t="str">
        <f>Biodata!B9</f>
        <v>181910008</v>
      </c>
      <c r="C7" s="479" t="str">
        <f>Biodata!C9</f>
        <v>ADITA TRI KURNIA PUTRI</v>
      </c>
      <c r="D7" s="474">
        <f t="shared" ref="D7:D46" si="0">IFERROR(VLOOKUP(B7&amp;"A",leggerx1,13,0),"")</f>
        <v>82</v>
      </c>
      <c r="E7" s="474" t="str">
        <f t="shared" ref="E7:E46" si="1">IFERROR(VLOOKUP(B7&amp;"C",leggerx1,13,0),"")</f>
        <v>B</v>
      </c>
      <c r="F7" s="474">
        <f t="shared" ref="F7:F46" si="2">IFERROR(VLOOKUP(B7&amp;"B",leggerx1,13,0),"")</f>
        <v>82</v>
      </c>
      <c r="G7" s="474" t="str">
        <f t="shared" ref="G7:G46" si="3">IFERROR(VLOOKUP(B7&amp;"D",leggerx1,13,0),"")</f>
        <v>B</v>
      </c>
    </row>
    <row r="8" spans="1:7">
      <c r="A8" s="474">
        <f>Biodata!A10</f>
        <v>2</v>
      </c>
      <c r="B8" s="478" t="str">
        <f>Biodata!B10</f>
        <v>181910011</v>
      </c>
      <c r="C8" s="479" t="str">
        <f>Biodata!C10</f>
        <v xml:space="preserve">ADNES KOMALA DEWI </v>
      </c>
      <c r="D8" s="474">
        <f t="shared" si="0"/>
        <v>77</v>
      </c>
      <c r="E8" s="474" t="str">
        <f t="shared" si="1"/>
        <v>C</v>
      </c>
      <c r="F8" s="474">
        <f t="shared" si="2"/>
        <v>80</v>
      </c>
      <c r="G8" s="474" t="str">
        <f t="shared" si="3"/>
        <v>B</v>
      </c>
    </row>
    <row r="9" spans="1:7">
      <c r="A9" s="474">
        <f>Biodata!A11</f>
        <v>3</v>
      </c>
      <c r="B9" s="478" t="str">
        <f>Biodata!B11</f>
        <v>181910014</v>
      </c>
      <c r="C9" s="479" t="str">
        <f>Biodata!C11</f>
        <v>AGUNG BUDI PRASTAWA</v>
      </c>
      <c r="D9" s="474">
        <f t="shared" si="0"/>
        <v>70</v>
      </c>
      <c r="E9" s="474" t="str">
        <f t="shared" si="1"/>
        <v>C</v>
      </c>
      <c r="F9" s="474">
        <f t="shared" si="2"/>
        <v>70</v>
      </c>
      <c r="G9" s="474" t="str">
        <f t="shared" si="3"/>
        <v>C</v>
      </c>
    </row>
    <row r="10" spans="1:7">
      <c r="A10" s="474">
        <f>Biodata!A12</f>
        <v>4</v>
      </c>
      <c r="B10" s="478" t="str">
        <f>Biodata!B12</f>
        <v>181910021</v>
      </c>
      <c r="C10" s="479" t="str">
        <f>Biodata!C12</f>
        <v>AISYAH</v>
      </c>
      <c r="D10" s="474">
        <f t="shared" si="0"/>
        <v>80</v>
      </c>
      <c r="E10" s="474" t="str">
        <f t="shared" si="1"/>
        <v>B</v>
      </c>
      <c r="F10" s="474">
        <f t="shared" si="2"/>
        <v>82</v>
      </c>
      <c r="G10" s="474" t="str">
        <f t="shared" si="3"/>
        <v>B</v>
      </c>
    </row>
    <row r="11" spans="1:7">
      <c r="A11" s="474">
        <f>Biodata!A13</f>
        <v>5</v>
      </c>
      <c r="B11" s="478" t="str">
        <f>Biodata!B13</f>
        <v>181910045</v>
      </c>
      <c r="C11" s="479" t="str">
        <f>Biodata!C13</f>
        <v>ARYA DYTA WIGUNA</v>
      </c>
      <c r="D11" s="474">
        <f t="shared" si="0"/>
        <v>84</v>
      </c>
      <c r="E11" s="474" t="str">
        <f t="shared" si="1"/>
        <v>B</v>
      </c>
      <c r="F11" s="474">
        <f t="shared" si="2"/>
        <v>85</v>
      </c>
      <c r="G11" s="474" t="str">
        <f t="shared" si="3"/>
        <v>B</v>
      </c>
    </row>
    <row r="12" spans="1:7">
      <c r="A12" s="474">
        <f>Biodata!A14</f>
        <v>6</v>
      </c>
      <c r="B12" s="478" t="str">
        <f>Biodata!B14</f>
        <v>181910054</v>
      </c>
      <c r="C12" s="479" t="str">
        <f>Biodata!C14</f>
        <v>AZRIEL TAMA SANTIAJI</v>
      </c>
      <c r="D12" s="474">
        <f t="shared" si="0"/>
        <v>50</v>
      </c>
      <c r="E12" s="474" t="str">
        <f t="shared" si="1"/>
        <v>D</v>
      </c>
      <c r="F12" s="474">
        <f t="shared" si="2"/>
        <v>70</v>
      </c>
      <c r="G12" s="474" t="str">
        <f t="shared" si="3"/>
        <v>C</v>
      </c>
    </row>
    <row r="13" spans="1:7">
      <c r="A13" s="474">
        <f>Biodata!A15</f>
        <v>7</v>
      </c>
      <c r="B13" s="478" t="str">
        <f>Biodata!B15</f>
        <v>181910055</v>
      </c>
      <c r="C13" s="479" t="str">
        <f>Biodata!C15</f>
        <v>AZZUHRI HAUDI</v>
      </c>
      <c r="D13" s="474">
        <f t="shared" si="0"/>
        <v>80</v>
      </c>
      <c r="E13" s="474" t="str">
        <f t="shared" si="1"/>
        <v>B</v>
      </c>
      <c r="F13" s="474">
        <f t="shared" si="2"/>
        <v>80</v>
      </c>
      <c r="G13" s="474" t="str">
        <f t="shared" si="3"/>
        <v>B</v>
      </c>
    </row>
    <row r="14" spans="1:7">
      <c r="A14" s="474">
        <f>Biodata!A16</f>
        <v>8</v>
      </c>
      <c r="B14" s="478" t="str">
        <f>Biodata!B16</f>
        <v>181910056</v>
      </c>
      <c r="C14" s="479" t="str">
        <f>Biodata!C16</f>
        <v>BAYU BATARA SURYA PUTRA</v>
      </c>
      <c r="D14" s="474">
        <f t="shared" si="0"/>
        <v>74</v>
      </c>
      <c r="E14" s="474" t="str">
        <f t="shared" si="1"/>
        <v>C</v>
      </c>
      <c r="F14" s="474">
        <f t="shared" si="2"/>
        <v>75</v>
      </c>
      <c r="G14" s="474" t="str">
        <f t="shared" si="3"/>
        <v>C</v>
      </c>
    </row>
    <row r="15" spans="1:7">
      <c r="A15" s="474">
        <f>Biodata!A17</f>
        <v>9</v>
      </c>
      <c r="B15" s="478" t="str">
        <f>Biodata!B17</f>
        <v>181910069</v>
      </c>
      <c r="C15" s="479" t="str">
        <f>Biodata!C17</f>
        <v>DANDY ERVAN PRATAMA</v>
      </c>
      <c r="D15" s="474">
        <f t="shared" si="0"/>
        <v>60</v>
      </c>
      <c r="E15" s="474" t="str">
        <f t="shared" si="1"/>
        <v>D</v>
      </c>
      <c r="F15" s="474">
        <f t="shared" si="2"/>
        <v>70</v>
      </c>
      <c r="G15" s="474" t="str">
        <f t="shared" si="3"/>
        <v>C</v>
      </c>
    </row>
    <row r="16" spans="1:7">
      <c r="A16" s="474">
        <f>Biodata!A18</f>
        <v>10</v>
      </c>
      <c r="B16" s="478" t="str">
        <f>Biodata!B18</f>
        <v>181910085</v>
      </c>
      <c r="C16" s="479" t="str">
        <f>Biodata!C18</f>
        <v>DENISA ASTI RAHMAWATI</v>
      </c>
      <c r="D16" s="474">
        <f t="shared" si="0"/>
        <v>80</v>
      </c>
      <c r="E16" s="474" t="str">
        <f t="shared" si="1"/>
        <v>B</v>
      </c>
      <c r="F16" s="474">
        <f t="shared" si="2"/>
        <v>80</v>
      </c>
      <c r="G16" s="474" t="str">
        <f t="shared" si="3"/>
        <v>B</v>
      </c>
    </row>
    <row r="17" spans="1:7">
      <c r="A17" s="474">
        <f>Biodata!A19</f>
        <v>11</v>
      </c>
      <c r="B17" s="478" t="str">
        <f>Biodata!B19</f>
        <v>181910093</v>
      </c>
      <c r="C17" s="479" t="str">
        <f>Biodata!C19</f>
        <v>DIAN RAMDHAN SAPTIAN</v>
      </c>
      <c r="D17" s="474">
        <f t="shared" si="0"/>
        <v>66</v>
      </c>
      <c r="E17" s="474" t="str">
        <f t="shared" si="1"/>
        <v>D</v>
      </c>
      <c r="F17" s="474">
        <f t="shared" si="2"/>
        <v>72</v>
      </c>
      <c r="G17" s="474" t="str">
        <f t="shared" si="3"/>
        <v>C</v>
      </c>
    </row>
    <row r="18" spans="1:7">
      <c r="A18" s="474">
        <f>Biodata!A20</f>
        <v>12</v>
      </c>
      <c r="B18" s="478" t="str">
        <f>Biodata!B20</f>
        <v>181910103</v>
      </c>
      <c r="C18" s="479" t="str">
        <f>Biodata!C20</f>
        <v>DIVYA ADHIANI NURDIN</v>
      </c>
      <c r="D18" s="474">
        <f t="shared" si="0"/>
        <v>79</v>
      </c>
      <c r="E18" s="474" t="str">
        <f t="shared" si="1"/>
        <v>C</v>
      </c>
      <c r="F18" s="474">
        <f t="shared" si="2"/>
        <v>80</v>
      </c>
      <c r="G18" s="474" t="str">
        <f t="shared" si="3"/>
        <v>B</v>
      </c>
    </row>
    <row r="19" spans="1:7">
      <c r="A19" s="474">
        <f>Biodata!A21</f>
        <v>13</v>
      </c>
      <c r="B19" s="478" t="str">
        <f>Biodata!B21</f>
        <v>181910104</v>
      </c>
      <c r="C19" s="479" t="str">
        <f>Biodata!C21</f>
        <v>DWIKI DERMAWAN</v>
      </c>
      <c r="D19" s="474">
        <f t="shared" si="0"/>
        <v>53</v>
      </c>
      <c r="E19" s="474" t="str">
        <f t="shared" si="1"/>
        <v>D</v>
      </c>
      <c r="F19" s="474">
        <f t="shared" si="2"/>
        <v>70</v>
      </c>
      <c r="G19" s="474" t="str">
        <f t="shared" si="3"/>
        <v>C</v>
      </c>
    </row>
    <row r="20" spans="1:7">
      <c r="A20" s="474">
        <f>Biodata!A22</f>
        <v>14</v>
      </c>
      <c r="B20" s="478" t="str">
        <f>Biodata!B22</f>
        <v>181910118</v>
      </c>
      <c r="C20" s="479" t="str">
        <f>Biodata!C22</f>
        <v>ENCEP CANDRA</v>
      </c>
      <c r="D20" s="474">
        <f t="shared" si="0"/>
        <v>83</v>
      </c>
      <c r="E20" s="474" t="str">
        <f t="shared" si="1"/>
        <v>B</v>
      </c>
      <c r="F20" s="474">
        <f t="shared" si="2"/>
        <v>83</v>
      </c>
      <c r="G20" s="474" t="str">
        <f t="shared" si="3"/>
        <v>B</v>
      </c>
    </row>
    <row r="21" spans="1:7">
      <c r="A21" s="474">
        <f>Biodata!A23</f>
        <v>15</v>
      </c>
      <c r="B21" s="478" t="str">
        <f>Biodata!B23</f>
        <v>181910128</v>
      </c>
      <c r="C21" s="479" t="str">
        <f>Biodata!C23</f>
        <v>FAIZAL EGI</v>
      </c>
      <c r="D21" s="474">
        <f t="shared" si="0"/>
        <v>70</v>
      </c>
      <c r="E21" s="474" t="str">
        <f t="shared" si="1"/>
        <v>C</v>
      </c>
      <c r="F21" s="474">
        <f t="shared" si="2"/>
        <v>70</v>
      </c>
      <c r="G21" s="474" t="str">
        <f t="shared" si="3"/>
        <v>C</v>
      </c>
    </row>
    <row r="22" spans="1:7">
      <c r="A22" s="474">
        <f>Biodata!A24</f>
        <v>16</v>
      </c>
      <c r="B22" s="478" t="str">
        <f>Biodata!B24</f>
        <v>181910133</v>
      </c>
      <c r="C22" s="479" t="str">
        <f>Biodata!C24</f>
        <v>FAUZI DHALFADLIL AZHANI</v>
      </c>
      <c r="D22" s="474">
        <f t="shared" si="0"/>
        <v>70</v>
      </c>
      <c r="E22" s="474" t="str">
        <f t="shared" si="1"/>
        <v>C</v>
      </c>
      <c r="F22" s="474">
        <f t="shared" si="2"/>
        <v>73</v>
      </c>
      <c r="G22" s="474" t="str">
        <f t="shared" si="3"/>
        <v>C</v>
      </c>
    </row>
    <row r="23" spans="1:7">
      <c r="A23" s="474">
        <f>Biodata!A25</f>
        <v>17</v>
      </c>
      <c r="B23" s="478" t="str">
        <f>Biodata!B25</f>
        <v>181910161</v>
      </c>
      <c r="C23" s="479" t="str">
        <f>Biodata!C25</f>
        <v>HILMAN PUTRA PAMUNGKAS</v>
      </c>
      <c r="D23" s="474">
        <f t="shared" si="0"/>
        <v>74</v>
      </c>
      <c r="E23" s="474" t="str">
        <f t="shared" si="1"/>
        <v>C</v>
      </c>
      <c r="F23" s="474">
        <f t="shared" si="2"/>
        <v>78</v>
      </c>
      <c r="G23" s="474" t="str">
        <f t="shared" si="3"/>
        <v>C</v>
      </c>
    </row>
    <row r="24" spans="1:7">
      <c r="A24" s="474">
        <f>Biodata!A26</f>
        <v>18</v>
      </c>
      <c r="B24" s="478" t="str">
        <f>Biodata!B26</f>
        <v>181910165</v>
      </c>
      <c r="C24" s="479" t="str">
        <f>Biodata!C26</f>
        <v>IHSYA FADILLAH MUSLIM</v>
      </c>
      <c r="D24" s="474">
        <f t="shared" si="0"/>
        <v>74</v>
      </c>
      <c r="E24" s="474" t="str">
        <f t="shared" si="1"/>
        <v>C</v>
      </c>
      <c r="F24" s="474">
        <f t="shared" si="2"/>
        <v>78</v>
      </c>
      <c r="G24" s="474" t="str">
        <f t="shared" si="3"/>
        <v>C</v>
      </c>
    </row>
    <row r="25" spans="1:7">
      <c r="A25" s="474">
        <f>Biodata!A27</f>
        <v>19</v>
      </c>
      <c r="B25" s="478" t="str">
        <f>Biodata!B27</f>
        <v>181910185</v>
      </c>
      <c r="C25" s="479" t="str">
        <f>Biodata!C27</f>
        <v>JIHAD AKBAR</v>
      </c>
      <c r="D25" s="474">
        <f t="shared" si="0"/>
        <v>70</v>
      </c>
      <c r="E25" s="474" t="str">
        <f t="shared" si="1"/>
        <v>C</v>
      </c>
      <c r="F25" s="474">
        <f t="shared" si="2"/>
        <v>70</v>
      </c>
      <c r="G25" s="474" t="str">
        <f t="shared" si="3"/>
        <v>C</v>
      </c>
    </row>
    <row r="26" spans="1:7">
      <c r="A26" s="474">
        <f>Biodata!A28</f>
        <v>20</v>
      </c>
      <c r="B26" s="478" t="str">
        <f>Biodata!B28</f>
        <v>181910226</v>
      </c>
      <c r="C26" s="479" t="str">
        <f>Biodata!C28</f>
        <v>MUHAMAD IZZAZUL FIKRIAN</v>
      </c>
      <c r="D26" s="474">
        <f t="shared" si="0"/>
        <v>80</v>
      </c>
      <c r="E26" s="474" t="str">
        <f t="shared" si="1"/>
        <v>B</v>
      </c>
      <c r="F26" s="474">
        <f t="shared" si="2"/>
        <v>80</v>
      </c>
      <c r="G26" s="474" t="str">
        <f t="shared" si="3"/>
        <v>B</v>
      </c>
    </row>
    <row r="27" spans="1:7">
      <c r="A27" s="474">
        <f>Biodata!A29</f>
        <v>21</v>
      </c>
      <c r="B27" s="478" t="str">
        <f>Biodata!B29</f>
        <v>181910240</v>
      </c>
      <c r="C27" s="479" t="str">
        <f>Biodata!C29</f>
        <v>NESHA RAUDHATUL ZANNAH</v>
      </c>
      <c r="D27" s="474">
        <f t="shared" si="0"/>
        <v>80</v>
      </c>
      <c r="E27" s="474" t="str">
        <f t="shared" si="1"/>
        <v>B</v>
      </c>
      <c r="F27" s="474">
        <f t="shared" si="2"/>
        <v>80</v>
      </c>
      <c r="G27" s="474" t="str">
        <f t="shared" si="3"/>
        <v>B</v>
      </c>
    </row>
    <row r="28" spans="1:7">
      <c r="A28" s="474">
        <f>Biodata!A30</f>
        <v>22</v>
      </c>
      <c r="B28" s="478" t="str">
        <f>Biodata!B30</f>
        <v>181910262</v>
      </c>
      <c r="C28" s="479" t="str">
        <f>Biodata!C30</f>
        <v>PUTRI ANGGRAENI</v>
      </c>
      <c r="D28" s="474">
        <f t="shared" si="0"/>
        <v>79</v>
      </c>
      <c r="E28" s="474" t="str">
        <f t="shared" si="1"/>
        <v>C</v>
      </c>
      <c r="F28" s="474">
        <f t="shared" si="2"/>
        <v>80</v>
      </c>
      <c r="G28" s="474" t="str">
        <f t="shared" si="3"/>
        <v>B</v>
      </c>
    </row>
    <row r="29" spans="1:7">
      <c r="A29" s="474">
        <f>Biodata!A31</f>
        <v>23</v>
      </c>
      <c r="B29" s="478" t="str">
        <f>Biodata!B31</f>
        <v>181910266</v>
      </c>
      <c r="C29" s="479" t="str">
        <f>Biodata!C31</f>
        <v>PUTRI WULANDARI</v>
      </c>
      <c r="D29" s="474">
        <f t="shared" si="0"/>
        <v>74</v>
      </c>
      <c r="E29" s="474" t="str">
        <f t="shared" si="1"/>
        <v>C</v>
      </c>
      <c r="F29" s="474">
        <f t="shared" si="2"/>
        <v>78</v>
      </c>
      <c r="G29" s="474" t="str">
        <f t="shared" si="3"/>
        <v>C</v>
      </c>
    </row>
    <row r="30" spans="1:7">
      <c r="A30" s="474">
        <f>Biodata!A32</f>
        <v>24</v>
      </c>
      <c r="B30" s="478" t="str">
        <f>Biodata!B32</f>
        <v>181910272</v>
      </c>
      <c r="C30" s="479" t="str">
        <f>Biodata!C32</f>
        <v>RAFLY GYMNASTIAR</v>
      </c>
      <c r="D30" s="474">
        <f t="shared" si="0"/>
        <v>60</v>
      </c>
      <c r="E30" s="474" t="str">
        <f t="shared" si="1"/>
        <v>D</v>
      </c>
      <c r="F30" s="474">
        <f t="shared" si="2"/>
        <v>70</v>
      </c>
      <c r="G30" s="474" t="str">
        <f t="shared" si="3"/>
        <v>C</v>
      </c>
    </row>
    <row r="31" spans="1:7">
      <c r="A31" s="474">
        <f>Biodata!A33</f>
        <v>25</v>
      </c>
      <c r="B31" s="478" t="str">
        <f>Biodata!B33</f>
        <v>181910280</v>
      </c>
      <c r="C31" s="479" t="str">
        <f>Biodata!C33</f>
        <v>REFIANA</v>
      </c>
      <c r="D31" s="474">
        <f t="shared" si="0"/>
        <v>75</v>
      </c>
      <c r="E31" s="474" t="str">
        <f t="shared" si="1"/>
        <v>C</v>
      </c>
      <c r="F31" s="474">
        <f t="shared" si="2"/>
        <v>80</v>
      </c>
      <c r="G31" s="474" t="str">
        <f t="shared" si="3"/>
        <v>B</v>
      </c>
    </row>
    <row r="32" spans="1:7">
      <c r="A32" s="474">
        <f>Biodata!A34</f>
        <v>26</v>
      </c>
      <c r="B32" s="478" t="str">
        <f>Biodata!B34</f>
        <v>181910285</v>
      </c>
      <c r="C32" s="479" t="str">
        <f>Biodata!C34</f>
        <v>RENALDI PRIYATAMA</v>
      </c>
      <c r="D32" s="474">
        <f t="shared" si="0"/>
        <v>58</v>
      </c>
      <c r="E32" s="474" t="str">
        <f t="shared" si="1"/>
        <v>D</v>
      </c>
      <c r="F32" s="474">
        <f t="shared" si="2"/>
        <v>70</v>
      </c>
      <c r="G32" s="474" t="str">
        <f t="shared" si="3"/>
        <v>C</v>
      </c>
    </row>
    <row r="33" spans="1:7">
      <c r="A33" s="474">
        <f>Biodata!A35</f>
        <v>27</v>
      </c>
      <c r="B33" s="478" t="str">
        <f>Biodata!B35</f>
        <v>181910286</v>
      </c>
      <c r="C33" s="479" t="str">
        <f>Biodata!C35</f>
        <v>RENATA</v>
      </c>
      <c r="D33" s="474">
        <f t="shared" si="0"/>
        <v>82</v>
      </c>
      <c r="E33" s="474" t="str">
        <f t="shared" si="1"/>
        <v>B</v>
      </c>
      <c r="F33" s="474">
        <f t="shared" si="2"/>
        <v>85</v>
      </c>
      <c r="G33" s="474" t="str">
        <f t="shared" si="3"/>
        <v>B</v>
      </c>
    </row>
    <row r="34" spans="1:7">
      <c r="A34" s="474">
        <f>Biodata!A36</f>
        <v>28</v>
      </c>
      <c r="B34" s="478" t="str">
        <f>Biodata!B36</f>
        <v>181910293</v>
      </c>
      <c r="C34" s="479" t="str">
        <f>Biodata!C36</f>
        <v xml:space="preserve">REZA ERNANDA </v>
      </c>
      <c r="D34" s="474">
        <f t="shared" si="0"/>
        <v>83</v>
      </c>
      <c r="E34" s="474" t="str">
        <f t="shared" si="1"/>
        <v>B</v>
      </c>
      <c r="F34" s="474">
        <f t="shared" si="2"/>
        <v>85</v>
      </c>
      <c r="G34" s="474" t="str">
        <f t="shared" si="3"/>
        <v>B</v>
      </c>
    </row>
    <row r="35" spans="1:7">
      <c r="A35" s="474">
        <f>Biodata!A37</f>
        <v>29</v>
      </c>
      <c r="B35" s="478" t="str">
        <f>Biodata!B37</f>
        <v>181910300</v>
      </c>
      <c r="C35" s="479" t="str">
        <f>Biodata!C37</f>
        <v>RIFAN MUHAMAD RIZKI</v>
      </c>
      <c r="D35" s="474">
        <f t="shared" si="0"/>
        <v>70</v>
      </c>
      <c r="E35" s="474" t="str">
        <f t="shared" si="1"/>
        <v>C</v>
      </c>
      <c r="F35" s="474">
        <f t="shared" si="2"/>
        <v>70</v>
      </c>
      <c r="G35" s="474" t="str">
        <f t="shared" si="3"/>
        <v>C</v>
      </c>
    </row>
    <row r="36" spans="1:7">
      <c r="A36" s="474">
        <f>Biodata!A38</f>
        <v>30</v>
      </c>
      <c r="B36" s="478" t="str">
        <f>Biodata!B38</f>
        <v>181910318</v>
      </c>
      <c r="C36" s="479" t="str">
        <f>Biodata!C38</f>
        <v>RISMA SURYANI</v>
      </c>
      <c r="D36" s="474">
        <f t="shared" si="0"/>
        <v>83</v>
      </c>
      <c r="E36" s="474" t="str">
        <f t="shared" si="1"/>
        <v>B</v>
      </c>
      <c r="F36" s="474">
        <f t="shared" si="2"/>
        <v>85</v>
      </c>
      <c r="G36" s="474" t="str">
        <f t="shared" si="3"/>
        <v>B</v>
      </c>
    </row>
    <row r="37" spans="1:7">
      <c r="A37" s="474">
        <f>Biodata!A39</f>
        <v>31</v>
      </c>
      <c r="B37" s="478" t="str">
        <f>Biodata!B39</f>
        <v>181910320</v>
      </c>
      <c r="C37" s="479" t="str">
        <f>Biodata!C39</f>
        <v>RISNA TIRANI</v>
      </c>
      <c r="D37" s="474">
        <f t="shared" si="0"/>
        <v>85</v>
      </c>
      <c r="E37" s="474" t="str">
        <f t="shared" si="1"/>
        <v>B</v>
      </c>
      <c r="F37" s="474">
        <f t="shared" si="2"/>
        <v>86</v>
      </c>
      <c r="G37" s="474" t="str">
        <f t="shared" si="3"/>
        <v>B</v>
      </c>
    </row>
    <row r="38" spans="1:7">
      <c r="A38" s="474">
        <f>Biodata!A40</f>
        <v>32</v>
      </c>
      <c r="B38" s="478" t="str">
        <f>Biodata!B40</f>
        <v>181910331</v>
      </c>
      <c r="C38" s="479" t="str">
        <f>Biodata!C40</f>
        <v>RULLY PRATAMA S.</v>
      </c>
      <c r="D38" s="474">
        <f t="shared" si="0"/>
        <v>73</v>
      </c>
      <c r="E38" s="474" t="str">
        <f t="shared" si="1"/>
        <v>C</v>
      </c>
      <c r="F38" s="474">
        <f t="shared" si="2"/>
        <v>78</v>
      </c>
      <c r="G38" s="474" t="str">
        <f t="shared" si="3"/>
        <v>C</v>
      </c>
    </row>
    <row r="39" spans="1:7">
      <c r="A39" s="474">
        <f>Biodata!A41</f>
        <v>33</v>
      </c>
      <c r="B39" s="478" t="str">
        <f>Biodata!B41</f>
        <v>181910335</v>
      </c>
      <c r="C39" s="479" t="str">
        <f>Biodata!C41</f>
        <v>SALSA ASYKIYA</v>
      </c>
      <c r="D39" s="474">
        <f t="shared" si="0"/>
        <v>85</v>
      </c>
      <c r="E39" s="474" t="str">
        <f t="shared" si="1"/>
        <v>B</v>
      </c>
      <c r="F39" s="474">
        <f t="shared" si="2"/>
        <v>86</v>
      </c>
      <c r="G39" s="474" t="str">
        <f t="shared" si="3"/>
        <v>B</v>
      </c>
    </row>
    <row r="40" spans="1:7">
      <c r="A40" s="474">
        <f>Biodata!A42</f>
        <v>34</v>
      </c>
      <c r="B40" s="478" t="str">
        <f>Biodata!B42</f>
        <v>181910353</v>
      </c>
      <c r="C40" s="479" t="str">
        <f>Biodata!C42</f>
        <v>SILFI HAMIDAH</v>
      </c>
      <c r="D40" s="474">
        <f t="shared" si="0"/>
        <v>84</v>
      </c>
      <c r="E40" s="474" t="str">
        <f t="shared" si="1"/>
        <v>B</v>
      </c>
      <c r="F40" s="474">
        <f t="shared" si="2"/>
        <v>85</v>
      </c>
      <c r="G40" s="474" t="str">
        <f t="shared" si="3"/>
        <v>B</v>
      </c>
    </row>
    <row r="41" spans="1:7">
      <c r="A41" s="474">
        <f>Biodata!A43</f>
        <v>35</v>
      </c>
      <c r="B41" s="478" t="str">
        <f>Biodata!B43</f>
        <v>181910408</v>
      </c>
      <c r="C41" s="479" t="str">
        <f>Biodata!C43</f>
        <v>YESHA RAHAYU</v>
      </c>
      <c r="D41" s="474">
        <f t="shared" si="0"/>
        <v>77</v>
      </c>
      <c r="E41" s="474" t="str">
        <f t="shared" si="1"/>
        <v>C</v>
      </c>
      <c r="F41" s="474">
        <f t="shared" si="2"/>
        <v>80</v>
      </c>
      <c r="G41" s="474" t="str">
        <f t="shared" si="3"/>
        <v>B</v>
      </c>
    </row>
    <row r="42" spans="1:7">
      <c r="A42" s="474">
        <f>Biodata!A44</f>
        <v>36</v>
      </c>
      <c r="B42" s="478" t="str">
        <f>Biodata!B44</f>
        <v>181910433</v>
      </c>
      <c r="C42" s="479" t="str">
        <f>Biodata!C44</f>
        <v>MUHAMAD RIZAL</v>
      </c>
      <c r="D42" s="474">
        <f t="shared" si="0"/>
        <v>50</v>
      </c>
      <c r="E42" s="474" t="str">
        <f t="shared" si="1"/>
        <v>D</v>
      </c>
      <c r="F42" s="474">
        <f t="shared" si="2"/>
        <v>70</v>
      </c>
      <c r="G42" s="474" t="str">
        <f t="shared" si="3"/>
        <v>C</v>
      </c>
    </row>
    <row r="43" spans="1:7">
      <c r="A43" s="474">
        <f>Biodata!A45</f>
        <v>37</v>
      </c>
      <c r="B43" s="478" t="str">
        <f>Biodata!B45</f>
        <v>037</v>
      </c>
      <c r="C43" s="479" t="str">
        <f>Biodata!C45</f>
        <v>A37</v>
      </c>
      <c r="D43" s="474">
        <f t="shared" si="0"/>
        <v>0</v>
      </c>
      <c r="E43" s="474" t="str">
        <f t="shared" si="1"/>
        <v/>
      </c>
      <c r="F43" s="474">
        <f t="shared" si="2"/>
        <v>0</v>
      </c>
      <c r="G43" s="474" t="str">
        <f t="shared" si="3"/>
        <v/>
      </c>
    </row>
    <row r="44" spans="1:7">
      <c r="A44" s="474">
        <f>Biodata!A46</f>
        <v>38</v>
      </c>
      <c r="B44" s="478" t="str">
        <f>Biodata!B46</f>
        <v>038</v>
      </c>
      <c r="C44" s="479" t="str">
        <f>Biodata!C46</f>
        <v>A38</v>
      </c>
      <c r="D44" s="474">
        <f t="shared" si="0"/>
        <v>0</v>
      </c>
      <c r="E44" s="474" t="str">
        <f t="shared" si="1"/>
        <v/>
      </c>
      <c r="F44" s="474">
        <f t="shared" si="2"/>
        <v>0</v>
      </c>
      <c r="G44" s="474" t="str">
        <f t="shared" si="3"/>
        <v/>
      </c>
    </row>
    <row r="45" spans="1:7">
      <c r="A45" s="474">
        <f>Biodata!A47</f>
        <v>39</v>
      </c>
      <c r="B45" s="478" t="str">
        <f>Biodata!B47</f>
        <v>039</v>
      </c>
      <c r="C45" s="479" t="str">
        <f>Biodata!C47</f>
        <v>A39</v>
      </c>
      <c r="D45" s="474">
        <f t="shared" si="0"/>
        <v>0</v>
      </c>
      <c r="E45" s="474" t="str">
        <f t="shared" si="1"/>
        <v/>
      </c>
      <c r="F45" s="474">
        <f t="shared" si="2"/>
        <v>0</v>
      </c>
      <c r="G45" s="474" t="str">
        <f t="shared" si="3"/>
        <v/>
      </c>
    </row>
    <row r="46" spans="1:7">
      <c r="A46" s="474">
        <f>Biodata!A48</f>
        <v>40</v>
      </c>
      <c r="B46" s="478" t="str">
        <f>Biodata!B48</f>
        <v>040</v>
      </c>
      <c r="C46" s="479" t="str">
        <f>Biodata!C48</f>
        <v>A40</v>
      </c>
      <c r="D46" s="474">
        <f t="shared" si="0"/>
        <v>0</v>
      </c>
      <c r="E46" s="474" t="str">
        <f t="shared" si="1"/>
        <v/>
      </c>
      <c r="F46" s="474">
        <f t="shared" si="2"/>
        <v>0</v>
      </c>
      <c r="G46" s="474" t="str">
        <f t="shared" si="3"/>
        <v/>
      </c>
    </row>
    <row r="47" spans="1:7">
      <c r="C47" s="483"/>
    </row>
    <row r="48" spans="1:7">
      <c r="C48" s="483"/>
    </row>
    <row r="49" spans="3:3" s="475" customFormat="1" ht="11.25">
      <c r="C49" s="483"/>
    </row>
    <row r="50" spans="3:3" s="475" customFormat="1" ht="11.25">
      <c r="C50" s="483"/>
    </row>
  </sheetData>
  <sheetProtection sheet="1" objects="1" scenarios="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0"/>
  <sheetViews>
    <sheetView workbookViewId="0">
      <selection activeCell="G45" sqref="G45"/>
    </sheetView>
  </sheetViews>
  <sheetFormatPr defaultColWidth="9" defaultRowHeight="12.75"/>
  <cols>
    <col min="1" max="1" width="3.7109375" style="474" customWidth="1"/>
    <col min="2" max="2" width="7.140625" style="474" customWidth="1"/>
    <col min="3" max="3" width="21.7109375" style="475" customWidth="1"/>
    <col min="4" max="4" width="11.85546875" style="474" customWidth="1"/>
    <col min="5" max="5" width="8" style="474" customWidth="1"/>
    <col min="6" max="6" width="12" style="474" customWidth="1"/>
    <col min="7" max="7" width="8" style="474" customWidth="1"/>
    <col min="8" max="256" width="9.140625" style="475" customWidth="1"/>
  </cols>
  <sheetData>
    <row r="1" spans="1:7">
      <c r="C1" s="476" t="s">
        <v>329</v>
      </c>
      <c r="D1" s="477" t="str">
        <f>Biodata!C4</f>
        <v xml:space="preserve"> X / IPS_5</v>
      </c>
    </row>
    <row r="2" spans="1:7">
      <c r="C2" s="476" t="s">
        <v>330</v>
      </c>
      <c r="D2" s="477" t="str">
        <f>Biodata!C5</f>
        <v>1 / Ganjil</v>
      </c>
    </row>
    <row r="3" spans="1:7">
      <c r="D3" s="477"/>
    </row>
    <row r="4" spans="1:7">
      <c r="C4" s="476" t="s">
        <v>331</v>
      </c>
      <c r="D4" s="477" t="str">
        <f>LEGER!Q6</f>
        <v>G e o g r a f i</v>
      </c>
    </row>
    <row r="5" spans="1:7">
      <c r="C5" s="476" t="s">
        <v>332</v>
      </c>
      <c r="D5" s="477">
        <f>RAPORT!C84</f>
        <v>70</v>
      </c>
    </row>
    <row r="6" spans="1:7">
      <c r="A6" s="474" t="s">
        <v>325</v>
      </c>
      <c r="B6" s="474" t="s">
        <v>10</v>
      </c>
      <c r="C6" s="475" t="s">
        <v>324</v>
      </c>
      <c r="D6" s="474" t="s">
        <v>75</v>
      </c>
      <c r="E6" s="474" t="s">
        <v>71</v>
      </c>
      <c r="F6" s="474" t="s">
        <v>147</v>
      </c>
      <c r="G6" s="474" t="s">
        <v>71</v>
      </c>
    </row>
    <row r="7" spans="1:7">
      <c r="A7" s="474">
        <f>Biodata!A9</f>
        <v>1</v>
      </c>
      <c r="B7" s="478" t="str">
        <f>Biodata!B9</f>
        <v>181910008</v>
      </c>
      <c r="C7" s="479" t="str">
        <f>Biodata!C9</f>
        <v>ADITA TRI KURNIA PUTRI</v>
      </c>
      <c r="D7" s="474">
        <v>76</v>
      </c>
      <c r="E7" s="474" t="s">
        <v>6</v>
      </c>
      <c r="F7" s="474" t="s">
        <v>430</v>
      </c>
      <c r="G7" s="474" t="s">
        <v>18</v>
      </c>
    </row>
    <row r="8" spans="1:7">
      <c r="A8" s="474">
        <f>Biodata!A10</f>
        <v>2</v>
      </c>
      <c r="B8" s="478" t="str">
        <f>Biodata!B10</f>
        <v>181910011</v>
      </c>
      <c r="C8" s="479" t="str">
        <f>Biodata!C10</f>
        <v xml:space="preserve">ADNES KOMALA DEWI </v>
      </c>
      <c r="D8" s="474">
        <v>64</v>
      </c>
      <c r="E8" s="474" t="s">
        <v>19</v>
      </c>
      <c r="F8" s="474">
        <f t="shared" ref="F8:F46" si="0">IFERROR(VLOOKUP(B8&amp;"B",leggerx1,14,0),"")</f>
        <v>0</v>
      </c>
      <c r="G8" s="474">
        <v>0</v>
      </c>
    </row>
    <row r="9" spans="1:7">
      <c r="A9" s="474">
        <f>Biodata!A11</f>
        <v>3</v>
      </c>
      <c r="B9" s="478" t="str">
        <f>Biodata!B11</f>
        <v>181910014</v>
      </c>
      <c r="C9" s="479" t="str">
        <f>Biodata!C11</f>
        <v>AGUNG BUDI PRASTAWA</v>
      </c>
      <c r="D9" s="474">
        <v>30</v>
      </c>
      <c r="E9" s="474" t="s">
        <v>429</v>
      </c>
      <c r="F9" s="474" t="s">
        <v>431</v>
      </c>
      <c r="G9" s="474" t="s">
        <v>429</v>
      </c>
    </row>
    <row r="10" spans="1:7">
      <c r="A10" s="474">
        <f>Biodata!A12</f>
        <v>4</v>
      </c>
      <c r="B10" s="478" t="str">
        <f>Biodata!B12</f>
        <v>181910021</v>
      </c>
      <c r="C10" s="479" t="str">
        <f>Biodata!C12</f>
        <v>AISYAH</v>
      </c>
      <c r="D10" s="474">
        <v>70</v>
      </c>
      <c r="E10" s="474" t="s">
        <v>18</v>
      </c>
      <c r="F10" s="474">
        <v>75</v>
      </c>
      <c r="G10" s="474" t="s">
        <v>18</v>
      </c>
    </row>
    <row r="11" spans="1:7">
      <c r="A11" s="474">
        <f>Biodata!A13</f>
        <v>5</v>
      </c>
      <c r="B11" s="478" t="str">
        <f>Biodata!B13</f>
        <v>181910045</v>
      </c>
      <c r="C11" s="479" t="str">
        <f>Biodata!C13</f>
        <v>ARYA DYTA WIGUNA</v>
      </c>
      <c r="D11" s="474">
        <v>76</v>
      </c>
      <c r="E11" s="474" t="s">
        <v>18</v>
      </c>
      <c r="F11" s="474">
        <v>75</v>
      </c>
      <c r="G11" s="474" t="s">
        <v>18</v>
      </c>
    </row>
    <row r="12" spans="1:7">
      <c r="A12" s="474">
        <f>Biodata!A14</f>
        <v>6</v>
      </c>
      <c r="B12" s="478" t="str">
        <f>Biodata!B14</f>
        <v>181910054</v>
      </c>
      <c r="C12" s="479" t="str">
        <f>Biodata!C14</f>
        <v>AZRIEL TAMA SANTIAJI</v>
      </c>
      <c r="D12" s="474">
        <v>43</v>
      </c>
      <c r="E12" s="474" t="s">
        <v>429</v>
      </c>
      <c r="F12" s="474">
        <f t="shared" si="0"/>
        <v>0</v>
      </c>
      <c r="G12" s="474">
        <v>0</v>
      </c>
    </row>
    <row r="13" spans="1:7">
      <c r="A13" s="474">
        <f>Biodata!A15</f>
        <v>7</v>
      </c>
      <c r="B13" s="478" t="str">
        <f>Biodata!B15</f>
        <v>181910055</v>
      </c>
      <c r="C13" s="479" t="str">
        <f>Biodata!C15</f>
        <v>AZZUHRI HAUDI</v>
      </c>
      <c r="D13" s="474">
        <v>60</v>
      </c>
      <c r="E13" s="474" t="s">
        <v>19</v>
      </c>
      <c r="F13" s="474">
        <v>65</v>
      </c>
      <c r="G13" s="474" t="s">
        <v>429</v>
      </c>
    </row>
    <row r="14" spans="1:7">
      <c r="A14" s="474">
        <f>Biodata!A16</f>
        <v>8</v>
      </c>
      <c r="B14" s="478" t="str">
        <f>Biodata!B16</f>
        <v>181910056</v>
      </c>
      <c r="C14" s="479" t="str">
        <f>Biodata!C16</f>
        <v>BAYU BATARA SURYA PUTRA</v>
      </c>
      <c r="D14" s="474">
        <v>45</v>
      </c>
      <c r="E14" s="474" t="s">
        <v>429</v>
      </c>
      <c r="F14" s="474" t="s">
        <v>432</v>
      </c>
      <c r="G14" s="474" t="s">
        <v>18</v>
      </c>
    </row>
    <row r="15" spans="1:7">
      <c r="A15" s="474">
        <f>Biodata!A17</f>
        <v>9</v>
      </c>
      <c r="B15" s="478" t="str">
        <f>Biodata!B17</f>
        <v>181910069</v>
      </c>
      <c r="C15" s="479" t="str">
        <f>Biodata!C17</f>
        <v>DANDY ERVAN PRATAMA</v>
      </c>
      <c r="D15" s="474">
        <v>10</v>
      </c>
      <c r="E15" s="474" t="s">
        <v>429</v>
      </c>
      <c r="F15" s="474">
        <v>25</v>
      </c>
      <c r="G15" s="474" t="s">
        <v>429</v>
      </c>
    </row>
    <row r="16" spans="1:7">
      <c r="A16" s="474">
        <f>Biodata!A18</f>
        <v>10</v>
      </c>
      <c r="B16" s="478" t="str">
        <f>Biodata!B18</f>
        <v>181910085</v>
      </c>
      <c r="C16" s="479" t="str">
        <f>Biodata!C18</f>
        <v>DENISA ASTI RAHMAWATI</v>
      </c>
      <c r="D16" s="474">
        <v>70</v>
      </c>
      <c r="E16" s="474" t="s">
        <v>18</v>
      </c>
      <c r="F16" s="474" t="s">
        <v>433</v>
      </c>
      <c r="G16" s="474" t="s">
        <v>18</v>
      </c>
    </row>
    <row r="17" spans="1:7">
      <c r="A17" s="474">
        <f>Biodata!A19</f>
        <v>11</v>
      </c>
      <c r="B17" s="478" t="str">
        <f>Biodata!B19</f>
        <v>181910093</v>
      </c>
      <c r="C17" s="479" t="str">
        <f>Biodata!C19</f>
        <v>DIAN RAMDHAN SAPTIAN</v>
      </c>
      <c r="D17" s="474">
        <v>37</v>
      </c>
      <c r="E17" s="474" t="s">
        <v>429</v>
      </c>
      <c r="F17" s="474" t="s">
        <v>434</v>
      </c>
      <c r="G17" s="474" t="s">
        <v>429</v>
      </c>
    </row>
    <row r="18" spans="1:7">
      <c r="A18" s="474">
        <f>Biodata!A20</f>
        <v>12</v>
      </c>
      <c r="B18" s="478" t="str">
        <f>Biodata!B20</f>
        <v>181910103</v>
      </c>
      <c r="C18" s="479" t="str">
        <f>Biodata!C20</f>
        <v>DIVYA ADHIANI NURDIN</v>
      </c>
      <c r="D18" s="474">
        <v>80</v>
      </c>
      <c r="E18" s="474" t="s">
        <v>6</v>
      </c>
      <c r="F18" s="474">
        <v>80</v>
      </c>
      <c r="G18" s="474" t="s">
        <v>6</v>
      </c>
    </row>
    <row r="19" spans="1:7">
      <c r="A19" s="474">
        <f>Biodata!A21</f>
        <v>13</v>
      </c>
      <c r="B19" s="478" t="str">
        <f>Biodata!B21</f>
        <v>181910104</v>
      </c>
      <c r="C19" s="479" t="str">
        <f>Biodata!C21</f>
        <v>DWIKI DERMAWAN</v>
      </c>
      <c r="D19" s="474">
        <v>37</v>
      </c>
      <c r="E19" s="474" t="s">
        <v>429</v>
      </c>
      <c r="F19" s="474" t="s">
        <v>431</v>
      </c>
      <c r="G19" s="474" t="s">
        <v>429</v>
      </c>
    </row>
    <row r="20" spans="1:7">
      <c r="A20" s="474">
        <f>Biodata!A22</f>
        <v>14</v>
      </c>
      <c r="B20" s="478" t="str">
        <f>Biodata!B22</f>
        <v>181910118</v>
      </c>
      <c r="C20" s="479" t="str">
        <f>Biodata!C22</f>
        <v>ENCEP CANDRA</v>
      </c>
      <c r="D20" s="474">
        <v>65</v>
      </c>
      <c r="E20" s="474" t="s">
        <v>19</v>
      </c>
      <c r="F20" s="474" t="s">
        <v>430</v>
      </c>
      <c r="G20" s="474" t="s">
        <v>18</v>
      </c>
    </row>
    <row r="21" spans="1:7">
      <c r="A21" s="474">
        <f>Biodata!A23</f>
        <v>15</v>
      </c>
      <c r="B21" s="478" t="str">
        <f>Biodata!B23</f>
        <v>181910128</v>
      </c>
      <c r="C21" s="479" t="str">
        <f>Biodata!C23</f>
        <v>FAIZAL EGI</v>
      </c>
      <c r="D21" s="474">
        <v>10</v>
      </c>
      <c r="E21" s="474" t="s">
        <v>429</v>
      </c>
      <c r="F21" s="474">
        <f t="shared" si="0"/>
        <v>0</v>
      </c>
      <c r="G21" s="474">
        <v>0</v>
      </c>
    </row>
    <row r="22" spans="1:7">
      <c r="A22" s="474">
        <f>Biodata!A24</f>
        <v>16</v>
      </c>
      <c r="B22" s="478" t="str">
        <f>Biodata!B24</f>
        <v>181910133</v>
      </c>
      <c r="C22" s="479" t="str">
        <f>Biodata!C24</f>
        <v>FAUZI DHALFADLIL AZHANI</v>
      </c>
      <c r="D22" s="474">
        <v>33</v>
      </c>
      <c r="E22" s="474" t="s">
        <v>429</v>
      </c>
      <c r="F22" s="474" t="s">
        <v>435</v>
      </c>
      <c r="G22" s="474" t="s">
        <v>19</v>
      </c>
    </row>
    <row r="23" spans="1:7">
      <c r="A23" s="474">
        <f>Biodata!A25</f>
        <v>17</v>
      </c>
      <c r="B23" s="478" t="str">
        <f>Biodata!B25</f>
        <v>181910161</v>
      </c>
      <c r="C23" s="479" t="str">
        <f>Biodata!C25</f>
        <v>HILMAN PUTRA PAMUNGKAS</v>
      </c>
      <c r="D23" s="474">
        <v>70</v>
      </c>
      <c r="E23" s="474" t="s">
        <v>18</v>
      </c>
      <c r="F23" s="474">
        <v>75</v>
      </c>
      <c r="G23" s="474" t="s">
        <v>18</v>
      </c>
    </row>
    <row r="24" spans="1:7">
      <c r="A24" s="474">
        <f>Biodata!A26</f>
        <v>18</v>
      </c>
      <c r="B24" s="478" t="str">
        <f>Biodata!B26</f>
        <v>181910165</v>
      </c>
      <c r="C24" s="479" t="str">
        <f>Biodata!C26</f>
        <v>IHSYA FADILLAH MUSLIM</v>
      </c>
      <c r="D24" s="474">
        <v>70</v>
      </c>
      <c r="E24" s="474" t="s">
        <v>18</v>
      </c>
      <c r="F24" s="474">
        <v>75</v>
      </c>
      <c r="G24" s="474" t="s">
        <v>18</v>
      </c>
    </row>
    <row r="25" spans="1:7">
      <c r="A25" s="474">
        <f>Biodata!A27</f>
        <v>19</v>
      </c>
      <c r="B25" s="478" t="str">
        <f>Biodata!B27</f>
        <v>181910185</v>
      </c>
      <c r="C25" s="479" t="str">
        <f>Biodata!C27</f>
        <v>JIHAD AKBAR</v>
      </c>
      <c r="D25" s="474">
        <v>38</v>
      </c>
      <c r="E25" s="474" t="s">
        <v>429</v>
      </c>
      <c r="F25" s="474">
        <v>75</v>
      </c>
      <c r="G25" s="474" t="s">
        <v>18</v>
      </c>
    </row>
    <row r="26" spans="1:7">
      <c r="A26" s="474">
        <f>Biodata!A28</f>
        <v>20</v>
      </c>
      <c r="B26" s="478" t="str">
        <f>Biodata!B28</f>
        <v>181910226</v>
      </c>
      <c r="C26" s="479" t="str">
        <f>Biodata!C28</f>
        <v>MUHAMAD IZZAZUL FIKRIAN</v>
      </c>
      <c r="D26" s="474">
        <v>35</v>
      </c>
      <c r="E26" s="474" t="s">
        <v>429</v>
      </c>
      <c r="F26" s="474">
        <v>70</v>
      </c>
      <c r="G26" s="474" t="s">
        <v>18</v>
      </c>
    </row>
    <row r="27" spans="1:7">
      <c r="A27" s="474">
        <f>Biodata!A29</f>
        <v>21</v>
      </c>
      <c r="B27" s="478" t="str">
        <f>Biodata!B29</f>
        <v>181910240</v>
      </c>
      <c r="C27" s="479" t="str">
        <f>Biodata!C29</f>
        <v>NESHA RAUDHATUL ZANNAH</v>
      </c>
      <c r="D27" s="474">
        <v>70</v>
      </c>
      <c r="E27" s="474" t="s">
        <v>18</v>
      </c>
      <c r="F27" s="474">
        <v>75</v>
      </c>
      <c r="G27" s="474" t="s">
        <v>18</v>
      </c>
    </row>
    <row r="28" spans="1:7">
      <c r="A28" s="474">
        <f>Biodata!A30</f>
        <v>22</v>
      </c>
      <c r="B28" s="478" t="str">
        <f>Biodata!B30</f>
        <v>181910262</v>
      </c>
      <c r="C28" s="479" t="str">
        <f>Biodata!C30</f>
        <v>PUTRI ANGGRAENI</v>
      </c>
      <c r="D28" s="474">
        <v>58</v>
      </c>
      <c r="E28" s="474" t="s">
        <v>429</v>
      </c>
      <c r="F28" s="474" t="s">
        <v>433</v>
      </c>
      <c r="G28" s="474" t="s">
        <v>6</v>
      </c>
    </row>
    <row r="29" spans="1:7">
      <c r="A29" s="474">
        <f>Biodata!A31</f>
        <v>23</v>
      </c>
      <c r="B29" s="478" t="str">
        <f>Biodata!B31</f>
        <v>181910266</v>
      </c>
      <c r="C29" s="479" t="str">
        <f>Biodata!C31</f>
        <v>PUTRI WULANDARI</v>
      </c>
      <c r="D29" s="474">
        <v>86</v>
      </c>
      <c r="E29" s="474" t="s">
        <v>6</v>
      </c>
      <c r="F29" s="474">
        <v>80</v>
      </c>
      <c r="G29" s="474" t="s">
        <v>6</v>
      </c>
    </row>
    <row r="30" spans="1:7">
      <c r="A30" s="474">
        <f>Biodata!A32</f>
        <v>24</v>
      </c>
      <c r="B30" s="478" t="str">
        <f>Biodata!B32</f>
        <v>181910272</v>
      </c>
      <c r="C30" s="479" t="str">
        <f>Biodata!C32</f>
        <v>RAFLY GYMNASTIAR</v>
      </c>
      <c r="D30" s="474">
        <v>10</v>
      </c>
      <c r="E30" s="474" t="s">
        <v>429</v>
      </c>
      <c r="F30" s="474">
        <v>35</v>
      </c>
      <c r="G30" s="474" t="s">
        <v>429</v>
      </c>
    </row>
    <row r="31" spans="1:7">
      <c r="A31" s="474">
        <f>Biodata!A33</f>
        <v>25</v>
      </c>
      <c r="B31" s="478" t="str">
        <f>Biodata!B33</f>
        <v>181910280</v>
      </c>
      <c r="C31" s="479" t="str">
        <f>Biodata!C33</f>
        <v>REFIANA</v>
      </c>
      <c r="D31" s="474">
        <v>44</v>
      </c>
      <c r="E31" s="474" t="s">
        <v>429</v>
      </c>
      <c r="F31" s="474" t="s">
        <v>435</v>
      </c>
      <c r="G31" s="474" t="s">
        <v>19</v>
      </c>
    </row>
    <row r="32" spans="1:7">
      <c r="A32" s="474">
        <f>Biodata!A34</f>
        <v>26</v>
      </c>
      <c r="B32" s="478" t="str">
        <f>Biodata!B34</f>
        <v>181910285</v>
      </c>
      <c r="C32" s="479" t="str">
        <f>Biodata!C34</f>
        <v>RENALDI PRIYATAMA</v>
      </c>
      <c r="D32" s="474">
        <v>30</v>
      </c>
      <c r="E32" s="474" t="s">
        <v>429</v>
      </c>
      <c r="F32" s="474">
        <v>59</v>
      </c>
      <c r="G32" s="474" t="s">
        <v>429</v>
      </c>
    </row>
    <row r="33" spans="1:7">
      <c r="A33" s="474">
        <f>Biodata!A35</f>
        <v>27</v>
      </c>
      <c r="B33" s="478" t="str">
        <f>Biodata!B35</f>
        <v>181910286</v>
      </c>
      <c r="C33" s="479" t="str">
        <f>Biodata!C35</f>
        <v>RENATA</v>
      </c>
      <c r="D33" s="474">
        <v>81</v>
      </c>
      <c r="E33" s="474" t="s">
        <v>6</v>
      </c>
      <c r="F33" s="474" t="s">
        <v>433</v>
      </c>
      <c r="G33" s="474" t="s">
        <v>6</v>
      </c>
    </row>
    <row r="34" spans="1:7">
      <c r="A34" s="474">
        <f>Biodata!A36</f>
        <v>28</v>
      </c>
      <c r="B34" s="478" t="str">
        <f>Biodata!B36</f>
        <v>181910293</v>
      </c>
      <c r="C34" s="479" t="str">
        <f>Biodata!C36</f>
        <v xml:space="preserve">REZA ERNANDA </v>
      </c>
      <c r="D34" s="474">
        <v>72</v>
      </c>
      <c r="E34" s="474" t="s">
        <v>18</v>
      </c>
      <c r="F34" s="474" t="s">
        <v>436</v>
      </c>
      <c r="G34" s="474" t="s">
        <v>6</v>
      </c>
    </row>
    <row r="35" spans="1:7">
      <c r="A35" s="474">
        <f>Biodata!A37</f>
        <v>29</v>
      </c>
      <c r="B35" s="478" t="str">
        <f>Biodata!B37</f>
        <v>181910300</v>
      </c>
      <c r="C35" s="479" t="str">
        <f>Biodata!C37</f>
        <v>RIFAN MUHAMAD RIZKI</v>
      </c>
      <c r="D35" s="474">
        <v>43</v>
      </c>
      <c r="E35" s="474" t="s">
        <v>429</v>
      </c>
      <c r="F35" s="474">
        <f t="shared" si="0"/>
        <v>0</v>
      </c>
      <c r="G35" s="474">
        <v>0</v>
      </c>
    </row>
    <row r="36" spans="1:7">
      <c r="A36" s="474">
        <f>Biodata!A38</f>
        <v>30</v>
      </c>
      <c r="B36" s="478" t="str">
        <f>Biodata!B38</f>
        <v>181910318</v>
      </c>
      <c r="C36" s="479" t="str">
        <f>Biodata!C38</f>
        <v>RISMA SURYANI</v>
      </c>
      <c r="D36" s="474">
        <v>89</v>
      </c>
      <c r="E36" s="474" t="s">
        <v>6</v>
      </c>
      <c r="F36" s="474">
        <v>75</v>
      </c>
      <c r="G36" s="474" t="s">
        <v>18</v>
      </c>
    </row>
    <row r="37" spans="1:7">
      <c r="A37" s="474">
        <f>Biodata!A39</f>
        <v>31</v>
      </c>
      <c r="B37" s="478" t="str">
        <f>Biodata!B39</f>
        <v>181910320</v>
      </c>
      <c r="C37" s="479" t="str">
        <f>Biodata!C39</f>
        <v>RISNA TIRANI</v>
      </c>
      <c r="D37" s="474">
        <v>85</v>
      </c>
      <c r="E37" s="474" t="s">
        <v>6</v>
      </c>
      <c r="F37" s="474">
        <v>84</v>
      </c>
      <c r="G37" s="474" t="s">
        <v>6</v>
      </c>
    </row>
    <row r="38" spans="1:7">
      <c r="A38" s="474">
        <f>Biodata!A40</f>
        <v>32</v>
      </c>
      <c r="B38" s="478" t="str">
        <f>Biodata!B40</f>
        <v>181910331</v>
      </c>
      <c r="C38" s="479" t="str">
        <f>Biodata!C40</f>
        <v>RULLY PRATAMA S.</v>
      </c>
      <c r="D38" s="474">
        <v>35</v>
      </c>
      <c r="E38" s="474" t="s">
        <v>429</v>
      </c>
      <c r="F38" s="474">
        <v>75</v>
      </c>
      <c r="G38" s="474" t="s">
        <v>18</v>
      </c>
    </row>
    <row r="39" spans="1:7">
      <c r="A39" s="474">
        <f>Biodata!A41</f>
        <v>33</v>
      </c>
      <c r="B39" s="478" t="str">
        <f>Biodata!B41</f>
        <v>181910335</v>
      </c>
      <c r="C39" s="479" t="str">
        <f>Biodata!C41</f>
        <v>SALSA ASYKIYA</v>
      </c>
      <c r="D39" s="474">
        <v>92</v>
      </c>
      <c r="E39" s="474" t="s">
        <v>7</v>
      </c>
      <c r="F39" s="474">
        <v>85</v>
      </c>
      <c r="G39" s="474" t="s">
        <v>6</v>
      </c>
    </row>
    <row r="40" spans="1:7">
      <c r="A40" s="474">
        <f>Biodata!A42</f>
        <v>34</v>
      </c>
      <c r="B40" s="478" t="str">
        <f>Biodata!B42</f>
        <v>181910353</v>
      </c>
      <c r="C40" s="479" t="str">
        <f>Biodata!C42</f>
        <v>SILFI HAMIDAH</v>
      </c>
      <c r="D40" s="474">
        <v>79</v>
      </c>
      <c r="E40" s="474" t="s">
        <v>6</v>
      </c>
      <c r="F40" s="474" t="s">
        <v>430</v>
      </c>
      <c r="G40" s="474" t="s">
        <v>18</v>
      </c>
    </row>
    <row r="41" spans="1:7">
      <c r="A41" s="474">
        <f>Biodata!A43</f>
        <v>35</v>
      </c>
      <c r="B41" s="478" t="str">
        <f>Biodata!B43</f>
        <v>181910408</v>
      </c>
      <c r="C41" s="479" t="str">
        <f>Biodata!C43</f>
        <v>YESHA RAHAYU</v>
      </c>
      <c r="D41" s="474">
        <v>49</v>
      </c>
      <c r="E41" s="474" t="s">
        <v>429</v>
      </c>
      <c r="F41" s="474">
        <v>41</v>
      </c>
      <c r="G41" s="474" t="s">
        <v>429</v>
      </c>
    </row>
    <row r="42" spans="1:7">
      <c r="A42" s="474">
        <f>Biodata!A44</f>
        <v>36</v>
      </c>
      <c r="B42" s="478" t="str">
        <f>Biodata!B44</f>
        <v>181910433</v>
      </c>
      <c r="C42" s="479" t="str">
        <f>Biodata!C44</f>
        <v>MUHAMAD RIZAL</v>
      </c>
      <c r="D42" s="474">
        <v>49</v>
      </c>
      <c r="E42" s="474" t="s">
        <v>429</v>
      </c>
      <c r="F42" s="474">
        <v>41</v>
      </c>
      <c r="G42" s="474" t="s">
        <v>429</v>
      </c>
    </row>
    <row r="43" spans="1:7">
      <c r="A43" s="474">
        <f>Biodata!A45</f>
        <v>37</v>
      </c>
      <c r="B43" s="478" t="str">
        <f>Biodata!B45</f>
        <v>037</v>
      </c>
      <c r="C43" s="479" t="str">
        <f>Biodata!C45</f>
        <v>A37</v>
      </c>
      <c r="D43" s="474">
        <f t="shared" ref="D43:D46" si="1">IFERROR(VLOOKUP(B43&amp;"A",leggerx1,14,0),"")</f>
        <v>0</v>
      </c>
      <c r="E43" s="474" t="str">
        <f t="shared" ref="E43:E46" si="2">IFERROR(VLOOKUP(B43&amp;"C",leggerx1,14,0),"")</f>
        <v/>
      </c>
      <c r="F43" s="474">
        <f t="shared" si="0"/>
        <v>0</v>
      </c>
      <c r="G43" s="474" t="str">
        <f t="shared" ref="G43:G46" si="3">IFERROR(VLOOKUP(B43&amp;"D",leggerx1,14,0),"")</f>
        <v/>
      </c>
    </row>
    <row r="44" spans="1:7">
      <c r="A44" s="474">
        <f>Biodata!A46</f>
        <v>38</v>
      </c>
      <c r="B44" s="478" t="str">
        <f>Biodata!B46</f>
        <v>038</v>
      </c>
      <c r="C44" s="479" t="str">
        <f>Biodata!C46</f>
        <v>A38</v>
      </c>
      <c r="D44" s="474">
        <f t="shared" si="1"/>
        <v>0</v>
      </c>
      <c r="E44" s="474" t="str">
        <f t="shared" si="2"/>
        <v/>
      </c>
      <c r="F44" s="474">
        <f t="shared" si="0"/>
        <v>0</v>
      </c>
      <c r="G44" s="474" t="str">
        <f t="shared" si="3"/>
        <v/>
      </c>
    </row>
    <row r="45" spans="1:7">
      <c r="A45" s="474">
        <f>Biodata!A47</f>
        <v>39</v>
      </c>
      <c r="B45" s="478" t="str">
        <f>Biodata!B47</f>
        <v>039</v>
      </c>
      <c r="C45" s="479" t="str">
        <f>Biodata!C47</f>
        <v>A39</v>
      </c>
      <c r="D45" s="474">
        <f t="shared" si="1"/>
        <v>0</v>
      </c>
      <c r="E45" s="474" t="str">
        <f t="shared" si="2"/>
        <v/>
      </c>
      <c r="F45" s="474">
        <f t="shared" si="0"/>
        <v>0</v>
      </c>
      <c r="G45" s="474" t="str">
        <f t="shared" si="3"/>
        <v/>
      </c>
    </row>
    <row r="46" spans="1:7">
      <c r="A46" s="474">
        <f>Biodata!A48</f>
        <v>40</v>
      </c>
      <c r="B46" s="478" t="str">
        <f>Biodata!B48</f>
        <v>040</v>
      </c>
      <c r="C46" s="479" t="str">
        <f>Biodata!C48</f>
        <v>A40</v>
      </c>
      <c r="D46" s="474">
        <f t="shared" si="1"/>
        <v>0</v>
      </c>
      <c r="E46" s="474" t="str">
        <f t="shared" si="2"/>
        <v/>
      </c>
      <c r="F46" s="474">
        <f t="shared" si="0"/>
        <v>0</v>
      </c>
      <c r="G46" s="474" t="str">
        <f t="shared" si="3"/>
        <v/>
      </c>
    </row>
    <row r="47" spans="1:7">
      <c r="C47" s="483"/>
    </row>
    <row r="48" spans="1:7">
      <c r="C48" s="483"/>
    </row>
    <row r="49" spans="3:3" s="475" customFormat="1" ht="11.25">
      <c r="C49" s="483"/>
    </row>
    <row r="50" spans="3:3" s="475" customFormat="1" ht="11.25">
      <c r="C50" s="483"/>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0"/>
  <sheetViews>
    <sheetView tabSelected="1" workbookViewId="0">
      <selection activeCell="G43" sqref="G43"/>
    </sheetView>
  </sheetViews>
  <sheetFormatPr defaultColWidth="9" defaultRowHeight="12.75"/>
  <cols>
    <col min="1" max="1" width="3.7109375" style="474" customWidth="1"/>
    <col min="2" max="2" width="7.140625" style="474" customWidth="1"/>
    <col min="3" max="3" width="21.7109375" style="475" customWidth="1"/>
    <col min="4" max="4" width="11.85546875" style="474" customWidth="1"/>
    <col min="5" max="5" width="8" style="474" customWidth="1"/>
    <col min="6" max="6" width="12" style="474" customWidth="1"/>
    <col min="7" max="7" width="8" style="474" customWidth="1"/>
    <col min="8" max="256" width="9.140625" style="475" customWidth="1"/>
  </cols>
  <sheetData>
    <row r="1" spans="1:7">
      <c r="C1" s="476" t="s">
        <v>329</v>
      </c>
      <c r="D1" s="477" t="str">
        <f>Biodata!C4</f>
        <v xml:space="preserve"> X / IPS_5</v>
      </c>
    </row>
    <row r="2" spans="1:7">
      <c r="C2" s="476" t="s">
        <v>330</v>
      </c>
      <c r="D2" s="477" t="str">
        <f>Biodata!C5</f>
        <v>1 / Ganjil</v>
      </c>
    </row>
    <row r="3" spans="1:7">
      <c r="D3" s="477"/>
    </row>
    <row r="4" spans="1:7">
      <c r="C4" s="476" t="s">
        <v>331</v>
      </c>
      <c r="D4" s="477" t="str">
        <f>LEGER!R6</f>
        <v>S o s i o l o g i</v>
      </c>
    </row>
    <row r="5" spans="1:7">
      <c r="C5" s="476" t="s">
        <v>332</v>
      </c>
      <c r="D5" s="477">
        <f>RAPORT!C84</f>
        <v>70</v>
      </c>
    </row>
    <row r="6" spans="1:7">
      <c r="A6" s="474" t="s">
        <v>325</v>
      </c>
      <c r="B6" s="474" t="s">
        <v>10</v>
      </c>
      <c r="C6" s="475" t="s">
        <v>324</v>
      </c>
      <c r="D6" s="474" t="s">
        <v>75</v>
      </c>
      <c r="E6" s="474" t="s">
        <v>71</v>
      </c>
      <c r="F6" s="474" t="s">
        <v>147</v>
      </c>
      <c r="G6" s="474" t="s">
        <v>71</v>
      </c>
    </row>
    <row r="7" spans="1:7">
      <c r="A7" s="474">
        <f>Biodata!A9</f>
        <v>1</v>
      </c>
      <c r="B7" s="478" t="str">
        <f>Biodata!B9</f>
        <v>181910008</v>
      </c>
      <c r="C7" s="479" t="str">
        <f>Biodata!C9</f>
        <v>ADITA TRI KURNIA PUTRI</v>
      </c>
      <c r="D7" s="474">
        <v>75</v>
      </c>
      <c r="E7" s="474" t="s">
        <v>18</v>
      </c>
      <c r="F7" s="474">
        <v>75</v>
      </c>
      <c r="G7" s="474" t="s">
        <v>18</v>
      </c>
    </row>
    <row r="8" spans="1:7">
      <c r="A8" s="474">
        <f>Biodata!A10</f>
        <v>2</v>
      </c>
      <c r="B8" s="478" t="str">
        <f>Biodata!B10</f>
        <v>181910011</v>
      </c>
      <c r="C8" s="479" t="str">
        <f>Biodata!C10</f>
        <v xml:space="preserve">ADNES KOMALA DEWI </v>
      </c>
      <c r="D8" s="474">
        <v>70</v>
      </c>
      <c r="E8" s="474" t="s">
        <v>18</v>
      </c>
      <c r="F8" s="474">
        <v>70</v>
      </c>
      <c r="G8" s="474" t="s">
        <v>18</v>
      </c>
    </row>
    <row r="9" spans="1:7">
      <c r="A9" s="474">
        <f>Biodata!A11</f>
        <v>3</v>
      </c>
      <c r="B9" s="478" t="str">
        <f>Biodata!B11</f>
        <v>181910014</v>
      </c>
      <c r="C9" s="479" t="str">
        <f>Biodata!C11</f>
        <v>AGUNG BUDI PRASTAWA</v>
      </c>
      <c r="D9" s="474">
        <v>70</v>
      </c>
      <c r="E9" s="474" t="s">
        <v>18</v>
      </c>
      <c r="F9" s="474">
        <v>70</v>
      </c>
      <c r="G9" s="474" t="s">
        <v>18</v>
      </c>
    </row>
    <row r="10" spans="1:7">
      <c r="A10" s="474">
        <f>Biodata!A12</f>
        <v>4</v>
      </c>
      <c r="B10" s="478" t="str">
        <f>Biodata!B12</f>
        <v>181910021</v>
      </c>
      <c r="C10" s="479" t="str">
        <f>Biodata!C12</f>
        <v>AISYAH</v>
      </c>
      <c r="D10" s="474">
        <v>76</v>
      </c>
      <c r="E10" s="474" t="s">
        <v>18</v>
      </c>
      <c r="F10" s="474">
        <v>75</v>
      </c>
      <c r="G10" s="474" t="s">
        <v>18</v>
      </c>
    </row>
    <row r="11" spans="1:7">
      <c r="A11" s="474">
        <f>Biodata!A13</f>
        <v>5</v>
      </c>
      <c r="B11" s="478" t="str">
        <f>Biodata!B13</f>
        <v>181910045</v>
      </c>
      <c r="C11" s="479" t="str">
        <f>Biodata!C13</f>
        <v>ARYA DYTA WIGUNA</v>
      </c>
      <c r="D11" s="474">
        <v>75</v>
      </c>
      <c r="E11" s="474" t="s">
        <v>18</v>
      </c>
      <c r="F11" s="474">
        <v>72</v>
      </c>
      <c r="G11" s="474" t="s">
        <v>18</v>
      </c>
    </row>
    <row r="12" spans="1:7">
      <c r="A12" s="474">
        <f>Biodata!A14</f>
        <v>6</v>
      </c>
      <c r="B12" s="478" t="str">
        <f>Biodata!B14</f>
        <v>181910054</v>
      </c>
      <c r="C12" s="479" t="str">
        <f>Biodata!C14</f>
        <v>AZRIEL TAMA SANTIAJI</v>
      </c>
      <c r="D12" s="474">
        <v>60</v>
      </c>
      <c r="E12" s="474" t="s">
        <v>19</v>
      </c>
      <c r="F12" s="474">
        <v>60</v>
      </c>
      <c r="G12" s="474" t="s">
        <v>19</v>
      </c>
    </row>
    <row r="13" spans="1:7">
      <c r="A13" s="474">
        <f>Biodata!A15</f>
        <v>7</v>
      </c>
      <c r="B13" s="478" t="str">
        <f>Biodata!B15</f>
        <v>181910055</v>
      </c>
      <c r="C13" s="479" t="str">
        <f>Biodata!C15</f>
        <v>AZZUHRI HAUDI</v>
      </c>
      <c r="D13" s="474">
        <v>70</v>
      </c>
      <c r="E13" s="474" t="s">
        <v>18</v>
      </c>
      <c r="F13" s="474">
        <v>70</v>
      </c>
      <c r="G13" s="474" t="s">
        <v>18</v>
      </c>
    </row>
    <row r="14" spans="1:7">
      <c r="A14" s="474">
        <f>Biodata!A16</f>
        <v>8</v>
      </c>
      <c r="B14" s="478" t="str">
        <f>Biodata!B16</f>
        <v>181910056</v>
      </c>
      <c r="C14" s="479" t="str">
        <f>Biodata!C16</f>
        <v>BAYU BATARA SURYA PUTRA</v>
      </c>
      <c r="D14" s="474">
        <v>74</v>
      </c>
      <c r="E14" s="474" t="s">
        <v>18</v>
      </c>
      <c r="F14" s="474">
        <v>74</v>
      </c>
      <c r="G14" s="474" t="s">
        <v>18</v>
      </c>
    </row>
    <row r="15" spans="1:7">
      <c r="A15" s="474">
        <f>Biodata!A17</f>
        <v>9</v>
      </c>
      <c r="B15" s="478" t="str">
        <f>Biodata!B17</f>
        <v>181910069</v>
      </c>
      <c r="C15" s="479" t="str">
        <f>Biodata!C17</f>
        <v>DANDY ERVAN PRATAMA</v>
      </c>
      <c r="D15" s="474">
        <v>70</v>
      </c>
      <c r="E15" s="474" t="s">
        <v>18</v>
      </c>
      <c r="F15" s="474">
        <v>70</v>
      </c>
      <c r="G15" s="474" t="s">
        <v>18</v>
      </c>
    </row>
    <row r="16" spans="1:7">
      <c r="A16" s="474">
        <f>Biodata!A18</f>
        <v>10</v>
      </c>
      <c r="B16" s="478" t="str">
        <f>Biodata!B18</f>
        <v>181910085</v>
      </c>
      <c r="C16" s="479" t="str">
        <f>Biodata!C18</f>
        <v>DENISA ASTI RAHMAWATI</v>
      </c>
      <c r="D16" s="474">
        <v>80</v>
      </c>
      <c r="E16" s="474" t="s">
        <v>6</v>
      </c>
      <c r="F16" s="474">
        <v>80</v>
      </c>
      <c r="G16" s="474" t="s">
        <v>6</v>
      </c>
    </row>
    <row r="17" spans="1:7">
      <c r="A17" s="474">
        <f>Biodata!A19</f>
        <v>11</v>
      </c>
      <c r="B17" s="478" t="str">
        <f>Biodata!B19</f>
        <v>181910093</v>
      </c>
      <c r="C17" s="479" t="str">
        <f>Biodata!C19</f>
        <v>DIAN RAMDHAN SAPTIAN</v>
      </c>
      <c r="D17" s="474">
        <v>72</v>
      </c>
      <c r="E17" s="474" t="s">
        <v>18</v>
      </c>
      <c r="F17" s="474">
        <v>70</v>
      </c>
      <c r="G17" s="474" t="s">
        <v>18</v>
      </c>
    </row>
    <row r="18" spans="1:7">
      <c r="A18" s="474">
        <f>Biodata!A20</f>
        <v>12</v>
      </c>
      <c r="B18" s="478" t="str">
        <f>Biodata!B20</f>
        <v>181910103</v>
      </c>
      <c r="C18" s="479" t="str">
        <f>Biodata!C20</f>
        <v>DIVYA ADHIANI NURDIN</v>
      </c>
      <c r="D18" s="474">
        <v>72</v>
      </c>
      <c r="E18" s="474" t="s">
        <v>18</v>
      </c>
      <c r="F18" s="474">
        <v>70</v>
      </c>
      <c r="G18" s="474" t="s">
        <v>18</v>
      </c>
    </row>
    <row r="19" spans="1:7">
      <c r="A19" s="474">
        <f>Biodata!A21</f>
        <v>13</v>
      </c>
      <c r="B19" s="478" t="str">
        <f>Biodata!B21</f>
        <v>181910104</v>
      </c>
      <c r="C19" s="479" t="str">
        <f>Biodata!C21</f>
        <v>DWIKI DERMAWAN</v>
      </c>
      <c r="D19" s="474">
        <v>60</v>
      </c>
      <c r="E19" s="474" t="s">
        <v>19</v>
      </c>
      <c r="F19" s="474">
        <v>60</v>
      </c>
      <c r="G19" s="474" t="s">
        <v>19</v>
      </c>
    </row>
    <row r="20" spans="1:7">
      <c r="A20" s="474">
        <f>Biodata!A22</f>
        <v>14</v>
      </c>
      <c r="B20" s="478" t="str">
        <f>Biodata!B22</f>
        <v>181910118</v>
      </c>
      <c r="C20" s="479" t="str">
        <f>Biodata!C22</f>
        <v>ENCEP CANDRA</v>
      </c>
      <c r="D20" s="474">
        <v>72</v>
      </c>
      <c r="E20" s="474" t="s">
        <v>18</v>
      </c>
      <c r="F20" s="474">
        <v>72</v>
      </c>
      <c r="G20" s="474" t="s">
        <v>18</v>
      </c>
    </row>
    <row r="21" spans="1:7">
      <c r="A21" s="474">
        <f>Biodata!A23</f>
        <v>15</v>
      </c>
      <c r="B21" s="478" t="str">
        <f>Biodata!B23</f>
        <v>181910128</v>
      </c>
      <c r="C21" s="479" t="str">
        <f>Biodata!C23</f>
        <v>FAIZAL EGI</v>
      </c>
      <c r="D21" s="474">
        <v>70</v>
      </c>
      <c r="E21" s="474" t="s">
        <v>18</v>
      </c>
      <c r="F21" s="474">
        <v>70</v>
      </c>
      <c r="G21" s="474" t="s">
        <v>18</v>
      </c>
    </row>
    <row r="22" spans="1:7">
      <c r="A22" s="474">
        <f>Biodata!A24</f>
        <v>16</v>
      </c>
      <c r="B22" s="478" t="str">
        <f>Biodata!B24</f>
        <v>181910133</v>
      </c>
      <c r="C22" s="479" t="str">
        <f>Biodata!C24</f>
        <v>FAUZI DHALFADLIL AZHANI</v>
      </c>
      <c r="D22" s="474">
        <v>72</v>
      </c>
      <c r="E22" s="474" t="s">
        <v>18</v>
      </c>
      <c r="F22" s="474">
        <v>72</v>
      </c>
      <c r="G22" s="474" t="s">
        <v>18</v>
      </c>
    </row>
    <row r="23" spans="1:7">
      <c r="A23" s="474">
        <f>Biodata!A25</f>
        <v>17</v>
      </c>
      <c r="B23" s="478" t="str">
        <f>Biodata!B25</f>
        <v>181910161</v>
      </c>
      <c r="C23" s="479" t="str">
        <f>Biodata!C25</f>
        <v>HILMAN PUTRA PAMUNGKAS</v>
      </c>
      <c r="D23" s="474">
        <v>75</v>
      </c>
      <c r="E23" s="474" t="s">
        <v>18</v>
      </c>
      <c r="F23" s="474">
        <v>75</v>
      </c>
      <c r="G23" s="474" t="s">
        <v>18</v>
      </c>
    </row>
    <row r="24" spans="1:7">
      <c r="A24" s="474">
        <f>Biodata!A26</f>
        <v>18</v>
      </c>
      <c r="B24" s="478" t="str">
        <f>Biodata!B26</f>
        <v>181910165</v>
      </c>
      <c r="C24" s="479" t="str">
        <f>Biodata!C26</f>
        <v>IHSYA FADILLAH MUSLIM</v>
      </c>
      <c r="D24" s="474">
        <v>70</v>
      </c>
      <c r="E24" s="474" t="s">
        <v>18</v>
      </c>
      <c r="F24" s="474">
        <v>70</v>
      </c>
      <c r="G24" s="474" t="s">
        <v>18</v>
      </c>
    </row>
    <row r="25" spans="1:7">
      <c r="A25" s="474">
        <f>Biodata!A27</f>
        <v>19</v>
      </c>
      <c r="B25" s="478" t="str">
        <f>Biodata!B27</f>
        <v>181910185</v>
      </c>
      <c r="C25" s="479" t="str">
        <f>Biodata!C27</f>
        <v>JIHAD AKBAR</v>
      </c>
      <c r="D25" s="474">
        <v>60</v>
      </c>
      <c r="E25" s="474" t="s">
        <v>19</v>
      </c>
      <c r="F25" s="474">
        <v>60</v>
      </c>
      <c r="G25" s="474" t="s">
        <v>19</v>
      </c>
    </row>
    <row r="26" spans="1:7">
      <c r="A26" s="474">
        <f>Biodata!A28</f>
        <v>20</v>
      </c>
      <c r="B26" s="478" t="str">
        <f>Biodata!B28</f>
        <v>181910226</v>
      </c>
      <c r="C26" s="479" t="str">
        <f>Biodata!C28</f>
        <v>MUHAMAD IZZAZUL FIKRIAN</v>
      </c>
      <c r="D26" s="474">
        <v>72</v>
      </c>
      <c r="E26" s="474" t="s">
        <v>18</v>
      </c>
      <c r="F26" s="474">
        <v>72</v>
      </c>
      <c r="G26" s="474" t="s">
        <v>18</v>
      </c>
    </row>
    <row r="27" spans="1:7">
      <c r="A27" s="474">
        <f>Biodata!A29</f>
        <v>21</v>
      </c>
      <c r="B27" s="478" t="str">
        <f>Biodata!B29</f>
        <v>181910240</v>
      </c>
      <c r="C27" s="479" t="str">
        <f>Biodata!C29</f>
        <v>NESHA RAUDHATUL ZANNAH</v>
      </c>
      <c r="D27" s="474">
        <v>78</v>
      </c>
      <c r="E27" s="474" t="s">
        <v>6</v>
      </c>
      <c r="F27" s="474">
        <v>75</v>
      </c>
      <c r="G27" s="474" t="s">
        <v>18</v>
      </c>
    </row>
    <row r="28" spans="1:7">
      <c r="A28" s="474">
        <f>Biodata!A30</f>
        <v>22</v>
      </c>
      <c r="B28" s="478" t="str">
        <f>Biodata!B30</f>
        <v>181910262</v>
      </c>
      <c r="C28" s="479" t="str">
        <f>Biodata!C30</f>
        <v>PUTRI ANGGRAENI</v>
      </c>
      <c r="D28" s="474">
        <v>72</v>
      </c>
      <c r="E28" s="474" t="s">
        <v>18</v>
      </c>
      <c r="F28" s="474">
        <v>70</v>
      </c>
      <c r="G28" s="474" t="s">
        <v>18</v>
      </c>
    </row>
    <row r="29" spans="1:7">
      <c r="A29" s="474">
        <f>Biodata!A31</f>
        <v>23</v>
      </c>
      <c r="B29" s="478" t="str">
        <f>Biodata!B31</f>
        <v>181910266</v>
      </c>
      <c r="C29" s="479" t="str">
        <f>Biodata!C31</f>
        <v>PUTRI WULANDARI</v>
      </c>
      <c r="D29" s="474">
        <v>72</v>
      </c>
      <c r="E29" s="474" t="s">
        <v>18</v>
      </c>
      <c r="F29" s="474">
        <v>74</v>
      </c>
      <c r="G29" s="474" t="s">
        <v>18</v>
      </c>
    </row>
    <row r="30" spans="1:7">
      <c r="A30" s="474">
        <f>Biodata!A32</f>
        <v>24</v>
      </c>
      <c r="B30" s="478" t="str">
        <f>Biodata!B32</f>
        <v>181910272</v>
      </c>
      <c r="C30" s="479" t="str">
        <f>Biodata!C32</f>
        <v>RAFLY GYMNASTIAR</v>
      </c>
      <c r="D30" s="474">
        <v>72</v>
      </c>
      <c r="E30" s="474" t="s">
        <v>18</v>
      </c>
      <c r="F30" s="474">
        <v>72</v>
      </c>
      <c r="G30" s="474" t="s">
        <v>18</v>
      </c>
    </row>
    <row r="31" spans="1:7">
      <c r="A31" s="474">
        <f>Biodata!A33</f>
        <v>25</v>
      </c>
      <c r="B31" s="478" t="str">
        <f>Biodata!B33</f>
        <v>181910280</v>
      </c>
      <c r="C31" s="479" t="str">
        <f>Biodata!C33</f>
        <v>REFIANA</v>
      </c>
      <c r="D31" s="474">
        <v>74</v>
      </c>
      <c r="E31" s="474" t="s">
        <v>18</v>
      </c>
      <c r="F31" s="474">
        <v>72</v>
      </c>
      <c r="G31" s="474" t="s">
        <v>18</v>
      </c>
    </row>
    <row r="32" spans="1:7">
      <c r="A32" s="474">
        <f>Biodata!A34</f>
        <v>26</v>
      </c>
      <c r="B32" s="478" t="str">
        <f>Biodata!B34</f>
        <v>181910285</v>
      </c>
      <c r="C32" s="479" t="str">
        <f>Biodata!C34</f>
        <v>RENALDI PRIYATAMA</v>
      </c>
      <c r="D32" s="474">
        <v>60</v>
      </c>
      <c r="E32" s="474" t="s">
        <v>429</v>
      </c>
      <c r="F32" s="474">
        <v>60</v>
      </c>
      <c r="G32" s="474" t="s">
        <v>19</v>
      </c>
    </row>
    <row r="33" spans="1:7">
      <c r="A33" s="474">
        <f>Biodata!A35</f>
        <v>27</v>
      </c>
      <c r="B33" s="478" t="str">
        <f>Biodata!B35</f>
        <v>181910286</v>
      </c>
      <c r="C33" s="479" t="str">
        <f>Biodata!C35</f>
        <v>RENATA</v>
      </c>
      <c r="D33" s="474">
        <v>75</v>
      </c>
      <c r="E33" s="474" t="s">
        <v>18</v>
      </c>
      <c r="F33" s="474">
        <v>72</v>
      </c>
      <c r="G33" s="474" t="s">
        <v>18</v>
      </c>
    </row>
    <row r="34" spans="1:7">
      <c r="A34" s="474">
        <f>Biodata!A36</f>
        <v>28</v>
      </c>
      <c r="B34" s="478" t="str">
        <f>Biodata!B36</f>
        <v>181910293</v>
      </c>
      <c r="C34" s="479" t="str">
        <f>Biodata!C36</f>
        <v xml:space="preserve">REZA ERNANDA </v>
      </c>
      <c r="D34" s="474">
        <v>75</v>
      </c>
      <c r="E34" s="474" t="s">
        <v>18</v>
      </c>
      <c r="F34" s="474">
        <v>72</v>
      </c>
      <c r="G34" s="474" t="s">
        <v>18</v>
      </c>
    </row>
    <row r="35" spans="1:7">
      <c r="A35" s="474">
        <f>Biodata!A37</f>
        <v>29</v>
      </c>
      <c r="B35" s="478" t="str">
        <f>Biodata!B37</f>
        <v>181910300</v>
      </c>
      <c r="C35" s="479" t="str">
        <f>Biodata!C37</f>
        <v>RIFAN MUHAMAD RIZKI</v>
      </c>
      <c r="D35" s="474">
        <v>74</v>
      </c>
      <c r="E35" s="474" t="s">
        <v>18</v>
      </c>
      <c r="F35" s="474">
        <f t="shared" ref="F35:F46" si="0">IFERROR(VLOOKUP(B35&amp;"B",leggerx1,15,0),"")</f>
        <v>0</v>
      </c>
      <c r="G35" s="474" t="str">
        <f t="shared" ref="G35:G46" si="1">IFERROR(VLOOKUP(B35&amp;"D",leggerx1,15,0),"")</f>
        <v/>
      </c>
    </row>
    <row r="36" spans="1:7">
      <c r="A36" s="474">
        <f>Biodata!A38</f>
        <v>30</v>
      </c>
      <c r="B36" s="478" t="str">
        <f>Biodata!B38</f>
        <v>181910318</v>
      </c>
      <c r="C36" s="479" t="str">
        <f>Biodata!C38</f>
        <v>RISMA SURYANI</v>
      </c>
      <c r="D36" s="474">
        <f t="shared" ref="D36:D46" si="2">IFERROR(VLOOKUP(B36&amp;"A",leggerx1,15,0),"")</f>
        <v>80</v>
      </c>
      <c r="E36" s="474" t="str">
        <f t="shared" ref="E36:E46" si="3">IFERROR(VLOOKUP(B36&amp;"C",leggerx1,15,0),"")</f>
        <v>B</v>
      </c>
      <c r="F36" s="474">
        <v>75</v>
      </c>
      <c r="G36" s="474" t="s">
        <v>18</v>
      </c>
    </row>
    <row r="37" spans="1:7">
      <c r="A37" s="474">
        <f>Biodata!A39</f>
        <v>31</v>
      </c>
      <c r="B37" s="478" t="str">
        <f>Biodata!B39</f>
        <v>181910320</v>
      </c>
      <c r="C37" s="479" t="str">
        <f>Biodata!C39</f>
        <v>RISNA TIRANI</v>
      </c>
      <c r="D37" s="474">
        <v>80</v>
      </c>
      <c r="E37" s="474" t="s">
        <v>6</v>
      </c>
      <c r="F37" s="474">
        <v>78</v>
      </c>
      <c r="G37" s="474" t="s">
        <v>6</v>
      </c>
    </row>
    <row r="38" spans="1:7">
      <c r="A38" s="474">
        <f>Biodata!A40</f>
        <v>32</v>
      </c>
      <c r="B38" s="478" t="str">
        <f>Biodata!B40</f>
        <v>181910331</v>
      </c>
      <c r="C38" s="479" t="str">
        <f>Biodata!C40</f>
        <v>RULLY PRATAMA S.</v>
      </c>
      <c r="D38" s="474">
        <v>80</v>
      </c>
      <c r="E38" s="474" t="s">
        <v>6</v>
      </c>
      <c r="F38" s="474">
        <v>72</v>
      </c>
      <c r="G38" s="474" t="s">
        <v>18</v>
      </c>
    </row>
    <row r="39" spans="1:7">
      <c r="A39" s="474">
        <f>Biodata!A41</f>
        <v>33</v>
      </c>
      <c r="B39" s="478" t="str">
        <f>Biodata!B41</f>
        <v>181910335</v>
      </c>
      <c r="C39" s="479" t="str">
        <f>Biodata!C41</f>
        <v>SALSA ASYKIYA</v>
      </c>
      <c r="D39" s="474">
        <v>74</v>
      </c>
      <c r="E39" s="474" t="s">
        <v>18</v>
      </c>
      <c r="F39" s="474">
        <v>76</v>
      </c>
      <c r="G39" s="474" t="s">
        <v>18</v>
      </c>
    </row>
    <row r="40" spans="1:7">
      <c r="A40" s="474">
        <f>Biodata!A42</f>
        <v>34</v>
      </c>
      <c r="B40" s="478" t="str">
        <f>Biodata!B42</f>
        <v>181910353</v>
      </c>
      <c r="C40" s="479" t="str">
        <f>Biodata!C42</f>
        <v>SILFI HAMIDAH</v>
      </c>
      <c r="D40" s="474">
        <v>78</v>
      </c>
      <c r="E40" s="474" t="s">
        <v>6</v>
      </c>
      <c r="F40" s="474">
        <v>76</v>
      </c>
      <c r="G40" s="474" t="s">
        <v>18</v>
      </c>
    </row>
    <row r="41" spans="1:7">
      <c r="A41" s="474">
        <f>Biodata!A43</f>
        <v>35</v>
      </c>
      <c r="B41" s="478" t="str">
        <f>Biodata!B43</f>
        <v>181910408</v>
      </c>
      <c r="C41" s="479" t="str">
        <f>Biodata!C43</f>
        <v>YESHA RAHAYU</v>
      </c>
      <c r="D41" s="474">
        <v>72</v>
      </c>
      <c r="E41" s="474" t="s">
        <v>18</v>
      </c>
      <c r="F41" s="474">
        <v>72</v>
      </c>
      <c r="G41" s="474" t="s">
        <v>18</v>
      </c>
    </row>
    <row r="42" spans="1:7">
      <c r="A42" s="474">
        <f>Biodata!A44</f>
        <v>36</v>
      </c>
      <c r="B42" s="478" t="str">
        <f>Biodata!B44</f>
        <v>181910433</v>
      </c>
      <c r="C42" s="479" t="str">
        <f>Biodata!C44</f>
        <v>MUHAMAD RIZAL</v>
      </c>
      <c r="D42" s="474">
        <v>70</v>
      </c>
      <c r="E42" s="474" t="s">
        <v>18</v>
      </c>
      <c r="F42" s="474">
        <v>70</v>
      </c>
      <c r="G42" s="474" t="s">
        <v>18</v>
      </c>
    </row>
    <row r="43" spans="1:7">
      <c r="A43" s="474">
        <f>Biodata!A45</f>
        <v>37</v>
      </c>
      <c r="B43" s="478" t="str">
        <f>Biodata!B45</f>
        <v>037</v>
      </c>
      <c r="C43" s="479" t="str">
        <f>Biodata!C45</f>
        <v>A37</v>
      </c>
      <c r="E43" s="474" t="str">
        <f t="shared" si="3"/>
        <v/>
      </c>
      <c r="F43" s="474">
        <f t="shared" si="0"/>
        <v>0</v>
      </c>
      <c r="G43" s="474" t="str">
        <f t="shared" si="1"/>
        <v/>
      </c>
    </row>
    <row r="44" spans="1:7">
      <c r="A44" s="474">
        <f>Biodata!A46</f>
        <v>38</v>
      </c>
      <c r="B44" s="478" t="str">
        <f>Biodata!B46</f>
        <v>038</v>
      </c>
      <c r="C44" s="479" t="str">
        <f>Biodata!C46</f>
        <v>A38</v>
      </c>
      <c r="D44" s="474">
        <f t="shared" si="2"/>
        <v>0</v>
      </c>
      <c r="E44" s="474" t="str">
        <f t="shared" si="3"/>
        <v/>
      </c>
      <c r="F44" s="474">
        <f t="shared" si="0"/>
        <v>0</v>
      </c>
      <c r="G44" s="474" t="str">
        <f t="shared" si="1"/>
        <v/>
      </c>
    </row>
    <row r="45" spans="1:7">
      <c r="A45" s="474">
        <f>Biodata!A47</f>
        <v>39</v>
      </c>
      <c r="B45" s="478" t="str">
        <f>Biodata!B47</f>
        <v>039</v>
      </c>
      <c r="C45" s="479" t="str">
        <f>Biodata!C47</f>
        <v>A39</v>
      </c>
      <c r="D45" s="474">
        <f t="shared" si="2"/>
        <v>0</v>
      </c>
      <c r="E45" s="474" t="str">
        <f t="shared" si="3"/>
        <v/>
      </c>
      <c r="F45" s="474">
        <f t="shared" si="0"/>
        <v>0</v>
      </c>
      <c r="G45" s="474" t="str">
        <f t="shared" si="1"/>
        <v/>
      </c>
    </row>
    <row r="46" spans="1:7">
      <c r="A46" s="474">
        <f>Biodata!A48</f>
        <v>40</v>
      </c>
      <c r="B46" s="478" t="str">
        <f>Biodata!B48</f>
        <v>040</v>
      </c>
      <c r="C46" s="479" t="str">
        <f>Biodata!C48</f>
        <v>A40</v>
      </c>
      <c r="D46" s="474">
        <f t="shared" si="2"/>
        <v>0</v>
      </c>
      <c r="E46" s="474" t="str">
        <f t="shared" si="3"/>
        <v/>
      </c>
      <c r="F46" s="474">
        <f t="shared" si="0"/>
        <v>0</v>
      </c>
      <c r="G46" s="474" t="str">
        <f t="shared" si="1"/>
        <v/>
      </c>
    </row>
    <row r="47" spans="1:7">
      <c r="C47" s="483"/>
    </row>
    <row r="48" spans="1:7">
      <c r="C48" s="483"/>
    </row>
    <row r="49" spans="3:3" s="475" customFormat="1" ht="11.25">
      <c r="C49" s="483"/>
    </row>
    <row r="50" spans="3:3" s="475" customFormat="1" ht="11.25">
      <c r="C50" s="48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0"/>
  <sheetViews>
    <sheetView topLeftCell="A16" workbookViewId="0">
      <selection activeCell="Q45" sqref="Q45"/>
    </sheetView>
  </sheetViews>
  <sheetFormatPr defaultColWidth="9" defaultRowHeight="12.75"/>
  <cols>
    <col min="1" max="1" width="3.7109375" style="474" customWidth="1"/>
    <col min="2" max="2" width="7.140625" style="474" customWidth="1"/>
    <col min="3" max="3" width="21.7109375" style="475" customWidth="1"/>
    <col min="4" max="4" width="11.85546875" style="474" customWidth="1"/>
    <col min="5" max="5" width="8" style="474" customWidth="1"/>
    <col min="6" max="6" width="12" style="474" customWidth="1"/>
    <col min="7" max="7" width="8" style="474" customWidth="1"/>
    <col min="8" max="256" width="9.140625" style="475" customWidth="1"/>
  </cols>
  <sheetData>
    <row r="1" spans="1:7">
      <c r="C1" s="476" t="s">
        <v>329</v>
      </c>
      <c r="D1" s="477" t="str">
        <f>Biodata!C4</f>
        <v xml:space="preserve"> X / IPS_5</v>
      </c>
    </row>
    <row r="2" spans="1:7">
      <c r="C2" s="476" t="s">
        <v>330</v>
      </c>
      <c r="D2" s="477" t="str">
        <f>Biodata!C5</f>
        <v>1 / Ganjil</v>
      </c>
    </row>
    <row r="3" spans="1:7">
      <c r="D3" s="477"/>
    </row>
    <row r="4" spans="1:7">
      <c r="C4" s="476" t="s">
        <v>331</v>
      </c>
      <c r="D4" s="477" t="str">
        <f>LEGER!S6</f>
        <v>E k o n o m i</v>
      </c>
    </row>
    <row r="5" spans="1:7">
      <c r="C5" s="476" t="s">
        <v>332</v>
      </c>
      <c r="D5" s="477">
        <f>RAPORT!C84</f>
        <v>70</v>
      </c>
    </row>
    <row r="6" spans="1:7">
      <c r="A6" s="474" t="s">
        <v>325</v>
      </c>
      <c r="B6" s="474" t="s">
        <v>10</v>
      </c>
      <c r="C6" s="475" t="s">
        <v>324</v>
      </c>
      <c r="D6" s="474" t="s">
        <v>75</v>
      </c>
      <c r="E6" s="474" t="s">
        <v>71</v>
      </c>
      <c r="F6" s="474" t="s">
        <v>147</v>
      </c>
      <c r="G6" s="474" t="s">
        <v>71</v>
      </c>
    </row>
    <row r="7" spans="1:7">
      <c r="A7" s="474">
        <f>Biodata!A9</f>
        <v>1</v>
      </c>
      <c r="B7" s="478" t="str">
        <f>Biodata!B9</f>
        <v>181910008</v>
      </c>
      <c r="C7" s="479" t="str">
        <f>Biodata!C9</f>
        <v>ADITA TRI KURNIA PUTRI</v>
      </c>
      <c r="D7" s="474">
        <v>60</v>
      </c>
      <c r="E7" s="474" t="s">
        <v>19</v>
      </c>
      <c r="F7" s="474">
        <v>76</v>
      </c>
      <c r="G7" s="474" t="s">
        <v>18</v>
      </c>
    </row>
    <row r="8" spans="1:7">
      <c r="A8" s="474">
        <f>Biodata!A10</f>
        <v>2</v>
      </c>
      <c r="B8" s="478" t="str">
        <f>Biodata!B10</f>
        <v>181910011</v>
      </c>
      <c r="C8" s="479" t="str">
        <f>Biodata!C10</f>
        <v xml:space="preserve">ADNES KOMALA DEWI </v>
      </c>
      <c r="D8" s="474">
        <v>51</v>
      </c>
      <c r="E8" s="474" t="s">
        <v>429</v>
      </c>
      <c r="F8" s="474">
        <v>50</v>
      </c>
      <c r="G8" s="474" t="s">
        <v>429</v>
      </c>
    </row>
    <row r="9" spans="1:7">
      <c r="A9" s="474">
        <f>Biodata!A11</f>
        <v>3</v>
      </c>
      <c r="B9" s="478" t="str">
        <f>Biodata!B11</f>
        <v>181910014</v>
      </c>
      <c r="C9" s="479" t="str">
        <f>Biodata!C11</f>
        <v>AGUNG BUDI PRASTAWA</v>
      </c>
      <c r="D9" s="474">
        <v>57</v>
      </c>
      <c r="E9" s="474" t="s">
        <v>429</v>
      </c>
      <c r="F9" s="474">
        <v>79</v>
      </c>
      <c r="G9" s="474" t="s">
        <v>6</v>
      </c>
    </row>
    <row r="10" spans="1:7">
      <c r="A10" s="474">
        <f>Biodata!A12</f>
        <v>4</v>
      </c>
      <c r="B10" s="478" t="str">
        <f>Biodata!B12</f>
        <v>181910021</v>
      </c>
      <c r="C10" s="479" t="str">
        <f>Biodata!C12</f>
        <v>AISYAH</v>
      </c>
      <c r="D10" s="474">
        <v>59</v>
      </c>
      <c r="E10" s="474" t="s">
        <v>429</v>
      </c>
      <c r="F10" s="474">
        <v>81</v>
      </c>
      <c r="G10" s="474" t="s">
        <v>6</v>
      </c>
    </row>
    <row r="11" spans="1:7">
      <c r="A11" s="474">
        <f>Biodata!A13</f>
        <v>5</v>
      </c>
      <c r="B11" s="478" t="str">
        <f>Biodata!B13</f>
        <v>181910045</v>
      </c>
      <c r="C11" s="479" t="str">
        <f>Biodata!C13</f>
        <v>ARYA DYTA WIGUNA</v>
      </c>
      <c r="D11" s="474">
        <v>60</v>
      </c>
      <c r="E11" s="474" t="s">
        <v>19</v>
      </c>
      <c r="F11" s="474">
        <v>50</v>
      </c>
      <c r="G11" s="474" t="s">
        <v>429</v>
      </c>
    </row>
    <row r="12" spans="1:7">
      <c r="A12" s="474">
        <f>Biodata!A14</f>
        <v>6</v>
      </c>
      <c r="B12" s="478" t="str">
        <f>Biodata!B14</f>
        <v>181910054</v>
      </c>
      <c r="C12" s="479" t="str">
        <f>Biodata!C14</f>
        <v>AZRIEL TAMA SANTIAJI</v>
      </c>
      <c r="D12" s="474">
        <v>60</v>
      </c>
      <c r="E12" s="474" t="s">
        <v>19</v>
      </c>
      <c r="F12" s="474">
        <v>76</v>
      </c>
      <c r="G12" s="474" t="s">
        <v>18</v>
      </c>
    </row>
    <row r="13" spans="1:7">
      <c r="A13" s="474">
        <f>Biodata!A15</f>
        <v>7</v>
      </c>
      <c r="B13" s="478" t="str">
        <f>Biodata!B15</f>
        <v>181910055</v>
      </c>
      <c r="C13" s="479" t="str">
        <f>Biodata!C15</f>
        <v>AZZUHRI HAUDI</v>
      </c>
      <c r="D13" s="474">
        <v>56</v>
      </c>
      <c r="E13" s="474" t="s">
        <v>19</v>
      </c>
      <c r="F13" s="474">
        <v>78</v>
      </c>
      <c r="G13" s="474" t="s">
        <v>6</v>
      </c>
    </row>
    <row r="14" spans="1:7">
      <c r="A14" s="474">
        <f>Biodata!A16</f>
        <v>8</v>
      </c>
      <c r="B14" s="478" t="str">
        <f>Biodata!B16</f>
        <v>181910056</v>
      </c>
      <c r="C14" s="479" t="str">
        <f>Biodata!C16</f>
        <v>BAYU BATARA SURYA PUTRA</v>
      </c>
      <c r="D14" s="474">
        <v>61</v>
      </c>
      <c r="E14" s="474" t="s">
        <v>19</v>
      </c>
      <c r="F14" s="474">
        <v>50</v>
      </c>
      <c r="G14" s="474" t="s">
        <v>429</v>
      </c>
    </row>
    <row r="15" spans="1:7">
      <c r="A15" s="474">
        <f>Biodata!A17</f>
        <v>9</v>
      </c>
      <c r="B15" s="478" t="str">
        <f>Biodata!B17</f>
        <v>181910069</v>
      </c>
      <c r="C15" s="479" t="str">
        <f>Biodata!C17</f>
        <v>DANDY ERVAN PRATAMA</v>
      </c>
      <c r="D15" s="474">
        <v>54</v>
      </c>
      <c r="E15" s="474" t="s">
        <v>429</v>
      </c>
      <c r="F15" s="474">
        <v>50</v>
      </c>
      <c r="G15" s="474" t="s">
        <v>429</v>
      </c>
    </row>
    <row r="16" spans="1:7">
      <c r="A16" s="474">
        <f>Biodata!A18</f>
        <v>10</v>
      </c>
      <c r="B16" s="478" t="str">
        <f>Biodata!B18</f>
        <v>181910085</v>
      </c>
      <c r="C16" s="479" t="str">
        <f>Biodata!C18</f>
        <v>DENISA ASTI RAHMAWATI</v>
      </c>
      <c r="D16" s="474">
        <v>50</v>
      </c>
      <c r="E16" s="474" t="s">
        <v>429</v>
      </c>
      <c r="F16" s="474">
        <v>50</v>
      </c>
      <c r="G16" s="474" t="s">
        <v>429</v>
      </c>
    </row>
    <row r="17" spans="1:7">
      <c r="A17" s="474">
        <f>Biodata!A19</f>
        <v>11</v>
      </c>
      <c r="B17" s="478" t="str">
        <f>Biodata!B19</f>
        <v>181910093</v>
      </c>
      <c r="C17" s="479" t="str">
        <f>Biodata!C19</f>
        <v>DIAN RAMDHAN SAPTIAN</v>
      </c>
      <c r="D17" s="474">
        <v>53</v>
      </c>
      <c r="E17" s="474" t="s">
        <v>429</v>
      </c>
      <c r="F17" s="474">
        <v>80</v>
      </c>
      <c r="G17" s="474" t="s">
        <v>6</v>
      </c>
    </row>
    <row r="18" spans="1:7">
      <c r="A18" s="474">
        <f>Biodata!A20</f>
        <v>12</v>
      </c>
      <c r="B18" s="478" t="str">
        <f>Biodata!B20</f>
        <v>181910103</v>
      </c>
      <c r="C18" s="479" t="str">
        <f>Biodata!C20</f>
        <v>DIVYA ADHIANI NURDIN</v>
      </c>
      <c r="D18" s="474">
        <v>59</v>
      </c>
      <c r="E18" s="474" t="s">
        <v>429</v>
      </c>
      <c r="F18" s="474">
        <v>50</v>
      </c>
      <c r="G18" s="474" t="s">
        <v>429</v>
      </c>
    </row>
    <row r="19" spans="1:7">
      <c r="A19" s="474">
        <f>Biodata!A21</f>
        <v>13</v>
      </c>
      <c r="B19" s="478" t="str">
        <f>Biodata!B21</f>
        <v>181910104</v>
      </c>
      <c r="C19" s="479" t="str">
        <f>Biodata!C21</f>
        <v>DWIKI DERMAWAN</v>
      </c>
      <c r="D19" s="474">
        <v>50</v>
      </c>
      <c r="E19" s="474" t="s">
        <v>429</v>
      </c>
      <c r="F19" s="474">
        <v>50</v>
      </c>
      <c r="G19" s="474" t="s">
        <v>429</v>
      </c>
    </row>
    <row r="20" spans="1:7">
      <c r="A20" s="474">
        <f>Biodata!A22</f>
        <v>14</v>
      </c>
      <c r="B20" s="478" t="str">
        <f>Biodata!B22</f>
        <v>181910118</v>
      </c>
      <c r="C20" s="479" t="str">
        <f>Biodata!C22</f>
        <v>ENCEP CANDRA</v>
      </c>
      <c r="D20" s="474">
        <v>61</v>
      </c>
      <c r="E20" s="474" t="s">
        <v>19</v>
      </c>
      <c r="F20" s="474">
        <v>50</v>
      </c>
      <c r="G20" s="474" t="s">
        <v>429</v>
      </c>
    </row>
    <row r="21" spans="1:7">
      <c r="A21" s="474">
        <f>Biodata!A23</f>
        <v>15</v>
      </c>
      <c r="B21" s="478" t="str">
        <f>Biodata!B23</f>
        <v>181910128</v>
      </c>
      <c r="C21" s="479" t="str">
        <f>Biodata!C23</f>
        <v>FAIZAL EGI</v>
      </c>
      <c r="D21" s="474">
        <v>59</v>
      </c>
      <c r="E21" s="474" t="s">
        <v>429</v>
      </c>
      <c r="F21" s="474">
        <v>50</v>
      </c>
      <c r="G21" s="474" t="s">
        <v>429</v>
      </c>
    </row>
    <row r="22" spans="1:7">
      <c r="A22" s="474">
        <f>Biodata!A24</f>
        <v>16</v>
      </c>
      <c r="B22" s="478" t="str">
        <f>Biodata!B24</f>
        <v>181910133</v>
      </c>
      <c r="C22" s="479" t="str">
        <f>Biodata!C24</f>
        <v>FAUZI DHALFADLIL AZHANI</v>
      </c>
      <c r="D22" s="474">
        <v>61</v>
      </c>
      <c r="E22" s="474" t="s">
        <v>19</v>
      </c>
      <c r="F22" s="474">
        <v>65</v>
      </c>
      <c r="G22" s="474" t="s">
        <v>19</v>
      </c>
    </row>
    <row r="23" spans="1:7">
      <c r="A23" s="474">
        <f>Biodata!A25</f>
        <v>17</v>
      </c>
      <c r="B23" s="478" t="str">
        <f>Biodata!B25</f>
        <v>181910161</v>
      </c>
      <c r="C23" s="479" t="str">
        <f>Biodata!C25</f>
        <v>HILMAN PUTRA PAMUNGKAS</v>
      </c>
      <c r="D23" s="474">
        <v>35</v>
      </c>
      <c r="E23" s="474" t="s">
        <v>429</v>
      </c>
      <c r="F23" s="474">
        <v>50</v>
      </c>
      <c r="G23" s="474" t="s">
        <v>429</v>
      </c>
    </row>
    <row r="24" spans="1:7">
      <c r="A24" s="474">
        <f>Biodata!A26</f>
        <v>18</v>
      </c>
      <c r="B24" s="478" t="str">
        <f>Biodata!B26</f>
        <v>181910165</v>
      </c>
      <c r="C24" s="479" t="str">
        <f>Biodata!C26</f>
        <v>IHSYA FADILLAH MUSLIM</v>
      </c>
      <c r="D24" s="474">
        <v>35</v>
      </c>
      <c r="E24" s="474" t="s">
        <v>429</v>
      </c>
      <c r="F24" s="474">
        <v>90</v>
      </c>
      <c r="G24" s="474" t="s">
        <v>7</v>
      </c>
    </row>
    <row r="25" spans="1:7">
      <c r="A25" s="474">
        <f>Biodata!A27</f>
        <v>19</v>
      </c>
      <c r="B25" s="478" t="str">
        <f>Biodata!B27</f>
        <v>181910185</v>
      </c>
      <c r="C25" s="479" t="str">
        <f>Biodata!C27</f>
        <v>JIHAD AKBAR</v>
      </c>
      <c r="D25" s="474">
        <v>61</v>
      </c>
      <c r="E25" s="474" t="s">
        <v>19</v>
      </c>
      <c r="F25" s="474">
        <v>52</v>
      </c>
      <c r="G25" s="474" t="s">
        <v>429</v>
      </c>
    </row>
    <row r="26" spans="1:7">
      <c r="A26" s="474">
        <f>Biodata!A28</f>
        <v>20</v>
      </c>
      <c r="B26" s="478" t="str">
        <f>Biodata!B28</f>
        <v>181910226</v>
      </c>
      <c r="C26" s="479" t="str">
        <f>Biodata!C28</f>
        <v>MUHAMAD IZZAZUL FIKRIAN</v>
      </c>
      <c r="D26" s="474">
        <v>61</v>
      </c>
      <c r="E26" s="474" t="s">
        <v>19</v>
      </c>
      <c r="F26" s="474">
        <v>80</v>
      </c>
      <c r="G26" s="474" t="s">
        <v>6</v>
      </c>
    </row>
    <row r="27" spans="1:7">
      <c r="A27" s="474">
        <f>Biodata!A29</f>
        <v>21</v>
      </c>
      <c r="B27" s="478" t="str">
        <f>Biodata!B29</f>
        <v>181910240</v>
      </c>
      <c r="C27" s="479" t="str">
        <f>Biodata!C29</f>
        <v>NESHA RAUDHATUL ZANNAH</v>
      </c>
      <c r="D27" s="474">
        <v>50</v>
      </c>
      <c r="E27" s="474" t="s">
        <v>429</v>
      </c>
      <c r="F27" s="474">
        <v>50</v>
      </c>
      <c r="G27" s="474" t="s">
        <v>19</v>
      </c>
    </row>
    <row r="28" spans="1:7">
      <c r="A28" s="474">
        <f>Biodata!A30</f>
        <v>22</v>
      </c>
      <c r="B28" s="478" t="str">
        <f>Biodata!B30</f>
        <v>181910262</v>
      </c>
      <c r="C28" s="479" t="str">
        <f>Biodata!C30</f>
        <v>PUTRI ANGGRAENI</v>
      </c>
      <c r="D28" s="474">
        <v>47</v>
      </c>
      <c r="E28" s="474" t="s">
        <v>429</v>
      </c>
      <c r="F28" s="474">
        <v>84</v>
      </c>
      <c r="G28" s="474" t="s">
        <v>6</v>
      </c>
    </row>
    <row r="29" spans="1:7">
      <c r="A29" s="474">
        <f>Biodata!A31</f>
        <v>23</v>
      </c>
      <c r="B29" s="478" t="str">
        <f>Biodata!B31</f>
        <v>181910266</v>
      </c>
      <c r="C29" s="479" t="str">
        <f>Biodata!C31</f>
        <v>PUTRI WULANDARI</v>
      </c>
      <c r="D29" s="474">
        <v>43</v>
      </c>
      <c r="E29" s="474" t="s">
        <v>429</v>
      </c>
      <c r="F29" s="474">
        <v>50</v>
      </c>
      <c r="G29" s="474" t="s">
        <v>429</v>
      </c>
    </row>
    <row r="30" spans="1:7">
      <c r="A30" s="474">
        <f>Biodata!A32</f>
        <v>24</v>
      </c>
      <c r="B30" s="478" t="str">
        <f>Biodata!B32</f>
        <v>181910272</v>
      </c>
      <c r="C30" s="479" t="str">
        <f>Biodata!C32</f>
        <v>RAFLY GYMNASTIAR</v>
      </c>
      <c r="D30" s="474">
        <v>54</v>
      </c>
      <c r="E30" s="474" t="s">
        <v>429</v>
      </c>
      <c r="F30" s="474">
        <v>50</v>
      </c>
      <c r="G30" s="474" t="s">
        <v>429</v>
      </c>
    </row>
    <row r="31" spans="1:7">
      <c r="A31" s="474">
        <f>Biodata!A33</f>
        <v>25</v>
      </c>
      <c r="B31" s="478" t="str">
        <f>Biodata!B33</f>
        <v>181910280</v>
      </c>
      <c r="C31" s="479" t="str">
        <f>Biodata!C33</f>
        <v>REFIANA</v>
      </c>
      <c r="D31" s="474">
        <v>61</v>
      </c>
      <c r="E31" s="474" t="s">
        <v>19</v>
      </c>
      <c r="F31" s="474">
        <v>50</v>
      </c>
      <c r="G31" s="474" t="s">
        <v>429</v>
      </c>
    </row>
    <row r="32" spans="1:7">
      <c r="A32" s="474">
        <f>Biodata!A34</f>
        <v>26</v>
      </c>
      <c r="B32" s="478" t="str">
        <f>Biodata!B34</f>
        <v>181910285</v>
      </c>
      <c r="C32" s="479" t="str">
        <f>Biodata!C34</f>
        <v>RENALDI PRIYATAMA</v>
      </c>
      <c r="D32" s="474">
        <v>51</v>
      </c>
      <c r="E32" s="474" t="s">
        <v>429</v>
      </c>
      <c r="F32" s="474">
        <v>50</v>
      </c>
      <c r="G32" s="474" t="s">
        <v>429</v>
      </c>
    </row>
    <row r="33" spans="1:7">
      <c r="A33" s="474">
        <f>Biodata!A35</f>
        <v>27</v>
      </c>
      <c r="B33" s="478" t="str">
        <f>Biodata!B35</f>
        <v>181910286</v>
      </c>
      <c r="C33" s="479" t="str">
        <f>Biodata!C35</f>
        <v>RENATA</v>
      </c>
      <c r="D33" s="474">
        <v>51</v>
      </c>
      <c r="E33" s="474" t="s">
        <v>429</v>
      </c>
      <c r="F33" s="474">
        <v>85</v>
      </c>
      <c r="G33" s="474" t="s">
        <v>6</v>
      </c>
    </row>
    <row r="34" spans="1:7">
      <c r="A34" s="474">
        <f>Biodata!A36</f>
        <v>28</v>
      </c>
      <c r="B34" s="478" t="str">
        <f>Biodata!B36</f>
        <v>181910293</v>
      </c>
      <c r="C34" s="479" t="str">
        <f>Biodata!C36</f>
        <v xml:space="preserve">REZA ERNANDA </v>
      </c>
      <c r="D34" s="474">
        <v>56</v>
      </c>
      <c r="E34" s="474" t="s">
        <v>429</v>
      </c>
      <c r="F34" s="474">
        <v>79</v>
      </c>
      <c r="G34" s="474" t="s">
        <v>6</v>
      </c>
    </row>
    <row r="35" spans="1:7">
      <c r="A35" s="474">
        <f>Biodata!A37</f>
        <v>29</v>
      </c>
      <c r="B35" s="478" t="str">
        <f>Biodata!B37</f>
        <v>181910300</v>
      </c>
      <c r="C35" s="479" t="str">
        <f>Biodata!C37</f>
        <v>RIFAN MUHAMAD RIZKI</v>
      </c>
      <c r="D35" s="474">
        <v>35</v>
      </c>
      <c r="E35" s="474" t="s">
        <v>429</v>
      </c>
      <c r="F35" s="474">
        <v>50</v>
      </c>
      <c r="G35" s="474" t="s">
        <v>429</v>
      </c>
    </row>
    <row r="36" spans="1:7">
      <c r="A36" s="474">
        <f>Biodata!A38</f>
        <v>30</v>
      </c>
      <c r="B36" s="478" t="str">
        <f>Biodata!B38</f>
        <v>181910318</v>
      </c>
      <c r="C36" s="479" t="str">
        <f>Biodata!C38</f>
        <v>RISMA SURYANI</v>
      </c>
      <c r="D36" s="474">
        <v>67</v>
      </c>
      <c r="E36" s="474" t="s">
        <v>19</v>
      </c>
      <c r="F36" s="474">
        <v>86</v>
      </c>
      <c r="G36" s="474" t="s">
        <v>6</v>
      </c>
    </row>
    <row r="37" spans="1:7">
      <c r="A37" s="474">
        <f>Biodata!A39</f>
        <v>31</v>
      </c>
      <c r="B37" s="478" t="str">
        <f>Biodata!B39</f>
        <v>181910320</v>
      </c>
      <c r="C37" s="479" t="str">
        <f>Biodata!C39</f>
        <v>RISNA TIRANI</v>
      </c>
      <c r="D37" s="474">
        <v>60</v>
      </c>
      <c r="E37" s="474" t="s">
        <v>19</v>
      </c>
      <c r="F37" s="474">
        <v>86</v>
      </c>
      <c r="G37" s="474" t="s">
        <v>6</v>
      </c>
    </row>
    <row r="38" spans="1:7">
      <c r="A38" s="474">
        <f>Biodata!A40</f>
        <v>32</v>
      </c>
      <c r="B38" s="478" t="str">
        <f>Biodata!B40</f>
        <v>181910331</v>
      </c>
      <c r="C38" s="479" t="str">
        <f>Biodata!C40</f>
        <v>RULLY PRATAMA S.</v>
      </c>
      <c r="D38" s="474">
        <v>51</v>
      </c>
      <c r="E38" s="474" t="s">
        <v>429</v>
      </c>
      <c r="F38" s="474">
        <v>50</v>
      </c>
      <c r="G38" s="474" t="s">
        <v>429</v>
      </c>
    </row>
    <row r="39" spans="1:7">
      <c r="A39" s="474">
        <f>Biodata!A41</f>
        <v>33</v>
      </c>
      <c r="B39" s="478" t="str">
        <f>Biodata!B41</f>
        <v>181910335</v>
      </c>
      <c r="C39" s="479" t="str">
        <f>Biodata!C41</f>
        <v>SALSA ASYKIYA</v>
      </c>
      <c r="D39" s="474">
        <v>53</v>
      </c>
      <c r="E39" s="474" t="s">
        <v>429</v>
      </c>
      <c r="F39" s="474">
        <v>86</v>
      </c>
      <c r="G39" s="474" t="s">
        <v>6</v>
      </c>
    </row>
    <row r="40" spans="1:7">
      <c r="A40" s="474">
        <f>Biodata!A42</f>
        <v>34</v>
      </c>
      <c r="B40" s="478" t="str">
        <f>Biodata!B42</f>
        <v>181910353</v>
      </c>
      <c r="C40" s="479" t="str">
        <f>Biodata!C42</f>
        <v>SILFI HAMIDAH</v>
      </c>
      <c r="D40" s="474">
        <v>51</v>
      </c>
      <c r="E40" s="474" t="s">
        <v>429</v>
      </c>
      <c r="F40" s="474">
        <v>50</v>
      </c>
      <c r="G40" s="474" t="s">
        <v>429</v>
      </c>
    </row>
    <row r="41" spans="1:7">
      <c r="A41" s="474">
        <f>Biodata!A43</f>
        <v>35</v>
      </c>
      <c r="B41" s="478" t="str">
        <f>Biodata!B43</f>
        <v>181910408</v>
      </c>
      <c r="C41" s="479" t="str">
        <f>Biodata!C43</f>
        <v>YESHA RAHAYU</v>
      </c>
      <c r="D41" s="474">
        <v>47</v>
      </c>
      <c r="E41" s="474" t="s">
        <v>429</v>
      </c>
      <c r="F41" s="474">
        <v>50</v>
      </c>
      <c r="G41" s="474" t="s">
        <v>429</v>
      </c>
    </row>
    <row r="42" spans="1:7">
      <c r="A42" s="474">
        <f>Biodata!A44</f>
        <v>36</v>
      </c>
      <c r="B42" s="478" t="str">
        <f>Biodata!B44</f>
        <v>181910433</v>
      </c>
      <c r="C42" s="479" t="str">
        <f>Biodata!C44</f>
        <v>MUHAMAD RIZAL</v>
      </c>
      <c r="D42" s="474">
        <v>51</v>
      </c>
      <c r="E42" s="474" t="s">
        <v>429</v>
      </c>
      <c r="F42" s="474">
        <v>50</v>
      </c>
      <c r="G42" s="474" t="s">
        <v>429</v>
      </c>
    </row>
    <row r="43" spans="1:7">
      <c r="A43" s="474">
        <f>Biodata!A45</f>
        <v>37</v>
      </c>
      <c r="B43" s="478" t="str">
        <f>Biodata!B45</f>
        <v>037</v>
      </c>
      <c r="C43" s="479" t="str">
        <f>Biodata!C45</f>
        <v>A37</v>
      </c>
      <c r="F43" s="474">
        <f t="shared" ref="F43:F46" si="0">IFERROR(VLOOKUP(B43&amp;"B",leggerx1,16,0),"")</f>
        <v>0</v>
      </c>
      <c r="G43" s="474" t="str">
        <f t="shared" ref="G43:G46" si="1">IFERROR(VLOOKUP(B43&amp;"D",leggerx1,16,0),"")</f>
        <v/>
      </c>
    </row>
    <row r="44" spans="1:7">
      <c r="A44" s="474">
        <f>Biodata!A46</f>
        <v>38</v>
      </c>
      <c r="B44" s="478" t="str">
        <f>Biodata!B46</f>
        <v>038</v>
      </c>
      <c r="C44" s="479" t="str">
        <f>Biodata!C46</f>
        <v>A38</v>
      </c>
      <c r="E44" s="474" t="str">
        <f t="shared" ref="E44:E46" si="2">IFERROR(VLOOKUP(B44&amp;"C",leggerx1,16,0),"")</f>
        <v/>
      </c>
      <c r="F44" s="474">
        <f t="shared" si="0"/>
        <v>0</v>
      </c>
      <c r="G44" s="474" t="str">
        <f t="shared" si="1"/>
        <v/>
      </c>
    </row>
    <row r="45" spans="1:7">
      <c r="A45" s="474">
        <f>Biodata!A47</f>
        <v>39</v>
      </c>
      <c r="B45" s="478" t="str">
        <f>Biodata!B47</f>
        <v>039</v>
      </c>
      <c r="C45" s="479" t="str">
        <f>Biodata!C47</f>
        <v>A39</v>
      </c>
      <c r="D45" s="474">
        <f t="shared" ref="D45:D46" si="3">IFERROR(VLOOKUP(B45&amp;"A",leggerx1,16,0),"")</f>
        <v>0</v>
      </c>
      <c r="E45" s="474" t="str">
        <f t="shared" si="2"/>
        <v/>
      </c>
      <c r="F45" s="474">
        <f t="shared" si="0"/>
        <v>0</v>
      </c>
      <c r="G45" s="474" t="str">
        <f t="shared" si="1"/>
        <v/>
      </c>
    </row>
    <row r="46" spans="1:7">
      <c r="A46" s="474">
        <f>Biodata!A48</f>
        <v>40</v>
      </c>
      <c r="B46" s="478" t="str">
        <f>Biodata!B48</f>
        <v>040</v>
      </c>
      <c r="C46" s="479" t="str">
        <f>Biodata!C48</f>
        <v>A40</v>
      </c>
      <c r="D46" s="474">
        <f t="shared" si="3"/>
        <v>0</v>
      </c>
      <c r="E46" s="474" t="str">
        <f t="shared" si="2"/>
        <v/>
      </c>
      <c r="F46" s="474">
        <f t="shared" si="0"/>
        <v>0</v>
      </c>
      <c r="G46" s="474" t="str">
        <f t="shared" si="1"/>
        <v/>
      </c>
    </row>
    <row r="47" spans="1:7">
      <c r="C47" s="483"/>
    </row>
    <row r="48" spans="1:7">
      <c r="C48" s="483"/>
    </row>
    <row r="49" spans="3:3" s="475" customFormat="1" ht="11.25">
      <c r="C49" s="483"/>
    </row>
    <row r="50" spans="3:3" s="475" customFormat="1" ht="11.25">
      <c r="C50" s="483"/>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0"/>
  <sheetViews>
    <sheetView topLeftCell="A7" workbookViewId="0">
      <selection activeCell="G43" sqref="G43"/>
    </sheetView>
  </sheetViews>
  <sheetFormatPr defaultColWidth="9" defaultRowHeight="12.75"/>
  <cols>
    <col min="1" max="1" width="3.7109375" style="474" customWidth="1"/>
    <col min="2" max="2" width="7.140625" style="474" customWidth="1"/>
    <col min="3" max="3" width="21.7109375" style="475" customWidth="1"/>
    <col min="4" max="4" width="11.85546875" style="474" customWidth="1"/>
    <col min="5" max="5" width="8" style="474" customWidth="1"/>
    <col min="6" max="6" width="12" style="474" customWidth="1"/>
    <col min="7" max="7" width="8" style="474" customWidth="1"/>
    <col min="8" max="256" width="9.140625" style="475" customWidth="1"/>
  </cols>
  <sheetData>
    <row r="1" spans="1:7">
      <c r="C1" s="476" t="s">
        <v>329</v>
      </c>
      <c r="D1" s="477" t="str">
        <f>Biodata!C4</f>
        <v xml:space="preserve"> X / IPS_5</v>
      </c>
    </row>
    <row r="2" spans="1:7">
      <c r="C2" s="476" t="s">
        <v>330</v>
      </c>
      <c r="D2" s="477" t="str">
        <f>Biodata!C5</f>
        <v>1 / Ganjil</v>
      </c>
    </row>
    <row r="3" spans="1:7">
      <c r="D3" s="477"/>
    </row>
    <row r="4" spans="1:7">
      <c r="C4" s="476" t="s">
        <v>331</v>
      </c>
      <c r="D4" s="477" t="str">
        <f>LEGER!T6</f>
        <v>Bahasa &amp; Sastra Inggris</v>
      </c>
    </row>
    <row r="5" spans="1:7">
      <c r="C5" s="476" t="s">
        <v>332</v>
      </c>
      <c r="D5" s="477">
        <f>RAPORT!C84</f>
        <v>70</v>
      </c>
    </row>
    <row r="6" spans="1:7">
      <c r="A6" s="474" t="s">
        <v>325</v>
      </c>
      <c r="B6" s="474" t="s">
        <v>10</v>
      </c>
      <c r="C6" s="475" t="s">
        <v>324</v>
      </c>
      <c r="D6" s="474" t="s">
        <v>75</v>
      </c>
      <c r="E6" s="474" t="s">
        <v>71</v>
      </c>
      <c r="F6" s="474" t="s">
        <v>147</v>
      </c>
      <c r="G6" s="474" t="s">
        <v>71</v>
      </c>
    </row>
    <row r="7" spans="1:7">
      <c r="A7" s="474">
        <f>Biodata!A9</f>
        <v>1</v>
      </c>
      <c r="B7" s="478" t="str">
        <f>Biodata!B9</f>
        <v>181910008</v>
      </c>
      <c r="C7" s="479" t="str">
        <f>Biodata!C9</f>
        <v>ADITA TRI KURNIA PUTRI</v>
      </c>
      <c r="D7" s="474">
        <v>78</v>
      </c>
      <c r="E7" s="474" t="s">
        <v>6</v>
      </c>
      <c r="F7" s="474">
        <v>83</v>
      </c>
      <c r="G7" s="474" t="s">
        <v>6</v>
      </c>
    </row>
    <row r="8" spans="1:7">
      <c r="A8" s="474">
        <f>Biodata!A10</f>
        <v>2</v>
      </c>
      <c r="B8" s="478" t="str">
        <f>Biodata!B10</f>
        <v>181910011</v>
      </c>
      <c r="C8" s="479" t="str">
        <f>Biodata!C10</f>
        <v xml:space="preserve">ADNES KOMALA DEWI </v>
      </c>
      <c r="D8" s="474">
        <v>53</v>
      </c>
      <c r="E8" s="474" t="s">
        <v>429</v>
      </c>
      <c r="F8" s="474">
        <v>26</v>
      </c>
      <c r="G8" s="474" t="s">
        <v>429</v>
      </c>
    </row>
    <row r="9" spans="1:7">
      <c r="A9" s="474">
        <f>Biodata!A11</f>
        <v>3</v>
      </c>
      <c r="B9" s="478" t="str">
        <f>Biodata!B11</f>
        <v>181910014</v>
      </c>
      <c r="C9" s="479" t="str">
        <f>Biodata!C11</f>
        <v>AGUNG BUDI PRASTAWA</v>
      </c>
      <c r="D9" s="474">
        <v>58</v>
      </c>
      <c r="E9" s="474" t="s">
        <v>429</v>
      </c>
      <c r="F9" s="474">
        <v>10</v>
      </c>
      <c r="G9" s="474" t="s">
        <v>429</v>
      </c>
    </row>
    <row r="10" spans="1:7">
      <c r="A10" s="474">
        <f>Biodata!A12</f>
        <v>4</v>
      </c>
      <c r="B10" s="478" t="str">
        <f>Biodata!B12</f>
        <v>181910021</v>
      </c>
      <c r="C10" s="479" t="str">
        <f>Biodata!C12</f>
        <v>AISYAH</v>
      </c>
      <c r="D10" s="474">
        <v>77</v>
      </c>
      <c r="E10" s="474" t="s">
        <v>6</v>
      </c>
      <c r="F10" s="474">
        <v>28</v>
      </c>
      <c r="G10" s="474" t="s">
        <v>429</v>
      </c>
    </row>
    <row r="11" spans="1:7">
      <c r="A11" s="474">
        <f>Biodata!A13</f>
        <v>5</v>
      </c>
      <c r="B11" s="478" t="str">
        <f>Biodata!B13</f>
        <v>181910045</v>
      </c>
      <c r="C11" s="479" t="str">
        <f>Biodata!C13</f>
        <v>ARYA DYTA WIGUNA</v>
      </c>
      <c r="D11" s="474">
        <v>65</v>
      </c>
      <c r="E11" s="474" t="s">
        <v>19</v>
      </c>
      <c r="F11" s="474">
        <v>56</v>
      </c>
      <c r="G11" s="474" t="s">
        <v>429</v>
      </c>
    </row>
    <row r="12" spans="1:7">
      <c r="A12" s="474">
        <f>Biodata!A14</f>
        <v>6</v>
      </c>
      <c r="B12" s="478" t="str">
        <f>Biodata!B14</f>
        <v>181910054</v>
      </c>
      <c r="C12" s="479" t="str">
        <f>Biodata!C14</f>
        <v>AZRIEL TAMA SANTIAJI</v>
      </c>
      <c r="D12" s="474">
        <v>21</v>
      </c>
      <c r="E12" s="474" t="s">
        <v>429</v>
      </c>
      <c r="F12" s="474">
        <v>10</v>
      </c>
      <c r="G12" s="474" t="s">
        <v>429</v>
      </c>
    </row>
    <row r="13" spans="1:7">
      <c r="A13" s="474">
        <f>Biodata!A15</f>
        <v>7</v>
      </c>
      <c r="B13" s="478" t="str">
        <f>Biodata!B15</f>
        <v>181910055</v>
      </c>
      <c r="C13" s="479" t="str">
        <f>Biodata!C15</f>
        <v>AZZUHRI HAUDI</v>
      </c>
      <c r="D13" s="474">
        <v>81</v>
      </c>
      <c r="E13" s="474" t="s">
        <v>6</v>
      </c>
      <c r="F13" s="474">
        <v>28</v>
      </c>
      <c r="G13" s="474" t="s">
        <v>429</v>
      </c>
    </row>
    <row r="14" spans="1:7">
      <c r="A14" s="474">
        <f>Biodata!A16</f>
        <v>8</v>
      </c>
      <c r="B14" s="478" t="str">
        <f>Biodata!B16</f>
        <v>181910056</v>
      </c>
      <c r="C14" s="479" t="str">
        <f>Biodata!C16</f>
        <v>BAYU BATARA SURYA PUTRA</v>
      </c>
      <c r="D14" s="474">
        <v>65</v>
      </c>
      <c r="E14" s="474" t="s">
        <v>19</v>
      </c>
      <c r="F14" s="474">
        <v>56</v>
      </c>
      <c r="G14" s="474" t="s">
        <v>429</v>
      </c>
    </row>
    <row r="15" spans="1:7">
      <c r="A15" s="474">
        <f>Biodata!A17</f>
        <v>9</v>
      </c>
      <c r="B15" s="478" t="str">
        <f>Biodata!B17</f>
        <v>181910069</v>
      </c>
      <c r="C15" s="479" t="str">
        <f>Biodata!C17</f>
        <v>DANDY ERVAN PRATAMA</v>
      </c>
      <c r="D15" s="474">
        <v>41</v>
      </c>
      <c r="E15" s="474" t="s">
        <v>429</v>
      </c>
      <c r="F15" s="474">
        <v>10</v>
      </c>
      <c r="G15" s="474" t="s">
        <v>429</v>
      </c>
    </row>
    <row r="16" spans="1:7">
      <c r="A16" s="474">
        <f>Biodata!A18</f>
        <v>10</v>
      </c>
      <c r="B16" s="478" t="str">
        <f>Biodata!B18</f>
        <v>181910085</v>
      </c>
      <c r="C16" s="479" t="str">
        <f>Biodata!C18</f>
        <v>DENISA ASTI RAHMAWATI</v>
      </c>
      <c r="D16" s="474">
        <v>52</v>
      </c>
      <c r="E16" s="474" t="s">
        <v>429</v>
      </c>
      <c r="F16" s="474">
        <v>80</v>
      </c>
      <c r="G16" s="474" t="s">
        <v>6</v>
      </c>
    </row>
    <row r="17" spans="1:7">
      <c r="A17" s="474">
        <f>Biodata!A19</f>
        <v>11</v>
      </c>
      <c r="B17" s="478" t="str">
        <f>Biodata!B19</f>
        <v>181910093</v>
      </c>
      <c r="C17" s="479" t="str">
        <f>Biodata!C19</f>
        <v>DIAN RAMDHAN SAPTIAN</v>
      </c>
      <c r="D17" s="474">
        <v>51</v>
      </c>
      <c r="E17" s="474" t="s">
        <v>429</v>
      </c>
      <c r="F17" s="474">
        <v>10</v>
      </c>
      <c r="G17" s="474" t="s">
        <v>429</v>
      </c>
    </row>
    <row r="18" spans="1:7">
      <c r="A18" s="474">
        <f>Biodata!A20</f>
        <v>12</v>
      </c>
      <c r="B18" s="478" t="str">
        <f>Biodata!B20</f>
        <v>181910103</v>
      </c>
      <c r="C18" s="479" t="str">
        <f>Biodata!C20</f>
        <v>DIVYA ADHIANI NURDIN</v>
      </c>
      <c r="D18" s="474">
        <v>80</v>
      </c>
      <c r="E18" s="474" t="s">
        <v>6</v>
      </c>
      <c r="F18" s="474">
        <v>80</v>
      </c>
      <c r="G18" s="474" t="s">
        <v>6</v>
      </c>
    </row>
    <row r="19" spans="1:7">
      <c r="A19" s="474">
        <f>Biodata!A21</f>
        <v>13</v>
      </c>
      <c r="B19" s="478" t="str">
        <f>Biodata!B21</f>
        <v>181910104</v>
      </c>
      <c r="C19" s="479" t="str">
        <f>Biodata!C21</f>
        <v>DWIKI DERMAWAN</v>
      </c>
      <c r="D19" s="474">
        <v>21</v>
      </c>
      <c r="E19" s="474" t="s">
        <v>429</v>
      </c>
      <c r="F19" s="474">
        <v>10</v>
      </c>
      <c r="G19" s="474" t="s">
        <v>429</v>
      </c>
    </row>
    <row r="20" spans="1:7">
      <c r="A20" s="474">
        <f>Biodata!A22</f>
        <v>14</v>
      </c>
      <c r="B20" s="478" t="str">
        <f>Biodata!B22</f>
        <v>181910118</v>
      </c>
      <c r="C20" s="479" t="str">
        <f>Biodata!C22</f>
        <v>ENCEP CANDRA</v>
      </c>
      <c r="D20" s="474">
        <v>70</v>
      </c>
      <c r="E20" s="474" t="s">
        <v>18</v>
      </c>
      <c r="F20" s="474">
        <v>53</v>
      </c>
      <c r="G20" s="474" t="s">
        <v>429</v>
      </c>
    </row>
    <row r="21" spans="1:7">
      <c r="A21" s="474">
        <f>Biodata!A23</f>
        <v>15</v>
      </c>
      <c r="B21" s="478" t="str">
        <f>Biodata!B23</f>
        <v>181910128</v>
      </c>
      <c r="C21" s="479" t="str">
        <f>Biodata!C23</f>
        <v>FAIZAL EGI</v>
      </c>
      <c r="D21" s="474">
        <v>14</v>
      </c>
      <c r="E21" s="474" t="s">
        <v>429</v>
      </c>
      <c r="F21" s="474">
        <v>10</v>
      </c>
      <c r="G21" s="474" t="s">
        <v>429</v>
      </c>
    </row>
    <row r="22" spans="1:7">
      <c r="A22" s="474">
        <f>Biodata!A24</f>
        <v>16</v>
      </c>
      <c r="B22" s="478" t="str">
        <f>Biodata!B24</f>
        <v>181910133</v>
      </c>
      <c r="C22" s="479" t="str">
        <f>Biodata!C24</f>
        <v>FAUZI DHALFADLIL AZHANI</v>
      </c>
      <c r="D22" s="474">
        <v>37</v>
      </c>
      <c r="E22" s="474" t="s">
        <v>429</v>
      </c>
      <c r="F22" s="474">
        <v>10</v>
      </c>
      <c r="G22" s="474" t="s">
        <v>429</v>
      </c>
    </row>
    <row r="23" spans="1:7">
      <c r="A23" s="474">
        <f>Biodata!A25</f>
        <v>17</v>
      </c>
      <c r="B23" s="478" t="str">
        <f>Biodata!B25</f>
        <v>181910161</v>
      </c>
      <c r="C23" s="479" t="str">
        <f>Biodata!C25</f>
        <v>HILMAN PUTRA PAMUNGKAS</v>
      </c>
      <c r="D23" s="474">
        <v>77</v>
      </c>
      <c r="E23" s="474" t="s">
        <v>6</v>
      </c>
      <c r="F23" s="474">
        <v>80</v>
      </c>
      <c r="G23" s="474" t="s">
        <v>6</v>
      </c>
    </row>
    <row r="24" spans="1:7">
      <c r="A24" s="474">
        <f>Biodata!A26</f>
        <v>18</v>
      </c>
      <c r="B24" s="478" t="str">
        <f>Biodata!B26</f>
        <v>181910165</v>
      </c>
      <c r="C24" s="479" t="str">
        <f>Biodata!C26</f>
        <v>IHSYA FADILLAH MUSLIM</v>
      </c>
      <c r="D24" s="474">
        <v>29</v>
      </c>
      <c r="E24" s="474" t="s">
        <v>429</v>
      </c>
      <c r="F24" s="474">
        <v>26</v>
      </c>
      <c r="G24" s="474" t="s">
        <v>429</v>
      </c>
    </row>
    <row r="25" spans="1:7">
      <c r="A25" s="474">
        <f>Biodata!A27</f>
        <v>19</v>
      </c>
      <c r="B25" s="478" t="str">
        <f>Biodata!B27</f>
        <v>181910185</v>
      </c>
      <c r="C25" s="479" t="str">
        <f>Biodata!C27</f>
        <v>JIHAD AKBAR</v>
      </c>
      <c r="D25" s="474">
        <v>59</v>
      </c>
      <c r="E25" s="474" t="s">
        <v>429</v>
      </c>
      <c r="F25" s="474">
        <v>26</v>
      </c>
      <c r="G25" s="474" t="s">
        <v>429</v>
      </c>
    </row>
    <row r="26" spans="1:7">
      <c r="A26" s="474">
        <f>Biodata!A28</f>
        <v>20</v>
      </c>
      <c r="B26" s="478" t="str">
        <f>Biodata!B28</f>
        <v>181910226</v>
      </c>
      <c r="C26" s="479" t="str">
        <f>Biodata!C28</f>
        <v>MUHAMAD IZZAZUL FIKRIAN</v>
      </c>
      <c r="D26" s="474">
        <v>61</v>
      </c>
      <c r="E26" s="474" t="s">
        <v>19</v>
      </c>
      <c r="F26" s="474">
        <v>26</v>
      </c>
      <c r="G26" s="474" t="s">
        <v>429</v>
      </c>
    </row>
    <row r="27" spans="1:7">
      <c r="A27" s="474">
        <f>Biodata!A29</f>
        <v>21</v>
      </c>
      <c r="B27" s="478" t="str">
        <f>Biodata!B29</f>
        <v>181910240</v>
      </c>
      <c r="C27" s="479" t="str">
        <f>Biodata!C29</f>
        <v>NESHA RAUDHATUL ZANNAH</v>
      </c>
      <c r="D27" s="474">
        <v>71</v>
      </c>
      <c r="E27" s="474" t="s">
        <v>18</v>
      </c>
      <c r="F27" s="474">
        <v>53</v>
      </c>
      <c r="G27" s="474" t="s">
        <v>429</v>
      </c>
    </row>
    <row r="28" spans="1:7">
      <c r="A28" s="474">
        <f>Biodata!A30</f>
        <v>22</v>
      </c>
      <c r="B28" s="478" t="str">
        <f>Biodata!B30</f>
        <v>181910262</v>
      </c>
      <c r="C28" s="479" t="str">
        <f>Biodata!C30</f>
        <v>PUTRI ANGGRAENI</v>
      </c>
      <c r="D28" s="474">
        <v>76</v>
      </c>
      <c r="E28" s="474" t="s">
        <v>6</v>
      </c>
      <c r="F28" s="474">
        <v>80</v>
      </c>
      <c r="G28" s="474" t="s">
        <v>6</v>
      </c>
    </row>
    <row r="29" spans="1:7">
      <c r="A29" s="474">
        <f>Biodata!A31</f>
        <v>23</v>
      </c>
      <c r="B29" s="478" t="str">
        <f>Biodata!B31</f>
        <v>181910266</v>
      </c>
      <c r="C29" s="479" t="str">
        <f>Biodata!C31</f>
        <v>PUTRI WULANDARI</v>
      </c>
      <c r="D29" s="474">
        <v>79</v>
      </c>
      <c r="E29" s="474" t="s">
        <v>6</v>
      </c>
      <c r="F29" s="474">
        <v>55</v>
      </c>
      <c r="G29" s="474" t="s">
        <v>429</v>
      </c>
    </row>
    <row r="30" spans="1:7">
      <c r="A30" s="474">
        <f>Biodata!A32</f>
        <v>24</v>
      </c>
      <c r="B30" s="478" t="str">
        <f>Biodata!B32</f>
        <v>181910272</v>
      </c>
      <c r="C30" s="479" t="str">
        <f>Biodata!C32</f>
        <v>RAFLY GYMNASTIAR</v>
      </c>
      <c r="D30" s="474">
        <v>14</v>
      </c>
      <c r="E30" s="474" t="s">
        <v>429</v>
      </c>
      <c r="F30" s="474">
        <v>10</v>
      </c>
      <c r="G30" s="474" t="s">
        <v>429</v>
      </c>
    </row>
    <row r="31" spans="1:7">
      <c r="A31" s="474">
        <f>Biodata!A33</f>
        <v>25</v>
      </c>
      <c r="B31" s="478" t="str">
        <f>Biodata!B33</f>
        <v>181910280</v>
      </c>
      <c r="C31" s="479" t="str">
        <f>Biodata!C33</f>
        <v>REFIANA</v>
      </c>
      <c r="D31" s="474">
        <v>29</v>
      </c>
      <c r="E31" s="474" t="s">
        <v>429</v>
      </c>
      <c r="F31" s="474">
        <v>26</v>
      </c>
      <c r="G31" s="474" t="s">
        <v>429</v>
      </c>
    </row>
    <row r="32" spans="1:7">
      <c r="A32" s="474">
        <f>Biodata!A34</f>
        <v>26</v>
      </c>
      <c r="B32" s="478" t="str">
        <f>Biodata!B34</f>
        <v>181910285</v>
      </c>
      <c r="C32" s="479" t="str">
        <f>Biodata!C34</f>
        <v>RENALDI PRIYATAMA</v>
      </c>
      <c r="D32" s="474">
        <v>10</v>
      </c>
      <c r="E32" s="474" t="s">
        <v>429</v>
      </c>
      <c r="F32" s="474">
        <v>10</v>
      </c>
      <c r="G32" s="474" t="s">
        <v>429</v>
      </c>
    </row>
    <row r="33" spans="1:7">
      <c r="A33" s="474">
        <f>Biodata!A35</f>
        <v>27</v>
      </c>
      <c r="B33" s="478" t="str">
        <f>Biodata!B35</f>
        <v>181910286</v>
      </c>
      <c r="C33" s="479" t="str">
        <f>Biodata!C35</f>
        <v>RENATA</v>
      </c>
      <c r="D33" s="474">
        <v>77</v>
      </c>
      <c r="E33" s="474" t="s">
        <v>6</v>
      </c>
      <c r="F33" s="474">
        <v>81</v>
      </c>
      <c r="G33" s="474" t="s">
        <v>6</v>
      </c>
    </row>
    <row r="34" spans="1:7">
      <c r="A34" s="474">
        <f>Biodata!A36</f>
        <v>28</v>
      </c>
      <c r="B34" s="478" t="str">
        <f>Biodata!B36</f>
        <v>181910293</v>
      </c>
      <c r="C34" s="479" t="str">
        <f>Biodata!C36</f>
        <v xml:space="preserve">REZA ERNANDA </v>
      </c>
      <c r="D34" s="474">
        <v>76</v>
      </c>
      <c r="E34" s="474" t="s">
        <v>6</v>
      </c>
      <c r="F34" s="474">
        <v>53</v>
      </c>
      <c r="G34" s="474" t="s">
        <v>429</v>
      </c>
    </row>
    <row r="35" spans="1:7">
      <c r="A35" s="474">
        <f>Biodata!A37</f>
        <v>29</v>
      </c>
      <c r="B35" s="478" t="str">
        <f>Biodata!B37</f>
        <v>181910300</v>
      </c>
      <c r="C35" s="479" t="str">
        <f>Biodata!C37</f>
        <v>RIFAN MUHAMAD RIZKI</v>
      </c>
      <c r="D35" s="474">
        <v>35</v>
      </c>
      <c r="E35" s="474" t="s">
        <v>429</v>
      </c>
      <c r="F35" s="474">
        <v>10</v>
      </c>
      <c r="G35" s="474" t="s">
        <v>429</v>
      </c>
    </row>
    <row r="36" spans="1:7">
      <c r="A36" s="474">
        <f>Biodata!A38</f>
        <v>30</v>
      </c>
      <c r="B36" s="478" t="str">
        <f>Biodata!B38</f>
        <v>181910318</v>
      </c>
      <c r="C36" s="479" t="str">
        <f>Biodata!C38</f>
        <v>RISMA SURYANI</v>
      </c>
      <c r="D36" s="474">
        <v>78</v>
      </c>
      <c r="E36" s="474" t="s">
        <v>6</v>
      </c>
      <c r="F36" s="474">
        <v>81</v>
      </c>
      <c r="G36" s="474" t="s">
        <v>6</v>
      </c>
    </row>
    <row r="37" spans="1:7">
      <c r="A37" s="474">
        <f>Biodata!A39</f>
        <v>31</v>
      </c>
      <c r="B37" s="478" t="str">
        <f>Biodata!B39</f>
        <v>181910320</v>
      </c>
      <c r="C37" s="479" t="str">
        <f>Biodata!C39</f>
        <v>RISNA TIRANI</v>
      </c>
      <c r="D37" s="474">
        <v>78</v>
      </c>
      <c r="E37" s="474" t="s">
        <v>6</v>
      </c>
      <c r="F37" s="474">
        <v>82</v>
      </c>
      <c r="G37" s="474" t="s">
        <v>6</v>
      </c>
    </row>
    <row r="38" spans="1:7">
      <c r="A38" s="474">
        <f>Biodata!A40</f>
        <v>32</v>
      </c>
      <c r="B38" s="478" t="str">
        <f>Biodata!B40</f>
        <v>181910331</v>
      </c>
      <c r="C38" s="479" t="str">
        <f>Biodata!C40</f>
        <v>RULLY PRATAMA S.</v>
      </c>
      <c r="D38" s="474">
        <v>23</v>
      </c>
      <c r="E38" s="474" t="s">
        <v>429</v>
      </c>
      <c r="F38" s="474">
        <v>27</v>
      </c>
      <c r="G38" s="474" t="s">
        <v>429</v>
      </c>
    </row>
    <row r="39" spans="1:7">
      <c r="A39" s="474">
        <f>Biodata!A41</f>
        <v>33</v>
      </c>
      <c r="B39" s="478" t="str">
        <f>Biodata!B41</f>
        <v>181910335</v>
      </c>
      <c r="C39" s="479" t="str">
        <f>Biodata!C41</f>
        <v>SALSA ASYKIYA</v>
      </c>
      <c r="D39" s="474">
        <v>78</v>
      </c>
      <c r="E39" s="474" t="s">
        <v>6</v>
      </c>
      <c r="F39" s="474">
        <v>83</v>
      </c>
      <c r="G39" s="474" t="s">
        <v>6</v>
      </c>
    </row>
    <row r="40" spans="1:7">
      <c r="A40" s="474">
        <f>Biodata!A42</f>
        <v>34</v>
      </c>
      <c r="B40" s="478" t="str">
        <f>Biodata!B42</f>
        <v>181910353</v>
      </c>
      <c r="C40" s="479" t="str">
        <f>Biodata!C42</f>
        <v>SILFI HAMIDAH</v>
      </c>
      <c r="D40" s="474">
        <v>78</v>
      </c>
      <c r="E40" s="474" t="s">
        <v>6</v>
      </c>
      <c r="F40" s="474">
        <v>81</v>
      </c>
      <c r="G40" s="474" t="s">
        <v>6</v>
      </c>
    </row>
    <row r="41" spans="1:7">
      <c r="A41" s="474">
        <f>Biodata!A43</f>
        <v>35</v>
      </c>
      <c r="B41" s="478" t="str">
        <f>Biodata!B43</f>
        <v>181910408</v>
      </c>
      <c r="C41" s="479" t="str">
        <f>Biodata!C43</f>
        <v>YESHA RAHAYU</v>
      </c>
      <c r="D41" s="474">
        <v>49</v>
      </c>
      <c r="E41" s="474" t="s">
        <v>429</v>
      </c>
      <c r="F41" s="474">
        <v>53</v>
      </c>
      <c r="G41" s="474" t="s">
        <v>429</v>
      </c>
    </row>
    <row r="42" spans="1:7">
      <c r="A42" s="474">
        <f>Biodata!A44</f>
        <v>36</v>
      </c>
      <c r="B42" s="478" t="str">
        <f>Biodata!B44</f>
        <v>181910433</v>
      </c>
      <c r="C42" s="479" t="str">
        <f>Biodata!C44</f>
        <v>MUHAMAD RIZAL</v>
      </c>
      <c r="D42" s="474">
        <v>40</v>
      </c>
      <c r="E42" s="474" t="s">
        <v>429</v>
      </c>
      <c r="F42" s="474">
        <v>50</v>
      </c>
      <c r="G42" s="474" t="s">
        <v>429</v>
      </c>
    </row>
    <row r="43" spans="1:7">
      <c r="A43" s="474">
        <f>Biodata!A45</f>
        <v>37</v>
      </c>
      <c r="B43" s="478" t="str">
        <f>Biodata!B45</f>
        <v>037</v>
      </c>
      <c r="C43" s="479" t="str">
        <f>Biodata!C45</f>
        <v>A37</v>
      </c>
      <c r="D43" s="474">
        <f t="shared" ref="D43:D46" si="0">IFERROR(VLOOKUP(B43&amp;"A",leggerx1,17,0),"")</f>
        <v>0</v>
      </c>
      <c r="E43" s="474" t="str">
        <f t="shared" ref="E43:E46" si="1">IFERROR(VLOOKUP(B43&amp;"C",leggerx1,17,0),"")</f>
        <v/>
      </c>
      <c r="F43" s="474">
        <f t="shared" ref="F43:F46" si="2">IFERROR(VLOOKUP(B43&amp;"B",leggerx1,17,0),"")</f>
        <v>0</v>
      </c>
      <c r="G43" s="474" t="str">
        <f t="shared" ref="G43:G46" si="3">IFERROR(VLOOKUP(B43&amp;"D",leggerx1,17,0),"")</f>
        <v/>
      </c>
    </row>
    <row r="44" spans="1:7">
      <c r="A44" s="474">
        <f>Biodata!A46</f>
        <v>38</v>
      </c>
      <c r="B44" s="478" t="str">
        <f>Biodata!B46</f>
        <v>038</v>
      </c>
      <c r="C44" s="479" t="str">
        <f>Biodata!C46</f>
        <v>A38</v>
      </c>
      <c r="D44" s="474">
        <f t="shared" si="0"/>
        <v>0</v>
      </c>
      <c r="E44" s="474" t="str">
        <f t="shared" si="1"/>
        <v/>
      </c>
      <c r="F44" s="474">
        <f t="shared" si="2"/>
        <v>0</v>
      </c>
      <c r="G44" s="474" t="str">
        <f t="shared" si="3"/>
        <v/>
      </c>
    </row>
    <row r="45" spans="1:7">
      <c r="A45" s="474">
        <f>Biodata!A47</f>
        <v>39</v>
      </c>
      <c r="B45" s="478" t="str">
        <f>Biodata!B47</f>
        <v>039</v>
      </c>
      <c r="C45" s="479" t="str">
        <f>Biodata!C47</f>
        <v>A39</v>
      </c>
      <c r="D45" s="474">
        <f t="shared" si="0"/>
        <v>0</v>
      </c>
      <c r="E45" s="474" t="str">
        <f t="shared" si="1"/>
        <v/>
      </c>
      <c r="F45" s="474">
        <f t="shared" si="2"/>
        <v>0</v>
      </c>
      <c r="G45" s="474" t="str">
        <f t="shared" si="3"/>
        <v/>
      </c>
    </row>
    <row r="46" spans="1:7">
      <c r="A46" s="474">
        <f>Biodata!A48</f>
        <v>40</v>
      </c>
      <c r="B46" s="478" t="str">
        <f>Biodata!B48</f>
        <v>040</v>
      </c>
      <c r="C46" s="479" t="str">
        <f>Biodata!C48</f>
        <v>A40</v>
      </c>
      <c r="D46" s="474">
        <f t="shared" si="0"/>
        <v>0</v>
      </c>
      <c r="E46" s="474" t="str">
        <f t="shared" si="1"/>
        <v/>
      </c>
      <c r="F46" s="474">
        <f t="shared" si="2"/>
        <v>0</v>
      </c>
      <c r="G46" s="474" t="str">
        <f t="shared" si="3"/>
        <v/>
      </c>
    </row>
    <row r="47" spans="1:7">
      <c r="C47" s="483"/>
    </row>
    <row r="48" spans="1:7">
      <c r="C48" s="483"/>
    </row>
    <row r="49" spans="3:3" s="475" customFormat="1" ht="11.25">
      <c r="C49" s="483"/>
    </row>
    <row r="50" spans="3:3" s="475" customFormat="1" ht="11.25">
      <c r="C50" s="483"/>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0"/>
  <sheetViews>
    <sheetView topLeftCell="A6" workbookViewId="0">
      <selection activeCell="G7" sqref="G7"/>
    </sheetView>
  </sheetViews>
  <sheetFormatPr defaultColWidth="9" defaultRowHeight="12.75"/>
  <cols>
    <col min="1" max="1" width="3.7109375" style="474" customWidth="1"/>
    <col min="2" max="2" width="7.140625" style="474" customWidth="1"/>
    <col min="3" max="3" width="21.7109375" style="475" customWidth="1"/>
    <col min="4" max="4" width="11.85546875" style="474" customWidth="1"/>
    <col min="5" max="5" width="8" style="474" customWidth="1"/>
    <col min="6" max="6" width="12" style="474" customWidth="1"/>
    <col min="7" max="7" width="8" style="474" customWidth="1"/>
    <col min="8" max="256" width="9.140625" style="475" customWidth="1"/>
  </cols>
  <sheetData>
    <row r="1" spans="1:7">
      <c r="C1" s="476" t="s">
        <v>329</v>
      </c>
      <c r="D1" s="477" t="str">
        <f>Biodata!C4</f>
        <v xml:space="preserve"> X / IPS_5</v>
      </c>
    </row>
    <row r="2" spans="1:7">
      <c r="C2" s="476" t="s">
        <v>330</v>
      </c>
      <c r="D2" s="477" t="str">
        <f>Biodata!C5</f>
        <v>1 / Ganjil</v>
      </c>
    </row>
    <row r="3" spans="1:7">
      <c r="D3" s="477"/>
    </row>
    <row r="4" spans="1:7">
      <c r="C4" s="476" t="s">
        <v>331</v>
      </c>
      <c r="D4" s="477" t="str">
        <f>LEGER!U6</f>
        <v>B i o l o g i</v>
      </c>
    </row>
    <row r="5" spans="1:7">
      <c r="C5" s="476" t="s">
        <v>332</v>
      </c>
      <c r="D5" s="477">
        <f>RAPORT!C84</f>
        <v>70</v>
      </c>
    </row>
    <row r="6" spans="1:7">
      <c r="A6" s="474" t="s">
        <v>325</v>
      </c>
      <c r="B6" s="474" t="s">
        <v>10</v>
      </c>
      <c r="C6" s="475" t="s">
        <v>324</v>
      </c>
      <c r="D6" s="474" t="s">
        <v>75</v>
      </c>
      <c r="E6" s="474" t="s">
        <v>71</v>
      </c>
      <c r="F6" s="474" t="s">
        <v>147</v>
      </c>
      <c r="G6" s="474" t="s">
        <v>71</v>
      </c>
    </row>
    <row r="7" spans="1:7">
      <c r="A7" s="474">
        <f>Biodata!A9</f>
        <v>1</v>
      </c>
      <c r="B7" s="478" t="str">
        <f>Biodata!B9</f>
        <v>181910008</v>
      </c>
      <c r="C7" s="479" t="str">
        <f>Biodata!C9</f>
        <v>ADITA TRI KURNIA PUTRI</v>
      </c>
      <c r="D7" s="474">
        <v>70</v>
      </c>
      <c r="E7" s="474" t="s">
        <v>18</v>
      </c>
      <c r="F7" s="474">
        <v>70</v>
      </c>
      <c r="G7" s="474" t="s">
        <v>18</v>
      </c>
    </row>
    <row r="8" spans="1:7">
      <c r="A8" s="474">
        <f>Biodata!A10</f>
        <v>2</v>
      </c>
      <c r="B8" s="478" t="str">
        <f>Biodata!B10</f>
        <v>181910011</v>
      </c>
      <c r="C8" s="479" t="str">
        <f>Biodata!C10</f>
        <v xml:space="preserve">ADNES KOMALA DEWI </v>
      </c>
      <c r="D8" s="474">
        <v>20</v>
      </c>
      <c r="E8" s="474" t="s">
        <v>429</v>
      </c>
      <c r="F8" s="474">
        <v>40</v>
      </c>
      <c r="G8" s="474" t="s">
        <v>429</v>
      </c>
    </row>
    <row r="9" spans="1:7">
      <c r="A9" s="474">
        <f>Biodata!A11</f>
        <v>3</v>
      </c>
      <c r="B9" s="478" t="str">
        <f>Biodata!B11</f>
        <v>181910014</v>
      </c>
      <c r="C9" s="479" t="str">
        <f>Biodata!C11</f>
        <v>AGUNG BUDI PRASTAWA</v>
      </c>
      <c r="D9" s="474">
        <v>20</v>
      </c>
      <c r="E9" s="474" t="s">
        <v>429</v>
      </c>
      <c r="F9" s="474">
        <v>40</v>
      </c>
      <c r="G9" s="474" t="s">
        <v>429</v>
      </c>
    </row>
    <row r="10" spans="1:7">
      <c r="A10" s="474">
        <f>Biodata!A12</f>
        <v>4</v>
      </c>
      <c r="B10" s="478" t="str">
        <f>Biodata!B12</f>
        <v>181910021</v>
      </c>
      <c r="C10" s="479" t="str">
        <f>Biodata!C12</f>
        <v>AISYAH</v>
      </c>
      <c r="D10" s="474">
        <v>10</v>
      </c>
      <c r="E10" s="474" t="s">
        <v>429</v>
      </c>
      <c r="F10" s="474">
        <v>30</v>
      </c>
      <c r="G10" s="474" t="s">
        <v>429</v>
      </c>
    </row>
    <row r="11" spans="1:7">
      <c r="A11" s="474">
        <f>Biodata!A13</f>
        <v>5</v>
      </c>
      <c r="B11" s="478" t="str">
        <f>Biodata!B13</f>
        <v>181910045</v>
      </c>
      <c r="C11" s="479" t="str">
        <f>Biodata!C13</f>
        <v>ARYA DYTA WIGUNA</v>
      </c>
      <c r="D11" s="474">
        <v>75</v>
      </c>
      <c r="E11" s="474" t="s">
        <v>18</v>
      </c>
      <c r="F11" s="474">
        <v>70</v>
      </c>
      <c r="G11" s="474" t="s">
        <v>18</v>
      </c>
    </row>
    <row r="12" spans="1:7">
      <c r="A12" s="474">
        <f>Biodata!A14</f>
        <v>6</v>
      </c>
      <c r="B12" s="478" t="str">
        <f>Biodata!B14</f>
        <v>181910054</v>
      </c>
      <c r="C12" s="479" t="str">
        <f>Biodata!C14</f>
        <v>AZRIEL TAMA SANTIAJI</v>
      </c>
      <c r="D12" s="474">
        <v>20</v>
      </c>
      <c r="E12" s="474" t="s">
        <v>429</v>
      </c>
      <c r="F12" s="474">
        <v>60</v>
      </c>
      <c r="G12" s="474" t="s">
        <v>19</v>
      </c>
    </row>
    <row r="13" spans="1:7">
      <c r="A13" s="474">
        <f>Biodata!A15</f>
        <v>7</v>
      </c>
      <c r="B13" s="478" t="str">
        <f>Biodata!B15</f>
        <v>181910055</v>
      </c>
      <c r="C13" s="479" t="str">
        <f>Biodata!C15</f>
        <v>AZZUHRI HAUDI</v>
      </c>
      <c r="D13" s="474">
        <v>72</v>
      </c>
      <c r="E13" s="474" t="s">
        <v>18</v>
      </c>
      <c r="F13" s="474">
        <v>70</v>
      </c>
      <c r="G13" s="474" t="s">
        <v>18</v>
      </c>
    </row>
    <row r="14" spans="1:7">
      <c r="A14" s="474">
        <f>Biodata!A16</f>
        <v>8</v>
      </c>
      <c r="B14" s="478" t="str">
        <f>Biodata!B16</f>
        <v>181910056</v>
      </c>
      <c r="C14" s="479" t="str">
        <f>Biodata!C16</f>
        <v>BAYU BATARA SURYA PUTRA</v>
      </c>
      <c r="D14" s="474">
        <v>20</v>
      </c>
      <c r="E14" s="474" t="s">
        <v>429</v>
      </c>
      <c r="F14" s="474">
        <v>60</v>
      </c>
      <c r="G14" s="474" t="s">
        <v>19</v>
      </c>
    </row>
    <row r="15" spans="1:7">
      <c r="A15" s="474">
        <f>Biodata!A17</f>
        <v>9</v>
      </c>
      <c r="B15" s="478" t="str">
        <f>Biodata!B17</f>
        <v>181910069</v>
      </c>
      <c r="C15" s="479" t="str">
        <f>Biodata!C17</f>
        <v>DANDY ERVAN PRATAMA</v>
      </c>
      <c r="D15" s="474">
        <v>20</v>
      </c>
      <c r="E15" s="474" t="s">
        <v>429</v>
      </c>
      <c r="F15" s="474">
        <v>50</v>
      </c>
      <c r="G15" s="474" t="s">
        <v>429</v>
      </c>
    </row>
    <row r="16" spans="1:7">
      <c r="A16" s="474">
        <f>Biodata!A18</f>
        <v>10</v>
      </c>
      <c r="B16" s="478" t="str">
        <f>Biodata!B18</f>
        <v>181910085</v>
      </c>
      <c r="C16" s="479" t="str">
        <f>Biodata!C18</f>
        <v>DENISA ASTI RAHMAWATI</v>
      </c>
      <c r="D16" s="474">
        <v>70</v>
      </c>
      <c r="E16" s="474" t="s">
        <v>18</v>
      </c>
      <c r="F16" s="474">
        <v>70</v>
      </c>
      <c r="G16" s="474" t="s">
        <v>18</v>
      </c>
    </row>
    <row r="17" spans="1:7">
      <c r="A17" s="474">
        <f>Biodata!A19</f>
        <v>11</v>
      </c>
      <c r="B17" s="478" t="str">
        <f>Biodata!B19</f>
        <v>181910093</v>
      </c>
      <c r="C17" s="479" t="str">
        <f>Biodata!C19</f>
        <v>DIAN RAMDHAN SAPTIAN</v>
      </c>
      <c r="D17" s="474">
        <v>10</v>
      </c>
      <c r="E17" s="474" t="s">
        <v>429</v>
      </c>
      <c r="F17" s="474">
        <v>20</v>
      </c>
      <c r="G17" s="474" t="s">
        <v>429</v>
      </c>
    </row>
    <row r="18" spans="1:7">
      <c r="A18" s="474">
        <f>Biodata!A20</f>
        <v>12</v>
      </c>
      <c r="B18" s="478" t="str">
        <f>Biodata!B20</f>
        <v>181910103</v>
      </c>
      <c r="C18" s="479" t="str">
        <f>Biodata!C20</f>
        <v>DIVYA ADHIANI NURDIN</v>
      </c>
      <c r="D18" s="474">
        <v>20</v>
      </c>
      <c r="E18" s="474" t="s">
        <v>429</v>
      </c>
      <c r="F18" s="474">
        <v>50</v>
      </c>
      <c r="G18" s="474" t="s">
        <v>429</v>
      </c>
    </row>
    <row r="19" spans="1:7">
      <c r="A19" s="474">
        <f>Biodata!A21</f>
        <v>13</v>
      </c>
      <c r="B19" s="478" t="str">
        <f>Biodata!B21</f>
        <v>181910104</v>
      </c>
      <c r="C19" s="479" t="str">
        <f>Biodata!C21</f>
        <v>DWIKI DERMAWAN</v>
      </c>
      <c r="D19" s="474">
        <v>20</v>
      </c>
      <c r="E19" s="474" t="s">
        <v>429</v>
      </c>
      <c r="F19" s="474">
        <v>20</v>
      </c>
      <c r="G19" s="474" t="s">
        <v>429</v>
      </c>
    </row>
    <row r="20" spans="1:7">
      <c r="A20" s="474">
        <f>Biodata!A22</f>
        <v>14</v>
      </c>
      <c r="B20" s="478" t="str">
        <f>Biodata!B22</f>
        <v>181910118</v>
      </c>
      <c r="C20" s="479" t="str">
        <f>Biodata!C22</f>
        <v>ENCEP CANDRA</v>
      </c>
      <c r="D20" s="474">
        <v>67</v>
      </c>
      <c r="E20" s="474" t="s">
        <v>429</v>
      </c>
      <c r="F20" s="474">
        <v>60</v>
      </c>
      <c r="G20" s="474" t="s">
        <v>19</v>
      </c>
    </row>
    <row r="21" spans="1:7">
      <c r="A21" s="474">
        <f>Biodata!A23</f>
        <v>15</v>
      </c>
      <c r="B21" s="478" t="str">
        <f>Biodata!B23</f>
        <v>181910128</v>
      </c>
      <c r="C21" s="479" t="str">
        <f>Biodata!C23</f>
        <v>FAIZAL EGI</v>
      </c>
      <c r="D21" s="474">
        <v>67</v>
      </c>
      <c r="E21" s="474" t="s">
        <v>429</v>
      </c>
      <c r="F21" s="474">
        <v>60</v>
      </c>
      <c r="G21" s="474" t="s">
        <v>19</v>
      </c>
    </row>
    <row r="22" spans="1:7">
      <c r="A22" s="474">
        <f>Biodata!A24</f>
        <v>16</v>
      </c>
      <c r="B22" s="478" t="str">
        <f>Biodata!B24</f>
        <v>181910133</v>
      </c>
      <c r="C22" s="479" t="str">
        <f>Biodata!C24</f>
        <v>FAUZI DHALFADLIL AZHANI</v>
      </c>
      <c r="D22" s="474">
        <v>10</v>
      </c>
      <c r="E22" s="474" t="s">
        <v>429</v>
      </c>
      <c r="F22" s="474">
        <v>20</v>
      </c>
      <c r="G22" s="474" t="s">
        <v>429</v>
      </c>
    </row>
    <row r="23" spans="1:7">
      <c r="A23" s="474">
        <f>Biodata!A25</f>
        <v>17</v>
      </c>
      <c r="B23" s="478" t="str">
        <f>Biodata!B25</f>
        <v>181910161</v>
      </c>
      <c r="C23" s="479" t="str">
        <f>Biodata!C25</f>
        <v>HILMAN PUTRA PAMUNGKAS</v>
      </c>
      <c r="D23" s="474">
        <v>73</v>
      </c>
      <c r="E23" s="474" t="s">
        <v>18</v>
      </c>
      <c r="F23" s="474">
        <v>70</v>
      </c>
      <c r="G23" s="474" t="s">
        <v>18</v>
      </c>
    </row>
    <row r="24" spans="1:7">
      <c r="A24" s="474">
        <f>Biodata!A26</f>
        <v>18</v>
      </c>
      <c r="B24" s="478" t="str">
        <f>Biodata!B26</f>
        <v>181910165</v>
      </c>
      <c r="C24" s="479" t="str">
        <f>Biodata!C26</f>
        <v>IHSYA FADILLAH MUSLIM</v>
      </c>
      <c r="D24" s="474">
        <v>20</v>
      </c>
      <c r="E24" s="474" t="s">
        <v>429</v>
      </c>
      <c r="F24" s="474">
        <v>60</v>
      </c>
      <c r="G24" s="474" t="s">
        <v>19</v>
      </c>
    </row>
    <row r="25" spans="1:7">
      <c r="A25" s="474">
        <f>Biodata!A27</f>
        <v>19</v>
      </c>
      <c r="B25" s="478" t="str">
        <f>Biodata!B27</f>
        <v>181910185</v>
      </c>
      <c r="C25" s="479" t="str">
        <f>Biodata!C27</f>
        <v>JIHAD AKBAR</v>
      </c>
      <c r="D25" s="474">
        <v>30</v>
      </c>
      <c r="E25" s="474" t="s">
        <v>429</v>
      </c>
      <c r="F25" s="474">
        <v>60</v>
      </c>
      <c r="G25" s="474" t="s">
        <v>19</v>
      </c>
    </row>
    <row r="26" spans="1:7">
      <c r="A26" s="474">
        <f>Biodata!A28</f>
        <v>20</v>
      </c>
      <c r="B26" s="478" t="str">
        <f>Biodata!B28</f>
        <v>181910226</v>
      </c>
      <c r="C26" s="479" t="str">
        <f>Biodata!C28</f>
        <v>MUHAMAD IZZAZUL FIKRIAN</v>
      </c>
      <c r="D26" s="474">
        <v>20</v>
      </c>
      <c r="E26" s="474" t="s">
        <v>429</v>
      </c>
      <c r="F26" s="474">
        <v>50</v>
      </c>
      <c r="G26" s="474" t="s">
        <v>429</v>
      </c>
    </row>
    <row r="27" spans="1:7">
      <c r="A27" s="474">
        <f>Biodata!A29</f>
        <v>21</v>
      </c>
      <c r="B27" s="478" t="str">
        <f>Biodata!B29</f>
        <v>181910240</v>
      </c>
      <c r="C27" s="479" t="str">
        <f>Biodata!C29</f>
        <v>NESHA RAUDHATUL ZANNAH</v>
      </c>
      <c r="D27" s="474">
        <v>35</v>
      </c>
      <c r="E27" s="474" t="s">
        <v>429</v>
      </c>
      <c r="F27" s="474">
        <v>60</v>
      </c>
      <c r="G27" s="474" t="s">
        <v>19</v>
      </c>
    </row>
    <row r="28" spans="1:7">
      <c r="A28" s="474">
        <f>Biodata!A30</f>
        <v>22</v>
      </c>
      <c r="B28" s="478" t="str">
        <f>Biodata!B30</f>
        <v>181910262</v>
      </c>
      <c r="C28" s="479" t="str">
        <f>Biodata!C30</f>
        <v>PUTRI ANGGRAENI</v>
      </c>
      <c r="D28" s="474">
        <v>72</v>
      </c>
      <c r="E28" s="474" t="s">
        <v>18</v>
      </c>
      <c r="F28" s="474">
        <v>70</v>
      </c>
      <c r="G28" s="474" t="s">
        <v>18</v>
      </c>
    </row>
    <row r="29" spans="1:7">
      <c r="A29" s="474">
        <f>Biodata!A31</f>
        <v>23</v>
      </c>
      <c r="B29" s="478" t="str">
        <f>Biodata!B31</f>
        <v>181910266</v>
      </c>
      <c r="C29" s="479" t="str">
        <f>Biodata!C31</f>
        <v>PUTRI WULANDARI</v>
      </c>
      <c r="D29" s="474">
        <v>72</v>
      </c>
      <c r="E29" s="474" t="s">
        <v>18</v>
      </c>
      <c r="F29" s="474">
        <v>70</v>
      </c>
      <c r="G29" s="474" t="s">
        <v>18</v>
      </c>
    </row>
    <row r="30" spans="1:7">
      <c r="A30" s="474">
        <f>Biodata!A32</f>
        <v>24</v>
      </c>
      <c r="B30" s="478" t="str">
        <f>Biodata!B32</f>
        <v>181910272</v>
      </c>
      <c r="C30" s="479" t="str">
        <f>Biodata!C32</f>
        <v>RAFLY GYMNASTIAR</v>
      </c>
      <c r="D30" s="474">
        <v>20</v>
      </c>
      <c r="E30" s="474" t="s">
        <v>429</v>
      </c>
      <c r="F30" s="474">
        <v>40</v>
      </c>
      <c r="G30" s="474" t="s">
        <v>429</v>
      </c>
    </row>
    <row r="31" spans="1:7">
      <c r="A31" s="474">
        <f>Biodata!A33</f>
        <v>25</v>
      </c>
      <c r="B31" s="478" t="str">
        <f>Biodata!B33</f>
        <v>181910280</v>
      </c>
      <c r="C31" s="479" t="str">
        <f>Biodata!C33</f>
        <v>REFIANA</v>
      </c>
      <c r="D31" s="474">
        <v>30</v>
      </c>
      <c r="E31" s="474" t="s">
        <v>429</v>
      </c>
      <c r="F31" s="474">
        <v>60</v>
      </c>
      <c r="G31" s="474" t="s">
        <v>19</v>
      </c>
    </row>
    <row r="32" spans="1:7">
      <c r="A32" s="474">
        <f>Biodata!A34</f>
        <v>26</v>
      </c>
      <c r="B32" s="478" t="str">
        <f>Biodata!B34</f>
        <v>181910285</v>
      </c>
      <c r="C32" s="479" t="str">
        <f>Biodata!C34</f>
        <v>RENALDI PRIYATAMA</v>
      </c>
      <c r="D32" s="474">
        <v>30</v>
      </c>
      <c r="E32" s="474" t="s">
        <v>429</v>
      </c>
      <c r="F32" s="474">
        <v>60</v>
      </c>
      <c r="G32" s="474" t="s">
        <v>19</v>
      </c>
    </row>
    <row r="33" spans="1:7">
      <c r="A33" s="474">
        <f>Biodata!A35</f>
        <v>27</v>
      </c>
      <c r="B33" s="478" t="str">
        <f>Biodata!B35</f>
        <v>181910286</v>
      </c>
      <c r="C33" s="479" t="str">
        <f>Biodata!C35</f>
        <v>RENATA</v>
      </c>
      <c r="D33" s="474">
        <v>72</v>
      </c>
      <c r="E33" s="474" t="s">
        <v>18</v>
      </c>
      <c r="F33" s="474">
        <v>70</v>
      </c>
      <c r="G33" s="474" t="s">
        <v>18</v>
      </c>
    </row>
    <row r="34" spans="1:7">
      <c r="A34" s="474">
        <f>Biodata!A36</f>
        <v>28</v>
      </c>
      <c r="B34" s="478" t="str">
        <f>Biodata!B36</f>
        <v>181910293</v>
      </c>
      <c r="C34" s="479" t="str">
        <f>Biodata!C36</f>
        <v xml:space="preserve">REZA ERNANDA </v>
      </c>
      <c r="D34" s="474">
        <v>75</v>
      </c>
      <c r="E34" s="474" t="s">
        <v>18</v>
      </c>
      <c r="F34" s="474">
        <v>70</v>
      </c>
      <c r="G34" s="474" t="s">
        <v>18</v>
      </c>
    </row>
    <row r="35" spans="1:7">
      <c r="A35" s="474">
        <f>Biodata!A37</f>
        <v>29</v>
      </c>
      <c r="B35" s="478" t="str">
        <f>Biodata!B37</f>
        <v>181910300</v>
      </c>
      <c r="C35" s="479" t="str">
        <f>Biodata!C37</f>
        <v>RIFAN MUHAMAD RIZKI</v>
      </c>
      <c r="D35" s="474">
        <v>35</v>
      </c>
      <c r="E35" s="474" t="s">
        <v>429</v>
      </c>
      <c r="F35" s="474">
        <v>60</v>
      </c>
      <c r="G35" s="474" t="s">
        <v>429</v>
      </c>
    </row>
    <row r="36" spans="1:7">
      <c r="A36" s="474">
        <f>Biodata!A38</f>
        <v>30</v>
      </c>
      <c r="B36" s="478" t="str">
        <f>Biodata!B38</f>
        <v>181910318</v>
      </c>
      <c r="C36" s="479" t="str">
        <f>Biodata!C38</f>
        <v>RISMA SURYANI</v>
      </c>
      <c r="D36" s="474">
        <v>56</v>
      </c>
      <c r="E36" s="474" t="s">
        <v>429</v>
      </c>
      <c r="F36" s="474">
        <v>60</v>
      </c>
      <c r="G36" s="474" t="s">
        <v>429</v>
      </c>
    </row>
    <row r="37" spans="1:7">
      <c r="A37" s="474">
        <f>Biodata!A39</f>
        <v>31</v>
      </c>
      <c r="B37" s="478" t="str">
        <f>Biodata!B39</f>
        <v>181910320</v>
      </c>
      <c r="C37" s="479" t="str">
        <f>Biodata!C39</f>
        <v>RISNA TIRANI</v>
      </c>
      <c r="D37" s="474">
        <v>73</v>
      </c>
      <c r="E37" s="474" t="s">
        <v>18</v>
      </c>
      <c r="F37" s="474">
        <v>70</v>
      </c>
      <c r="G37" s="474" t="s">
        <v>18</v>
      </c>
    </row>
    <row r="38" spans="1:7">
      <c r="A38" s="474">
        <f>Biodata!A40</f>
        <v>32</v>
      </c>
      <c r="B38" s="478" t="str">
        <f>Biodata!B40</f>
        <v>181910331</v>
      </c>
      <c r="C38" s="479" t="str">
        <f>Biodata!C40</f>
        <v>RULLY PRATAMA S.</v>
      </c>
      <c r="D38" s="474">
        <v>65</v>
      </c>
      <c r="E38" s="474" t="s">
        <v>429</v>
      </c>
      <c r="F38" s="474">
        <v>60</v>
      </c>
      <c r="G38" s="474" t="s">
        <v>429</v>
      </c>
    </row>
    <row r="39" spans="1:7">
      <c r="A39" s="474">
        <f>Biodata!A41</f>
        <v>33</v>
      </c>
      <c r="B39" s="478" t="str">
        <f>Biodata!B41</f>
        <v>181910335</v>
      </c>
      <c r="C39" s="479" t="str">
        <f>Biodata!C41</f>
        <v>SALSA ASYKIYA</v>
      </c>
      <c r="D39" s="474">
        <v>74</v>
      </c>
      <c r="E39" s="474" t="s">
        <v>18</v>
      </c>
      <c r="F39" s="474">
        <v>70</v>
      </c>
      <c r="G39" s="474" t="s">
        <v>18</v>
      </c>
    </row>
    <row r="40" spans="1:7">
      <c r="A40" s="474">
        <f>Biodata!A42</f>
        <v>34</v>
      </c>
      <c r="B40" s="478" t="str">
        <f>Biodata!B42</f>
        <v>181910353</v>
      </c>
      <c r="C40" s="479" t="str">
        <f>Biodata!C42</f>
        <v>SILFI HAMIDAH</v>
      </c>
      <c r="D40" s="474">
        <v>76</v>
      </c>
      <c r="E40" s="474" t="s">
        <v>18</v>
      </c>
      <c r="F40" s="474">
        <v>70</v>
      </c>
      <c r="G40" s="474" t="s">
        <v>18</v>
      </c>
    </row>
    <row r="41" spans="1:7">
      <c r="A41" s="474">
        <f>Biodata!A43</f>
        <v>35</v>
      </c>
      <c r="B41" s="478" t="str">
        <f>Biodata!B43</f>
        <v>181910408</v>
      </c>
      <c r="C41" s="479" t="str">
        <f>Biodata!C43</f>
        <v>YESHA RAHAYU</v>
      </c>
      <c r="D41" s="474">
        <v>20</v>
      </c>
      <c r="E41" s="474" t="s">
        <v>429</v>
      </c>
      <c r="F41" s="474">
        <v>60</v>
      </c>
      <c r="G41" s="474" t="s">
        <v>18</v>
      </c>
    </row>
    <row r="42" spans="1:7">
      <c r="A42" s="474">
        <f>Biodata!A44</f>
        <v>36</v>
      </c>
      <c r="B42" s="478" t="str">
        <f>Biodata!B44</f>
        <v>181910433</v>
      </c>
      <c r="C42" s="479" t="str">
        <f>Biodata!C44</f>
        <v>MUHAMAD RIZAL</v>
      </c>
      <c r="D42" s="474">
        <v>10</v>
      </c>
      <c r="E42" s="474" t="s">
        <v>429</v>
      </c>
      <c r="F42" s="474">
        <v>20</v>
      </c>
      <c r="G42" s="474" t="s">
        <v>429</v>
      </c>
    </row>
    <row r="43" spans="1:7">
      <c r="A43" s="474">
        <f>Biodata!A45</f>
        <v>37</v>
      </c>
      <c r="B43" s="478" t="str">
        <f>Biodata!B45</f>
        <v>037</v>
      </c>
      <c r="C43" s="479" t="str">
        <f>Biodata!C45</f>
        <v>A37</v>
      </c>
      <c r="D43" s="474">
        <f t="shared" ref="D43:D46" si="0">IFERROR(VLOOKUP(B43&amp;"A",leggerx1,18,0),"")</f>
        <v>0</v>
      </c>
      <c r="E43" s="474" t="str">
        <f t="shared" ref="E43:E46" si="1">IFERROR(VLOOKUP(B43&amp;"C",leggerx1,18,0),"")</f>
        <v/>
      </c>
      <c r="F43" s="474">
        <f t="shared" ref="F43:F46" si="2">IFERROR(VLOOKUP(B43&amp;"B",leggerx1,18,0),"")</f>
        <v>0</v>
      </c>
      <c r="G43" s="474" t="str">
        <f t="shared" ref="G43:G46" si="3">IFERROR(VLOOKUP(B43&amp;"D",leggerx1,18,0),"")</f>
        <v/>
      </c>
    </row>
    <row r="44" spans="1:7">
      <c r="A44" s="474">
        <f>Biodata!A46</f>
        <v>38</v>
      </c>
      <c r="B44" s="478" t="str">
        <f>Biodata!B46</f>
        <v>038</v>
      </c>
      <c r="C44" s="479" t="str">
        <f>Biodata!C46</f>
        <v>A38</v>
      </c>
      <c r="D44" s="474">
        <f t="shared" si="0"/>
        <v>0</v>
      </c>
      <c r="E44" s="474" t="str">
        <f t="shared" si="1"/>
        <v/>
      </c>
      <c r="F44" s="474">
        <f t="shared" si="2"/>
        <v>0</v>
      </c>
      <c r="G44" s="474" t="str">
        <f t="shared" si="3"/>
        <v/>
      </c>
    </row>
    <row r="45" spans="1:7">
      <c r="A45" s="474">
        <f>Biodata!A47</f>
        <v>39</v>
      </c>
      <c r="B45" s="478" t="str">
        <f>Biodata!B47</f>
        <v>039</v>
      </c>
      <c r="C45" s="479" t="str">
        <f>Biodata!C47</f>
        <v>A39</v>
      </c>
      <c r="D45" s="474">
        <f t="shared" si="0"/>
        <v>0</v>
      </c>
      <c r="E45" s="474" t="str">
        <f t="shared" si="1"/>
        <v/>
      </c>
      <c r="F45" s="474">
        <f t="shared" si="2"/>
        <v>0</v>
      </c>
      <c r="G45" s="474" t="str">
        <f t="shared" si="3"/>
        <v/>
      </c>
    </row>
    <row r="46" spans="1:7">
      <c r="A46" s="474">
        <f>Biodata!A48</f>
        <v>40</v>
      </c>
      <c r="B46" s="478" t="str">
        <f>Biodata!B48</f>
        <v>040</v>
      </c>
      <c r="C46" s="479" t="str">
        <f>Biodata!C48</f>
        <v>A40</v>
      </c>
      <c r="D46" s="474">
        <f t="shared" si="0"/>
        <v>0</v>
      </c>
      <c r="E46" s="474" t="str">
        <f t="shared" si="1"/>
        <v/>
      </c>
      <c r="F46" s="474">
        <f t="shared" si="2"/>
        <v>0</v>
      </c>
      <c r="G46" s="474" t="str">
        <f t="shared" si="3"/>
        <v/>
      </c>
    </row>
    <row r="47" spans="1:7">
      <c r="C47" s="483"/>
    </row>
    <row r="48" spans="1:7">
      <c r="C48" s="483"/>
    </row>
    <row r="49" spans="3:3" s="475" customFormat="1" ht="11.25">
      <c r="C49" s="483"/>
    </row>
    <row r="50" spans="3:3" s="475" customFormat="1" ht="11.25">
      <c r="C50" s="48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0"/>
  <sheetViews>
    <sheetView workbookViewId="0">
      <selection activeCell="G45" sqref="G45"/>
    </sheetView>
  </sheetViews>
  <sheetFormatPr defaultColWidth="9" defaultRowHeight="12.75"/>
  <cols>
    <col min="1" max="1" width="3.7109375" style="474" customWidth="1"/>
    <col min="2" max="2" width="7.140625" style="474" customWidth="1"/>
    <col min="3" max="3" width="21.7109375" style="475" customWidth="1"/>
    <col min="4" max="4" width="11.85546875" style="474" customWidth="1"/>
    <col min="5" max="5" width="8" style="474" customWidth="1"/>
    <col min="6" max="6" width="12" style="474" customWidth="1"/>
    <col min="7" max="7" width="8" style="474" customWidth="1"/>
    <col min="8" max="256" width="9.140625" style="475" customWidth="1"/>
  </cols>
  <sheetData>
    <row r="1" spans="1:7">
      <c r="C1" s="476" t="s">
        <v>329</v>
      </c>
      <c r="D1" s="477" t="str">
        <f>Biodata!C4</f>
        <v xml:space="preserve"> X / IPS_5</v>
      </c>
    </row>
    <row r="2" spans="1:7">
      <c r="C2" s="476" t="s">
        <v>330</v>
      </c>
      <c r="D2" s="477" t="str">
        <f>Biodata!C5</f>
        <v>1 / Ganjil</v>
      </c>
    </row>
    <row r="3" spans="1:7">
      <c r="D3" s="477"/>
    </row>
    <row r="4" spans="1:7">
      <c r="C4" s="476" t="s">
        <v>331</v>
      </c>
      <c r="D4" s="477" t="str">
        <f>LEGER!V6</f>
        <v>Baca Tulis Qur'an</v>
      </c>
    </row>
    <row r="5" spans="1:7">
      <c r="C5" s="476" t="s">
        <v>332</v>
      </c>
      <c r="D5" s="477">
        <f>RAPORT!C84</f>
        <v>70</v>
      </c>
    </row>
    <row r="6" spans="1:7">
      <c r="A6" s="474" t="s">
        <v>325</v>
      </c>
      <c r="B6" s="474" t="s">
        <v>10</v>
      </c>
      <c r="C6" s="475" t="s">
        <v>324</v>
      </c>
      <c r="D6" s="474" t="s">
        <v>75</v>
      </c>
      <c r="E6" s="474" t="s">
        <v>71</v>
      </c>
      <c r="F6" s="474" t="s">
        <v>147</v>
      </c>
      <c r="G6" s="474" t="s">
        <v>71</v>
      </c>
    </row>
    <row r="7" spans="1:7">
      <c r="A7" s="474">
        <f>Biodata!A9</f>
        <v>1</v>
      </c>
      <c r="B7" s="478" t="str">
        <f>Biodata!B9</f>
        <v>181910008</v>
      </c>
      <c r="C7" s="479" t="str">
        <f>Biodata!C9</f>
        <v>ADITA TRI KURNIA PUTRI</v>
      </c>
      <c r="D7" s="474">
        <v>75</v>
      </c>
      <c r="E7" s="474" t="s">
        <v>18</v>
      </c>
      <c r="F7" s="474">
        <v>73</v>
      </c>
      <c r="G7" s="474" t="s">
        <v>18</v>
      </c>
    </row>
    <row r="8" spans="1:7">
      <c r="A8" s="474">
        <f>Biodata!A10</f>
        <v>2</v>
      </c>
      <c r="B8" s="478" t="str">
        <f>Biodata!B10</f>
        <v>181910011</v>
      </c>
      <c r="C8" s="479" t="str">
        <f>Biodata!C10</f>
        <v xml:space="preserve">ADNES KOMALA DEWI </v>
      </c>
      <c r="D8" s="474">
        <v>80</v>
      </c>
      <c r="E8" s="474" t="s">
        <v>6</v>
      </c>
      <c r="F8" s="474">
        <v>80</v>
      </c>
      <c r="G8" s="474" t="s">
        <v>6</v>
      </c>
    </row>
    <row r="9" spans="1:7">
      <c r="A9" s="474">
        <f>Biodata!A11</f>
        <v>3</v>
      </c>
      <c r="B9" s="478" t="str">
        <f>Biodata!B11</f>
        <v>181910014</v>
      </c>
      <c r="C9" s="479" t="str">
        <f>Biodata!C11</f>
        <v>AGUNG BUDI PRASTAWA</v>
      </c>
      <c r="D9" s="474">
        <v>75</v>
      </c>
      <c r="E9" s="474" t="s">
        <v>18</v>
      </c>
      <c r="F9" s="474">
        <v>73</v>
      </c>
      <c r="G9" s="474" t="s">
        <v>18</v>
      </c>
    </row>
    <row r="10" spans="1:7">
      <c r="A10" s="474">
        <f>Biodata!A12</f>
        <v>4</v>
      </c>
      <c r="B10" s="478" t="str">
        <f>Biodata!B12</f>
        <v>181910021</v>
      </c>
      <c r="C10" s="479" t="str">
        <f>Biodata!C12</f>
        <v>AISYAH</v>
      </c>
      <c r="D10" s="474">
        <v>78</v>
      </c>
      <c r="E10" s="474" t="s">
        <v>6</v>
      </c>
      <c r="F10" s="474">
        <v>75</v>
      </c>
      <c r="G10" s="474" t="s">
        <v>18</v>
      </c>
    </row>
    <row r="11" spans="1:7">
      <c r="A11" s="474">
        <f>Biodata!A13</f>
        <v>5</v>
      </c>
      <c r="B11" s="478" t="str">
        <f>Biodata!B13</f>
        <v>181910045</v>
      </c>
      <c r="C11" s="479" t="str">
        <f>Biodata!C13</f>
        <v>ARYA DYTA WIGUNA</v>
      </c>
      <c r="D11" s="474">
        <v>84</v>
      </c>
      <c r="E11" s="474" t="s">
        <v>6</v>
      </c>
      <c r="F11" s="474">
        <v>82</v>
      </c>
      <c r="G11" s="474" t="s">
        <v>6</v>
      </c>
    </row>
    <row r="12" spans="1:7">
      <c r="A12" s="474">
        <f>Biodata!A14</f>
        <v>6</v>
      </c>
      <c r="B12" s="478" t="str">
        <f>Biodata!B14</f>
        <v>181910054</v>
      </c>
      <c r="C12" s="479" t="str">
        <f>Biodata!C14</f>
        <v>AZRIEL TAMA SANTIAJI</v>
      </c>
      <c r="D12" s="474">
        <v>65</v>
      </c>
      <c r="E12" s="474" t="s">
        <v>19</v>
      </c>
      <c r="F12" s="474">
        <v>60</v>
      </c>
      <c r="G12" s="474" t="s">
        <v>19</v>
      </c>
    </row>
    <row r="13" spans="1:7">
      <c r="A13" s="474">
        <f>Biodata!A15</f>
        <v>7</v>
      </c>
      <c r="B13" s="478" t="str">
        <f>Biodata!B15</f>
        <v>181910055</v>
      </c>
      <c r="C13" s="479" t="str">
        <f>Biodata!C15</f>
        <v>AZZUHRI HAUDI</v>
      </c>
      <c r="D13" s="474">
        <v>85</v>
      </c>
      <c r="E13" s="474" t="s">
        <v>6</v>
      </c>
      <c r="F13" s="474">
        <v>83</v>
      </c>
      <c r="G13" s="474" t="s">
        <v>6</v>
      </c>
    </row>
    <row r="14" spans="1:7">
      <c r="A14" s="474">
        <f>Biodata!A16</f>
        <v>8</v>
      </c>
      <c r="B14" s="478" t="str">
        <f>Biodata!B16</f>
        <v>181910056</v>
      </c>
      <c r="C14" s="479" t="str">
        <f>Biodata!C16</f>
        <v>BAYU BATARA SURYA PUTRA</v>
      </c>
      <c r="D14" s="474">
        <v>75</v>
      </c>
      <c r="E14" s="474" t="s">
        <v>18</v>
      </c>
      <c r="F14" s="474">
        <v>73</v>
      </c>
      <c r="G14" s="474" t="s">
        <v>18</v>
      </c>
    </row>
    <row r="15" spans="1:7">
      <c r="A15" s="474">
        <f>Biodata!A17</f>
        <v>9</v>
      </c>
      <c r="B15" s="478" t="str">
        <f>Biodata!B17</f>
        <v>181910069</v>
      </c>
      <c r="C15" s="479" t="str">
        <f>Biodata!C17</f>
        <v>DANDY ERVAN PRATAMA</v>
      </c>
      <c r="D15" s="474">
        <v>70</v>
      </c>
      <c r="E15" s="474" t="s">
        <v>18</v>
      </c>
      <c r="F15" s="474">
        <v>70</v>
      </c>
      <c r="G15" s="474" t="s">
        <v>18</v>
      </c>
    </row>
    <row r="16" spans="1:7">
      <c r="A16" s="474">
        <f>Biodata!A18</f>
        <v>10</v>
      </c>
      <c r="B16" s="478" t="str">
        <f>Biodata!B18</f>
        <v>181910085</v>
      </c>
      <c r="C16" s="479" t="str">
        <f>Biodata!C18</f>
        <v>DENISA ASTI RAHMAWATI</v>
      </c>
      <c r="D16" s="474">
        <v>90</v>
      </c>
      <c r="E16" s="474" t="s">
        <v>7</v>
      </c>
      <c r="F16" s="474">
        <v>85</v>
      </c>
      <c r="G16" s="474" t="s">
        <v>6</v>
      </c>
    </row>
    <row r="17" spans="1:7">
      <c r="A17" s="474">
        <f>Biodata!A19</f>
        <v>11</v>
      </c>
      <c r="B17" s="478" t="str">
        <f>Biodata!B19</f>
        <v>181910093</v>
      </c>
      <c r="C17" s="479" t="str">
        <f>Biodata!C19</f>
        <v>DIAN RAMDHAN SAPTIAN</v>
      </c>
      <c r="D17" s="474">
        <v>75</v>
      </c>
      <c r="E17" s="474" t="s">
        <v>18</v>
      </c>
      <c r="F17" s="474">
        <v>73</v>
      </c>
      <c r="G17" s="474" t="s">
        <v>18</v>
      </c>
    </row>
    <row r="18" spans="1:7">
      <c r="A18" s="474">
        <f>Biodata!A20</f>
        <v>12</v>
      </c>
      <c r="B18" s="478" t="str">
        <f>Biodata!B20</f>
        <v>181910103</v>
      </c>
      <c r="C18" s="479" t="str">
        <f>Biodata!C20</f>
        <v>DIVYA ADHIANI NURDIN</v>
      </c>
      <c r="D18" s="474">
        <v>80</v>
      </c>
      <c r="E18" s="474" t="s">
        <v>6</v>
      </c>
      <c r="F18" s="474">
        <v>80</v>
      </c>
      <c r="G18" s="474" t="s">
        <v>6</v>
      </c>
    </row>
    <row r="19" spans="1:7">
      <c r="A19" s="474">
        <f>Biodata!A21</f>
        <v>13</v>
      </c>
      <c r="B19" s="478" t="str">
        <f>Biodata!B21</f>
        <v>181910104</v>
      </c>
      <c r="C19" s="479" t="str">
        <f>Biodata!C21</f>
        <v>DWIKI DERMAWAN</v>
      </c>
      <c r="D19" s="474">
        <v>65</v>
      </c>
      <c r="E19" s="474" t="s">
        <v>19</v>
      </c>
      <c r="F19" s="474">
        <v>73</v>
      </c>
      <c r="G19" s="474" t="s">
        <v>18</v>
      </c>
    </row>
    <row r="20" spans="1:7">
      <c r="A20" s="474">
        <f>Biodata!A22</f>
        <v>14</v>
      </c>
      <c r="B20" s="478" t="str">
        <f>Biodata!B22</f>
        <v>181910118</v>
      </c>
      <c r="C20" s="479" t="str">
        <f>Biodata!C22</f>
        <v>ENCEP CANDRA</v>
      </c>
      <c r="D20" s="474">
        <v>75</v>
      </c>
      <c r="E20" s="474" t="s">
        <v>18</v>
      </c>
      <c r="F20" s="474">
        <v>80</v>
      </c>
      <c r="G20" s="474" t="s">
        <v>6</v>
      </c>
    </row>
    <row r="21" spans="1:7">
      <c r="A21" s="474">
        <f>Biodata!A23</f>
        <v>15</v>
      </c>
      <c r="B21" s="478" t="str">
        <f>Biodata!B23</f>
        <v>181910128</v>
      </c>
      <c r="C21" s="479" t="str">
        <f>Biodata!C23</f>
        <v>FAIZAL EGI</v>
      </c>
      <c r="D21" s="474">
        <v>82</v>
      </c>
      <c r="E21" s="474" t="s">
        <v>6</v>
      </c>
      <c r="F21" s="474">
        <v>60</v>
      </c>
      <c r="G21" s="474" t="s">
        <v>19</v>
      </c>
    </row>
    <row r="22" spans="1:7">
      <c r="A22" s="474">
        <f>Biodata!A24</f>
        <v>16</v>
      </c>
      <c r="B22" s="478" t="str">
        <f>Biodata!B24</f>
        <v>181910133</v>
      </c>
      <c r="C22" s="479" t="str">
        <f>Biodata!C24</f>
        <v>FAUZI DHALFADLIL AZHANI</v>
      </c>
      <c r="D22" s="474">
        <v>82</v>
      </c>
      <c r="E22" s="474" t="s">
        <v>6</v>
      </c>
      <c r="F22" s="474">
        <v>73</v>
      </c>
      <c r="G22" s="474" t="s">
        <v>18</v>
      </c>
    </row>
    <row r="23" spans="1:7">
      <c r="A23" s="474">
        <f>Biodata!A25</f>
        <v>17</v>
      </c>
      <c r="B23" s="478" t="str">
        <f>Biodata!B25</f>
        <v>181910161</v>
      </c>
      <c r="C23" s="479" t="str">
        <f>Biodata!C25</f>
        <v>HILMAN PUTRA PAMUNGKAS</v>
      </c>
      <c r="D23" s="474">
        <v>75</v>
      </c>
      <c r="E23" s="474" t="s">
        <v>18</v>
      </c>
      <c r="F23" s="474">
        <v>80</v>
      </c>
      <c r="G23" s="474" t="s">
        <v>6</v>
      </c>
    </row>
    <row r="24" spans="1:7">
      <c r="A24" s="474">
        <f>Biodata!A26</f>
        <v>18</v>
      </c>
      <c r="B24" s="478" t="str">
        <f>Biodata!B26</f>
        <v>181910165</v>
      </c>
      <c r="C24" s="479" t="str">
        <f>Biodata!C26</f>
        <v>IHSYA FADILLAH MUSLIM</v>
      </c>
      <c r="D24" s="474">
        <v>83</v>
      </c>
      <c r="E24" s="474" t="s">
        <v>6</v>
      </c>
      <c r="F24" s="474">
        <v>60</v>
      </c>
      <c r="G24" s="474" t="s">
        <v>19</v>
      </c>
    </row>
    <row r="25" spans="1:7">
      <c r="A25" s="474">
        <f>Biodata!A27</f>
        <v>19</v>
      </c>
      <c r="B25" s="478" t="str">
        <f>Biodata!B27</f>
        <v>181910185</v>
      </c>
      <c r="C25" s="479" t="str">
        <f>Biodata!C27</f>
        <v>JIHAD AKBAR</v>
      </c>
      <c r="D25" s="474">
        <v>75</v>
      </c>
      <c r="E25" s="474" t="s">
        <v>18</v>
      </c>
      <c r="F25" s="474">
        <v>73</v>
      </c>
      <c r="G25" s="474" t="s">
        <v>18</v>
      </c>
    </row>
    <row r="26" spans="1:7">
      <c r="A26" s="474">
        <f>Biodata!A28</f>
        <v>20</v>
      </c>
      <c r="B26" s="478" t="str">
        <f>Biodata!B28</f>
        <v>181910226</v>
      </c>
      <c r="C26" s="479" t="str">
        <f>Biodata!C28</f>
        <v>MUHAMAD IZZAZUL FIKRIAN</v>
      </c>
      <c r="D26" s="474">
        <v>83</v>
      </c>
      <c r="E26" s="474" t="s">
        <v>6</v>
      </c>
      <c r="F26" s="474">
        <v>80</v>
      </c>
      <c r="G26" s="474" t="s">
        <v>6</v>
      </c>
    </row>
    <row r="27" spans="1:7">
      <c r="A27" s="474">
        <f>Biodata!A29</f>
        <v>21</v>
      </c>
      <c r="B27" s="478" t="str">
        <f>Biodata!B29</f>
        <v>181910240</v>
      </c>
      <c r="C27" s="479" t="str">
        <f>Biodata!C29</f>
        <v>NESHA RAUDHATUL ZANNAH</v>
      </c>
      <c r="D27" s="474">
        <v>83</v>
      </c>
      <c r="E27" s="474" t="s">
        <v>6</v>
      </c>
      <c r="F27" s="474">
        <v>80</v>
      </c>
      <c r="G27" s="474" t="s">
        <v>6</v>
      </c>
    </row>
    <row r="28" spans="1:7">
      <c r="A28" s="474">
        <f>Biodata!A30</f>
        <v>22</v>
      </c>
      <c r="B28" s="478" t="str">
        <f>Biodata!B30</f>
        <v>181910262</v>
      </c>
      <c r="C28" s="479" t="str">
        <f>Biodata!C30</f>
        <v>PUTRI ANGGRAENI</v>
      </c>
      <c r="D28" s="474">
        <v>80</v>
      </c>
      <c r="E28" s="474" t="s">
        <v>6</v>
      </c>
      <c r="F28" s="474">
        <v>80</v>
      </c>
      <c r="G28" s="474" t="s">
        <v>6</v>
      </c>
    </row>
    <row r="29" spans="1:7">
      <c r="A29" s="474">
        <f>Biodata!A31</f>
        <v>23</v>
      </c>
      <c r="B29" s="478" t="str">
        <f>Biodata!B31</f>
        <v>181910266</v>
      </c>
      <c r="C29" s="479" t="str">
        <f>Biodata!C31</f>
        <v>PUTRI WULANDARI</v>
      </c>
      <c r="D29" s="474">
        <v>83</v>
      </c>
      <c r="E29" s="474" t="s">
        <v>6</v>
      </c>
      <c r="F29" s="474">
        <v>80</v>
      </c>
      <c r="G29" s="474" t="s">
        <v>6</v>
      </c>
    </row>
    <row r="30" spans="1:7">
      <c r="A30" s="474">
        <f>Biodata!A32</f>
        <v>24</v>
      </c>
      <c r="B30" s="478" t="str">
        <f>Biodata!B32</f>
        <v>181910272</v>
      </c>
      <c r="C30" s="479" t="str">
        <f>Biodata!C32</f>
        <v>RAFLY GYMNASTIAR</v>
      </c>
      <c r="D30" s="474">
        <v>78</v>
      </c>
      <c r="E30" s="474" t="s">
        <v>6</v>
      </c>
      <c r="F30" s="474">
        <v>75</v>
      </c>
      <c r="G30" s="474" t="s">
        <v>18</v>
      </c>
    </row>
    <row r="31" spans="1:7">
      <c r="A31" s="474">
        <f>Biodata!A33</f>
        <v>25</v>
      </c>
      <c r="B31" s="478" t="str">
        <f>Biodata!B33</f>
        <v>181910280</v>
      </c>
      <c r="C31" s="479" t="str">
        <f>Biodata!C33</f>
        <v>REFIANA</v>
      </c>
      <c r="D31" s="474">
        <v>83</v>
      </c>
      <c r="E31" s="474" t="s">
        <v>6</v>
      </c>
      <c r="F31" s="474">
        <v>80</v>
      </c>
      <c r="G31" s="474" t="s">
        <v>6</v>
      </c>
    </row>
    <row r="32" spans="1:7">
      <c r="A32" s="474">
        <f>Biodata!A34</f>
        <v>26</v>
      </c>
      <c r="B32" s="478" t="str">
        <f>Biodata!B34</f>
        <v>181910285</v>
      </c>
      <c r="C32" s="479" t="str">
        <f>Biodata!C34</f>
        <v>RENALDI PRIYATAMA</v>
      </c>
      <c r="D32" s="474">
        <v>75</v>
      </c>
      <c r="E32" s="474" t="s">
        <v>18</v>
      </c>
      <c r="F32" s="474">
        <v>73</v>
      </c>
      <c r="G32" s="474" t="s">
        <v>18</v>
      </c>
    </row>
    <row r="33" spans="1:7">
      <c r="A33" s="474">
        <f>Biodata!A35</f>
        <v>27</v>
      </c>
      <c r="B33" s="478" t="str">
        <f>Biodata!B35</f>
        <v>181910286</v>
      </c>
      <c r="C33" s="479" t="str">
        <f>Biodata!C35</f>
        <v>RENATA</v>
      </c>
      <c r="D33" s="474">
        <v>82</v>
      </c>
      <c r="E33" s="474" t="s">
        <v>6</v>
      </c>
      <c r="F33" s="474">
        <v>80</v>
      </c>
      <c r="G33" s="474" t="s">
        <v>6</v>
      </c>
    </row>
    <row r="34" spans="1:7">
      <c r="A34" s="474">
        <f>Biodata!A36</f>
        <v>28</v>
      </c>
      <c r="B34" s="478" t="str">
        <f>Biodata!B36</f>
        <v>181910293</v>
      </c>
      <c r="C34" s="479" t="str">
        <f>Biodata!C36</f>
        <v xml:space="preserve">REZA ERNANDA </v>
      </c>
      <c r="D34" s="474">
        <v>80</v>
      </c>
      <c r="E34" s="474" t="s">
        <v>6</v>
      </c>
      <c r="F34" s="474">
        <v>73</v>
      </c>
      <c r="G34" s="474" t="s">
        <v>18</v>
      </c>
    </row>
    <row r="35" spans="1:7">
      <c r="A35" s="474">
        <f>Biodata!A37</f>
        <v>29</v>
      </c>
      <c r="B35" s="478" t="str">
        <f>Biodata!B37</f>
        <v>181910300</v>
      </c>
      <c r="C35" s="479" t="str">
        <f>Biodata!C37</f>
        <v>RIFAN MUHAMAD RIZKI</v>
      </c>
      <c r="D35" s="474">
        <v>75</v>
      </c>
      <c r="E35" s="474" t="s">
        <v>18</v>
      </c>
      <c r="F35" s="474">
        <v>80</v>
      </c>
      <c r="G35" s="474" t="s">
        <v>6</v>
      </c>
    </row>
    <row r="36" spans="1:7">
      <c r="A36" s="474">
        <f>Biodata!A38</f>
        <v>30</v>
      </c>
      <c r="B36" s="478" t="str">
        <f>Biodata!B38</f>
        <v>181910318</v>
      </c>
      <c r="C36" s="479" t="str">
        <f>Biodata!C38</f>
        <v>RISMA SURYANI</v>
      </c>
      <c r="D36" s="474">
        <v>83</v>
      </c>
      <c r="E36" s="474" t="s">
        <v>6</v>
      </c>
      <c r="F36" s="474">
        <v>85</v>
      </c>
      <c r="G36" s="474" t="s">
        <v>6</v>
      </c>
    </row>
    <row r="37" spans="1:7">
      <c r="A37" s="474">
        <f>Biodata!A39</f>
        <v>31</v>
      </c>
      <c r="B37" s="478" t="str">
        <f>Biodata!B39</f>
        <v>181910320</v>
      </c>
      <c r="C37" s="479" t="str">
        <f>Biodata!C39</f>
        <v>RISNA TIRANI</v>
      </c>
      <c r="D37" s="474">
        <v>87</v>
      </c>
      <c r="E37" s="474" t="s">
        <v>6</v>
      </c>
      <c r="F37" s="474">
        <v>80</v>
      </c>
      <c r="G37" s="474" t="s">
        <v>6</v>
      </c>
    </row>
    <row r="38" spans="1:7">
      <c r="A38" s="474">
        <f>Biodata!A40</f>
        <v>32</v>
      </c>
      <c r="B38" s="478" t="str">
        <f>Biodata!B40</f>
        <v>181910331</v>
      </c>
      <c r="C38" s="479" t="str">
        <f>Biodata!C40</f>
        <v>RULLY PRATAMA S.</v>
      </c>
      <c r="D38" s="474">
        <v>83</v>
      </c>
      <c r="E38" s="474" t="s">
        <v>6</v>
      </c>
      <c r="F38" s="474">
        <v>80</v>
      </c>
      <c r="G38" s="474" t="s">
        <v>6</v>
      </c>
    </row>
    <row r="39" spans="1:7">
      <c r="A39" s="474">
        <f>Biodata!A41</f>
        <v>33</v>
      </c>
      <c r="B39" s="478" t="str">
        <f>Biodata!B41</f>
        <v>181910335</v>
      </c>
      <c r="C39" s="479" t="str">
        <f>Biodata!C41</f>
        <v>SALSA ASYKIYA</v>
      </c>
      <c r="D39" s="474">
        <v>85</v>
      </c>
      <c r="E39" s="474" t="s">
        <v>6</v>
      </c>
      <c r="F39" s="474">
        <v>83</v>
      </c>
      <c r="G39" s="474" t="s">
        <v>6</v>
      </c>
    </row>
    <row r="40" spans="1:7">
      <c r="A40" s="474">
        <f>Biodata!A42</f>
        <v>34</v>
      </c>
      <c r="B40" s="478" t="str">
        <f>Biodata!B42</f>
        <v>181910353</v>
      </c>
      <c r="C40" s="479" t="str">
        <f>Biodata!C42</f>
        <v>SILFI HAMIDAH</v>
      </c>
      <c r="D40" s="474">
        <v>80</v>
      </c>
      <c r="E40" s="474" t="s">
        <v>6</v>
      </c>
      <c r="F40" s="474">
        <v>80</v>
      </c>
      <c r="G40" s="474" t="s">
        <v>6</v>
      </c>
    </row>
    <row r="41" spans="1:7">
      <c r="A41" s="474">
        <f>Biodata!A43</f>
        <v>35</v>
      </c>
      <c r="B41" s="478" t="str">
        <f>Biodata!B43</f>
        <v>181910408</v>
      </c>
      <c r="C41" s="479" t="str">
        <f>Biodata!C43</f>
        <v>YESHA RAHAYU</v>
      </c>
      <c r="D41" s="474">
        <v>78</v>
      </c>
      <c r="E41" s="474" t="s">
        <v>6</v>
      </c>
      <c r="F41" s="474">
        <v>75</v>
      </c>
      <c r="G41" s="474" t="s">
        <v>18</v>
      </c>
    </row>
    <row r="42" spans="1:7">
      <c r="A42" s="474">
        <f>Biodata!A44</f>
        <v>36</v>
      </c>
      <c r="B42" s="478" t="str">
        <f>Biodata!B44</f>
        <v>181910433</v>
      </c>
      <c r="C42" s="479" t="str">
        <f>Biodata!C44</f>
        <v>MUHAMAD RIZAL</v>
      </c>
      <c r="D42" s="474">
        <v>75</v>
      </c>
      <c r="E42" s="474" t="s">
        <v>18</v>
      </c>
      <c r="F42" s="474">
        <v>73</v>
      </c>
      <c r="G42" s="474" t="s">
        <v>18</v>
      </c>
    </row>
    <row r="43" spans="1:7">
      <c r="A43" s="474">
        <f>Biodata!A45</f>
        <v>37</v>
      </c>
      <c r="B43" s="478" t="str">
        <f>Biodata!B45</f>
        <v>037</v>
      </c>
      <c r="C43" s="479" t="str">
        <f>Biodata!C45</f>
        <v>A37</v>
      </c>
      <c r="D43" s="474">
        <f t="shared" ref="D43:D46" si="0">IFERROR(VLOOKUP(B43&amp;"A",leggerx1,19,0),"")</f>
        <v>0</v>
      </c>
      <c r="E43" s="474" t="str">
        <f t="shared" ref="E43:E46" si="1">IFERROR(VLOOKUP(B43&amp;"C",leggerx1,19,0),"")</f>
        <v/>
      </c>
      <c r="F43" s="474">
        <f t="shared" ref="F43:F46" si="2">IFERROR(VLOOKUP(B43&amp;"B",leggerx1,19,0),"")</f>
        <v>0</v>
      </c>
      <c r="G43" s="474" t="str">
        <f t="shared" ref="G43:G46" si="3">IFERROR(VLOOKUP(B43&amp;"D",leggerx1,19,0),"")</f>
        <v/>
      </c>
    </row>
    <row r="44" spans="1:7">
      <c r="A44" s="474">
        <f>Biodata!A46</f>
        <v>38</v>
      </c>
      <c r="B44" s="478" t="str">
        <f>Biodata!B46</f>
        <v>038</v>
      </c>
      <c r="C44" s="479" t="str">
        <f>Biodata!C46</f>
        <v>A38</v>
      </c>
      <c r="D44" s="474">
        <f t="shared" si="0"/>
        <v>0</v>
      </c>
      <c r="E44" s="474" t="str">
        <f t="shared" si="1"/>
        <v/>
      </c>
      <c r="F44" s="474">
        <f t="shared" si="2"/>
        <v>0</v>
      </c>
      <c r="G44" s="474" t="str">
        <f t="shared" si="3"/>
        <v/>
      </c>
    </row>
    <row r="45" spans="1:7">
      <c r="A45" s="474">
        <f>Biodata!A47</f>
        <v>39</v>
      </c>
      <c r="B45" s="478" t="str">
        <f>Biodata!B47</f>
        <v>039</v>
      </c>
      <c r="C45" s="479" t="str">
        <f>Biodata!C47</f>
        <v>A39</v>
      </c>
      <c r="D45" s="474">
        <f t="shared" si="0"/>
        <v>0</v>
      </c>
      <c r="E45" s="474" t="str">
        <f t="shared" si="1"/>
        <v/>
      </c>
      <c r="F45" s="474">
        <f t="shared" si="2"/>
        <v>0</v>
      </c>
      <c r="G45" s="474" t="str">
        <f t="shared" si="3"/>
        <v/>
      </c>
    </row>
    <row r="46" spans="1:7">
      <c r="A46" s="474">
        <f>Biodata!A48</f>
        <v>40</v>
      </c>
      <c r="B46" s="478" t="str">
        <f>Biodata!B48</f>
        <v>040</v>
      </c>
      <c r="C46" s="479" t="str">
        <f>Biodata!C48</f>
        <v>A40</v>
      </c>
      <c r="D46" s="474">
        <f t="shared" si="0"/>
        <v>0</v>
      </c>
      <c r="E46" s="474" t="str">
        <f t="shared" si="1"/>
        <v/>
      </c>
      <c r="F46" s="474">
        <f t="shared" si="2"/>
        <v>0</v>
      </c>
      <c r="G46" s="474" t="str">
        <f t="shared" si="3"/>
        <v/>
      </c>
    </row>
    <row r="47" spans="1:7">
      <c r="C47" s="483"/>
    </row>
    <row r="48" spans="1:7">
      <c r="C48" s="483"/>
    </row>
    <row r="49" spans="3:3" s="475" customFormat="1" ht="11.25">
      <c r="C49" s="483"/>
    </row>
    <row r="50" spans="3:3" s="475" customFormat="1" ht="11.25">
      <c r="C50" s="48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IV174"/>
  <sheetViews>
    <sheetView showGridLines="0" zoomScale="85" workbookViewId="0">
      <pane xSplit="4" ySplit="7" topLeftCell="E8" activePane="bottomRight" state="frozen"/>
      <selection pane="topRight"/>
      <selection pane="bottomLeft"/>
      <selection pane="bottomRight" activeCell="A16" sqref="A16:A19"/>
    </sheetView>
  </sheetViews>
  <sheetFormatPr defaultColWidth="9" defaultRowHeight="12.75"/>
  <cols>
    <col min="1" max="1" width="4" style="44" customWidth="1"/>
    <col min="2" max="2" width="4.42578125" style="45" customWidth="1"/>
    <col min="3" max="3" width="20.42578125" style="45" customWidth="1"/>
    <col min="4" max="4" width="10.85546875" style="46" hidden="1"/>
    <col min="5" max="5" width="6.7109375" style="45" customWidth="1"/>
    <col min="6" max="13" width="4.7109375" style="47" customWidth="1"/>
    <col min="14" max="14" width="4.7109375" style="48" customWidth="1"/>
    <col min="15" max="22" width="4.7109375" style="47" customWidth="1"/>
    <col min="23" max="24" width="4.5703125" style="47" customWidth="1"/>
    <col min="25" max="27" width="3.7109375" style="47" customWidth="1"/>
    <col min="28" max="28" width="17" style="47" customWidth="1"/>
    <col min="29" max="29" width="5.140625" style="47" customWidth="1"/>
    <col min="30" max="30" width="5.7109375" style="49" customWidth="1"/>
    <col min="31" max="31" width="7" style="50" customWidth="1"/>
    <col min="32" max="32" width="3.5703125" style="51" customWidth="1"/>
    <col min="33" max="33" width="16.7109375" style="52" customWidth="1"/>
    <col min="34" max="38" width="6.42578125" style="52" customWidth="1"/>
    <col min="39" max="39" width="36.28515625" style="52" customWidth="1"/>
    <col min="40" max="256" width="6.42578125" style="52" customWidth="1"/>
  </cols>
  <sheetData>
    <row r="1" spans="1:39" ht="15">
      <c r="A1" s="53" t="s">
        <v>52</v>
      </c>
      <c r="B1" s="54"/>
      <c r="C1" s="55"/>
      <c r="D1" s="56"/>
      <c r="E1" s="54"/>
      <c r="F1" s="57"/>
      <c r="G1" s="57"/>
      <c r="H1" s="57"/>
      <c r="I1" s="57"/>
      <c r="J1" s="57"/>
      <c r="K1" s="57"/>
      <c r="L1" s="57"/>
      <c r="M1" s="58" t="s">
        <v>50</v>
      </c>
      <c r="N1" s="59" t="str">
        <f>Biodata!C4</f>
        <v xml:space="preserve"> X / IPS_5</v>
      </c>
      <c r="O1" s="57"/>
      <c r="P1" s="57"/>
      <c r="Q1" s="57"/>
      <c r="R1" s="57"/>
      <c r="S1" s="57"/>
      <c r="T1" s="57"/>
      <c r="U1" s="57"/>
      <c r="V1" s="57"/>
      <c r="W1" s="57"/>
      <c r="X1" s="57"/>
      <c r="Y1" s="57"/>
      <c r="Z1" s="57"/>
      <c r="AA1" s="57"/>
      <c r="AB1" s="57"/>
      <c r="AC1" s="57"/>
      <c r="AD1" s="60"/>
      <c r="AE1" s="57"/>
    </row>
    <row r="2" spans="1:39" ht="15">
      <c r="A2" s="51"/>
      <c r="B2" s="54"/>
      <c r="C2" s="55"/>
      <c r="D2" s="56"/>
      <c r="E2" s="54"/>
      <c r="F2" s="57"/>
      <c r="G2" s="57"/>
      <c r="H2" s="57"/>
      <c r="I2" s="57"/>
      <c r="J2" s="57"/>
      <c r="K2" s="57"/>
      <c r="L2" s="57"/>
      <c r="M2" s="58" t="s">
        <v>42</v>
      </c>
      <c r="N2" s="59" t="str">
        <f>Biodata!C5</f>
        <v>1 / Ganjil</v>
      </c>
      <c r="O2" s="57"/>
      <c r="P2" s="57"/>
      <c r="Q2" s="57"/>
      <c r="R2" s="57"/>
      <c r="S2" s="57"/>
      <c r="T2" s="57"/>
      <c r="U2" s="57"/>
      <c r="V2" s="57"/>
      <c r="W2" s="57"/>
      <c r="X2" s="57"/>
      <c r="Y2" s="57"/>
      <c r="Z2" s="57"/>
      <c r="AA2" s="57"/>
      <c r="AB2" s="57"/>
      <c r="AC2" s="57"/>
      <c r="AD2" s="60"/>
      <c r="AE2" s="57"/>
    </row>
    <row r="3" spans="1:39" ht="15">
      <c r="A3" s="51"/>
      <c r="B3" s="54"/>
      <c r="C3" s="54"/>
      <c r="D3" s="56"/>
      <c r="E3" s="54"/>
      <c r="F3" s="57"/>
      <c r="G3" s="57"/>
      <c r="H3" s="57"/>
      <c r="I3" s="57"/>
      <c r="J3" s="57"/>
      <c r="K3" s="57"/>
      <c r="L3" s="57"/>
      <c r="M3" s="58" t="s">
        <v>43</v>
      </c>
      <c r="N3" s="59" t="str">
        <f>Biodata!C6</f>
        <v>2018 / 2019</v>
      </c>
      <c r="O3" s="57"/>
      <c r="P3" s="57"/>
      <c r="Q3" s="57"/>
      <c r="R3" s="57"/>
      <c r="S3" s="57"/>
      <c r="T3" s="57"/>
      <c r="U3" s="57"/>
      <c r="V3" s="57"/>
      <c r="W3" s="57"/>
      <c r="X3" s="57"/>
      <c r="Y3" s="57"/>
      <c r="Z3" s="57"/>
      <c r="AA3" s="57"/>
      <c r="AB3" s="57"/>
      <c r="AC3" s="57"/>
      <c r="AD3" s="60"/>
      <c r="AE3" s="57"/>
    </row>
    <row r="4" spans="1:39">
      <c r="A4" s="51"/>
      <c r="B4" s="54"/>
      <c r="C4" s="54"/>
      <c r="D4" s="56"/>
      <c r="E4" s="54"/>
      <c r="F4" s="57"/>
      <c r="G4" s="57"/>
      <c r="H4" s="57"/>
      <c r="I4" s="57"/>
      <c r="J4" s="57"/>
      <c r="K4" s="57"/>
      <c r="L4" s="57"/>
      <c r="M4" s="57"/>
      <c r="N4" s="61"/>
      <c r="O4" s="57"/>
      <c r="P4" s="57"/>
      <c r="Q4" s="57"/>
      <c r="R4" s="57"/>
      <c r="S4" s="57"/>
      <c r="T4" s="57"/>
      <c r="U4" s="57"/>
      <c r="V4" s="57"/>
      <c r="W4" s="57"/>
      <c r="X4" s="57"/>
      <c r="Y4" s="57"/>
      <c r="Z4" s="57"/>
      <c r="AA4" s="57"/>
      <c r="AB4" s="57"/>
      <c r="AC4" s="57"/>
      <c r="AD4" s="60"/>
      <c r="AE4" s="57"/>
    </row>
    <row r="5" spans="1:39" s="62" customFormat="1" ht="12.75" customHeight="1">
      <c r="A5" s="536" t="s">
        <v>9</v>
      </c>
      <c r="B5" s="536" t="s">
        <v>10</v>
      </c>
      <c r="C5" s="537" t="s">
        <v>41</v>
      </c>
      <c r="D5" s="63" t="s">
        <v>54</v>
      </c>
      <c r="E5" s="516" t="s">
        <v>273</v>
      </c>
      <c r="F5" s="509" t="s">
        <v>66</v>
      </c>
      <c r="G5" s="501"/>
      <c r="H5" s="501"/>
      <c r="I5" s="501"/>
      <c r="J5" s="501"/>
      <c r="K5" s="501"/>
      <c r="L5" s="501" t="s">
        <v>67</v>
      </c>
      <c r="M5" s="501"/>
      <c r="N5" s="501"/>
      <c r="O5" s="501"/>
      <c r="P5" s="501" t="s">
        <v>68</v>
      </c>
      <c r="Q5" s="501"/>
      <c r="R5" s="501"/>
      <c r="S5" s="501"/>
      <c r="T5" s="501" t="s">
        <v>70</v>
      </c>
      <c r="U5" s="501"/>
      <c r="V5" s="64" t="s">
        <v>69</v>
      </c>
      <c r="W5" s="523" t="s">
        <v>272</v>
      </c>
      <c r="X5" s="524"/>
      <c r="Y5" s="509" t="s">
        <v>159</v>
      </c>
      <c r="Z5" s="501"/>
      <c r="AA5" s="518"/>
      <c r="AB5" s="522" t="s">
        <v>160</v>
      </c>
      <c r="AC5" s="518"/>
      <c r="AD5" s="525" t="s">
        <v>161</v>
      </c>
      <c r="AE5" s="525"/>
      <c r="AF5" s="526"/>
      <c r="AG5" s="544" t="s">
        <v>167</v>
      </c>
    </row>
    <row r="6" spans="1:39" s="65" customFormat="1" ht="101.25" customHeight="1">
      <c r="A6" s="536"/>
      <c r="B6" s="536"/>
      <c r="C6" s="538"/>
      <c r="D6" s="66" t="s">
        <v>55</v>
      </c>
      <c r="E6" s="517"/>
      <c r="F6" s="67" t="s">
        <v>15</v>
      </c>
      <c r="G6" s="68" t="s">
        <v>20</v>
      </c>
      <c r="H6" s="68" t="s">
        <v>21</v>
      </c>
      <c r="I6" s="68" t="s">
        <v>5</v>
      </c>
      <c r="J6" s="68" t="s">
        <v>162</v>
      </c>
      <c r="K6" s="68" t="s">
        <v>11</v>
      </c>
      <c r="L6" s="68" t="s">
        <v>12</v>
      </c>
      <c r="M6" s="68" t="s">
        <v>48</v>
      </c>
      <c r="N6" s="69" t="s">
        <v>16</v>
      </c>
      <c r="O6" s="68" t="s">
        <v>49</v>
      </c>
      <c r="P6" s="68" t="s">
        <v>335</v>
      </c>
      <c r="Q6" s="68" t="s">
        <v>278</v>
      </c>
      <c r="R6" s="68" t="s">
        <v>336</v>
      </c>
      <c r="S6" s="68" t="s">
        <v>337</v>
      </c>
      <c r="T6" s="68" t="s">
        <v>353</v>
      </c>
      <c r="U6" s="68" t="s">
        <v>277</v>
      </c>
      <c r="V6" s="70" t="s">
        <v>51</v>
      </c>
      <c r="W6" s="71" t="s">
        <v>153</v>
      </c>
      <c r="X6" s="72" t="s">
        <v>154</v>
      </c>
      <c r="Y6" s="73" t="s">
        <v>0</v>
      </c>
      <c r="Z6" s="74" t="s">
        <v>17</v>
      </c>
      <c r="AA6" s="75" t="s">
        <v>53</v>
      </c>
      <c r="AB6" s="76" t="s">
        <v>145</v>
      </c>
      <c r="AC6" s="77" t="s">
        <v>4</v>
      </c>
      <c r="AD6" s="78" t="s">
        <v>58</v>
      </c>
      <c r="AE6" s="79" t="s">
        <v>57</v>
      </c>
      <c r="AF6" s="79" t="s">
        <v>72</v>
      </c>
      <c r="AG6" s="545"/>
      <c r="AI6" s="80"/>
      <c r="AJ6" s="80"/>
      <c r="AK6" s="80"/>
    </row>
    <row r="7" spans="1:39" s="65" customFormat="1">
      <c r="A7" s="81">
        <v>0</v>
      </c>
      <c r="B7" s="81"/>
      <c r="C7" s="81">
        <v>1</v>
      </c>
      <c r="D7" s="81">
        <v>3</v>
      </c>
      <c r="E7" s="82">
        <v>2</v>
      </c>
      <c r="F7" s="83">
        <v>3</v>
      </c>
      <c r="G7" s="81">
        <v>4</v>
      </c>
      <c r="H7" s="81">
        <v>5</v>
      </c>
      <c r="I7" s="81">
        <v>6</v>
      </c>
      <c r="J7" s="81">
        <v>7</v>
      </c>
      <c r="K7" s="81">
        <v>8</v>
      </c>
      <c r="L7" s="81">
        <v>9</v>
      </c>
      <c r="M7" s="81">
        <v>10</v>
      </c>
      <c r="N7" s="81">
        <v>11</v>
      </c>
      <c r="O7" s="81">
        <v>12</v>
      </c>
      <c r="P7" s="81">
        <v>13</v>
      </c>
      <c r="Q7" s="81">
        <v>14</v>
      </c>
      <c r="R7" s="81">
        <v>15</v>
      </c>
      <c r="S7" s="81">
        <v>16</v>
      </c>
      <c r="T7" s="81">
        <v>17</v>
      </c>
      <c r="U7" s="81">
        <v>18</v>
      </c>
      <c r="V7" s="82">
        <v>19</v>
      </c>
      <c r="W7" s="83">
        <v>20</v>
      </c>
      <c r="X7" s="84">
        <v>21</v>
      </c>
      <c r="Y7" s="83">
        <v>22</v>
      </c>
      <c r="Z7" s="81">
        <v>23</v>
      </c>
      <c r="AA7" s="84">
        <v>24</v>
      </c>
      <c r="AB7" s="85">
        <v>25</v>
      </c>
      <c r="AC7" s="84">
        <v>26</v>
      </c>
      <c r="AD7" s="85">
        <v>27</v>
      </c>
      <c r="AE7" s="81">
        <v>28</v>
      </c>
      <c r="AF7" s="81">
        <v>29</v>
      </c>
      <c r="AG7" s="81">
        <v>30</v>
      </c>
      <c r="AI7" s="546" t="s">
        <v>183</v>
      </c>
      <c r="AJ7" s="547"/>
      <c r="AK7" s="86" t="s">
        <v>272</v>
      </c>
      <c r="AM7" s="87" t="s">
        <v>167</v>
      </c>
    </row>
    <row r="8" spans="1:39" s="62" customFormat="1" ht="15">
      <c r="A8" s="527">
        <v>1</v>
      </c>
      <c r="B8" s="530" t="str">
        <f>VLOOKUP(A8,biononis,2,1)</f>
        <v>181910008</v>
      </c>
      <c r="C8" s="532" t="str">
        <f>VLOOKUP(A8,biononis,3,1)</f>
        <v>ADITA TRI KURNIA PUTRI</v>
      </c>
      <c r="D8" s="88" t="str">
        <f>B8&amp;"A"</f>
        <v>181910008A</v>
      </c>
      <c r="E8" s="89" t="s">
        <v>262</v>
      </c>
      <c r="F8" s="90">
        <v>47</v>
      </c>
      <c r="G8" s="91">
        <v>78</v>
      </c>
      <c r="H8" s="91">
        <v>74</v>
      </c>
      <c r="I8" s="91">
        <v>77</v>
      </c>
      <c r="J8" s="91">
        <v>80</v>
      </c>
      <c r="K8" s="91">
        <v>74</v>
      </c>
      <c r="L8" s="91">
        <v>76</v>
      </c>
      <c r="M8" s="91">
        <v>80</v>
      </c>
      <c r="N8" s="91">
        <v>80</v>
      </c>
      <c r="O8" s="91">
        <v>80</v>
      </c>
      <c r="P8" s="91">
        <v>82</v>
      </c>
      <c r="Q8" s="91">
        <v>76</v>
      </c>
      <c r="R8" s="91">
        <v>75</v>
      </c>
      <c r="S8" s="91">
        <v>60</v>
      </c>
      <c r="T8" s="91">
        <v>78</v>
      </c>
      <c r="U8" s="91">
        <v>70</v>
      </c>
      <c r="V8" s="92">
        <v>75</v>
      </c>
      <c r="W8" s="506" t="s">
        <v>6</v>
      </c>
      <c r="X8" s="506" t="s">
        <v>6</v>
      </c>
      <c r="Y8" s="519"/>
      <c r="Z8" s="510"/>
      <c r="AA8" s="513"/>
      <c r="AB8" s="93" t="s">
        <v>180</v>
      </c>
      <c r="AC8" s="94" t="s">
        <v>36</v>
      </c>
      <c r="AD8" s="95">
        <f t="shared" ref="AD8:AD9" si="0">IFERROR(AVERAGE(F8:V8),"")</f>
        <v>74.235294117647058</v>
      </c>
      <c r="AE8" s="489">
        <f>IFERROR((AD8+AD9)/2,"")</f>
        <v>74.336397058823536</v>
      </c>
      <c r="AF8" s="490">
        <f>IFERROR(RANK(AE8,$AE$8:$AE$167,0),"")</f>
        <v>6</v>
      </c>
      <c r="AG8" s="539" t="s">
        <v>281</v>
      </c>
      <c r="AI8" s="96" t="s">
        <v>36</v>
      </c>
      <c r="AJ8" s="97" t="s">
        <v>179</v>
      </c>
      <c r="AK8" s="98" t="s">
        <v>288</v>
      </c>
      <c r="AM8" s="99" t="s">
        <v>179</v>
      </c>
    </row>
    <row r="9" spans="1:39" s="62" customFormat="1" ht="15">
      <c r="A9" s="528"/>
      <c r="B9" s="530"/>
      <c r="C9" s="533"/>
      <c r="D9" s="100" t="str">
        <f>B8&amp;"B"</f>
        <v>181910008B</v>
      </c>
      <c r="E9" s="101" t="s">
        <v>263</v>
      </c>
      <c r="F9" s="90">
        <v>80</v>
      </c>
      <c r="G9" s="102">
        <v>82</v>
      </c>
      <c r="H9" s="102">
        <v>72</v>
      </c>
      <c r="I9" s="102">
        <v>75</v>
      </c>
      <c r="J9" s="102">
        <v>75</v>
      </c>
      <c r="K9" s="102">
        <v>75</v>
      </c>
      <c r="L9" s="102">
        <v>76</v>
      </c>
      <c r="M9" s="102">
        <v>82</v>
      </c>
      <c r="N9" s="102">
        <v>40</v>
      </c>
      <c r="O9" s="102">
        <v>75</v>
      </c>
      <c r="P9" s="102">
        <v>82</v>
      </c>
      <c r="Q9" s="102" t="s">
        <v>430</v>
      </c>
      <c r="R9" s="102">
        <v>75</v>
      </c>
      <c r="S9" s="102">
        <v>76</v>
      </c>
      <c r="T9" s="102">
        <v>83</v>
      </c>
      <c r="U9" s="102">
        <v>70</v>
      </c>
      <c r="V9" s="103">
        <v>73</v>
      </c>
      <c r="W9" s="507"/>
      <c r="X9" s="507"/>
      <c r="Y9" s="520"/>
      <c r="Z9" s="511"/>
      <c r="AA9" s="514"/>
      <c r="AB9" s="104" t="s">
        <v>36</v>
      </c>
      <c r="AC9" s="105" t="s">
        <v>36</v>
      </c>
      <c r="AD9" s="106">
        <f t="shared" si="0"/>
        <v>74.4375</v>
      </c>
      <c r="AE9" s="489"/>
      <c r="AF9" s="491"/>
      <c r="AG9" s="540"/>
      <c r="AI9" s="107">
        <v>10</v>
      </c>
      <c r="AJ9" s="108" t="s">
        <v>19</v>
      </c>
      <c r="AK9" s="109" t="s">
        <v>6</v>
      </c>
      <c r="AM9" s="110" t="s">
        <v>281</v>
      </c>
    </row>
    <row r="10" spans="1:39" s="62" customFormat="1" ht="15">
      <c r="A10" s="528"/>
      <c r="B10" s="530"/>
      <c r="C10" s="533"/>
      <c r="D10" s="100" t="str">
        <f>B8&amp;"C"</f>
        <v>181910008C</v>
      </c>
      <c r="E10" s="111" t="s">
        <v>151</v>
      </c>
      <c r="F10" s="112" t="str">
        <f>IFERROR(VLOOKUP(F8,$AI$8:$AJ$14,2,TRUE),"")</f>
        <v>D</v>
      </c>
      <c r="G10" s="113" t="str">
        <f>IFERROR(VLOOKUP(G8,$AI$8:$AJ$14,2,TRUE),"")</f>
        <v>C</v>
      </c>
      <c r="H10" s="113" t="str">
        <f t="shared" ref="H10:V10" si="1">IFERROR(VLOOKUP(H8,$AI$8:$AJ$14,2,TRUE),"")</f>
        <v>C</v>
      </c>
      <c r="I10" s="113" t="str">
        <f t="shared" si="1"/>
        <v>C</v>
      </c>
      <c r="J10" s="113" t="str">
        <f t="shared" si="1"/>
        <v>B</v>
      </c>
      <c r="K10" s="113" t="str">
        <f t="shared" si="1"/>
        <v>C</v>
      </c>
      <c r="L10" s="113" t="str">
        <f t="shared" si="1"/>
        <v>C</v>
      </c>
      <c r="M10" s="113" t="str">
        <f t="shared" si="1"/>
        <v>B</v>
      </c>
      <c r="N10" s="113" t="str">
        <f t="shared" si="1"/>
        <v>B</v>
      </c>
      <c r="O10" s="113" t="str">
        <f t="shared" si="1"/>
        <v>B</v>
      </c>
      <c r="P10" s="113" t="str">
        <f t="shared" si="1"/>
        <v>B</v>
      </c>
      <c r="Q10" s="113" t="str">
        <f t="shared" si="1"/>
        <v>C</v>
      </c>
      <c r="R10" s="113" t="str">
        <f t="shared" si="1"/>
        <v>C</v>
      </c>
      <c r="S10" s="113" t="str">
        <f t="shared" si="1"/>
        <v>D</v>
      </c>
      <c r="T10" s="113" t="str">
        <f t="shared" si="1"/>
        <v>C</v>
      </c>
      <c r="U10" s="113" t="str">
        <f t="shared" si="1"/>
        <v>C</v>
      </c>
      <c r="V10" s="114" t="str">
        <f t="shared" si="1"/>
        <v>C</v>
      </c>
      <c r="W10" s="507"/>
      <c r="X10" s="507"/>
      <c r="Y10" s="520"/>
      <c r="Z10" s="511"/>
      <c r="AA10" s="514"/>
      <c r="AB10" s="104" t="s">
        <v>36</v>
      </c>
      <c r="AC10" s="105" t="s">
        <v>36</v>
      </c>
      <c r="AD10" s="496">
        <f>SUM(F8:V9)</f>
        <v>2453</v>
      </c>
      <c r="AE10" s="489"/>
      <c r="AF10" s="491"/>
      <c r="AG10" s="540"/>
      <c r="AI10" s="107">
        <v>70</v>
      </c>
      <c r="AJ10" s="108" t="s">
        <v>18</v>
      </c>
      <c r="AK10" s="109" t="s">
        <v>18</v>
      </c>
      <c r="AM10" s="110" t="s">
        <v>280</v>
      </c>
    </row>
    <row r="11" spans="1:39" s="62" customFormat="1" ht="15">
      <c r="A11" s="529"/>
      <c r="B11" s="115"/>
      <c r="C11" s="116"/>
      <c r="D11" s="100" t="str">
        <f>B8&amp;"D"</f>
        <v>181910008D</v>
      </c>
      <c r="E11" s="117" t="s">
        <v>152</v>
      </c>
      <c r="F11" s="118" t="str">
        <f>IFERROR(VLOOKUP(F9,$AI$8:$AJ$14,2,TRUE),"")</f>
        <v>B</v>
      </c>
      <c r="G11" s="119" t="str">
        <f>IFERROR(VLOOKUP(G9,$AI$8:$AJ$14,2,TRUE),"")</f>
        <v>B</v>
      </c>
      <c r="H11" s="119" t="str">
        <f t="shared" ref="H11:V11" si="2">IFERROR(VLOOKUP(H9,$AI$8:$AJ$14,2,TRUE),"")</f>
        <v>C</v>
      </c>
      <c r="I11" s="119" t="str">
        <f t="shared" si="2"/>
        <v>C</v>
      </c>
      <c r="J11" s="119" t="str">
        <f t="shared" si="2"/>
        <v>C</v>
      </c>
      <c r="K11" s="119" t="str">
        <f t="shared" si="2"/>
        <v>C</v>
      </c>
      <c r="L11" s="119" t="str">
        <f t="shared" si="2"/>
        <v>C</v>
      </c>
      <c r="M11" s="119" t="str">
        <f t="shared" si="2"/>
        <v>B</v>
      </c>
      <c r="N11" s="119" t="str">
        <f t="shared" si="2"/>
        <v>D</v>
      </c>
      <c r="O11" s="119" t="str">
        <f t="shared" si="2"/>
        <v>C</v>
      </c>
      <c r="P11" s="119" t="str">
        <f t="shared" si="2"/>
        <v>B</v>
      </c>
      <c r="Q11" s="119" t="str">
        <f t="shared" si="2"/>
        <v>--</v>
      </c>
      <c r="R11" s="119" t="str">
        <f t="shared" si="2"/>
        <v>C</v>
      </c>
      <c r="S11" s="119" t="str">
        <f t="shared" si="2"/>
        <v>C</v>
      </c>
      <c r="T11" s="119" t="str">
        <f t="shared" si="2"/>
        <v>B</v>
      </c>
      <c r="U11" s="119" t="str">
        <f t="shared" si="2"/>
        <v>C</v>
      </c>
      <c r="V11" s="120" t="str">
        <f t="shared" si="2"/>
        <v>C</v>
      </c>
      <c r="W11" s="508"/>
      <c r="X11" s="508"/>
      <c r="Y11" s="521"/>
      <c r="Z11" s="512"/>
      <c r="AA11" s="515"/>
      <c r="AB11" s="121" t="s">
        <v>36</v>
      </c>
      <c r="AC11" s="122" t="s">
        <v>36</v>
      </c>
      <c r="AD11" s="497"/>
      <c r="AE11" s="489"/>
      <c r="AF11" s="492"/>
      <c r="AG11" s="541"/>
      <c r="AI11" s="107">
        <v>80</v>
      </c>
      <c r="AJ11" s="108" t="s">
        <v>6</v>
      </c>
      <c r="AK11" s="109" t="s">
        <v>297</v>
      </c>
      <c r="AM11" s="110" t="s">
        <v>282</v>
      </c>
    </row>
    <row r="12" spans="1:39" s="62" customFormat="1" ht="15">
      <c r="A12" s="534">
        <v>2</v>
      </c>
      <c r="B12" s="531" t="str">
        <f>VLOOKUP(A12,biononis,2,1)</f>
        <v>181910011</v>
      </c>
      <c r="C12" s="532" t="str">
        <f>VLOOKUP(A12,biononis,3,1)</f>
        <v xml:space="preserve">ADNES KOMALA DEWI </v>
      </c>
      <c r="D12" s="100" t="str">
        <f>B12&amp;"A"</f>
        <v>181910011A</v>
      </c>
      <c r="E12" s="89" t="s">
        <v>262</v>
      </c>
      <c r="F12" s="123">
        <v>50</v>
      </c>
      <c r="G12" s="124">
        <v>70</v>
      </c>
      <c r="H12" s="124">
        <v>74</v>
      </c>
      <c r="I12" s="124">
        <v>66</v>
      </c>
      <c r="J12" s="124">
        <v>60</v>
      </c>
      <c r="K12" s="124">
        <v>73</v>
      </c>
      <c r="L12" s="124">
        <v>74</v>
      </c>
      <c r="M12" s="124">
        <v>79</v>
      </c>
      <c r="N12" s="124">
        <v>25</v>
      </c>
      <c r="O12" s="124">
        <v>26</v>
      </c>
      <c r="P12" s="124">
        <v>77</v>
      </c>
      <c r="Q12" s="124">
        <v>64</v>
      </c>
      <c r="R12" s="124">
        <v>70</v>
      </c>
      <c r="S12" s="124">
        <v>51</v>
      </c>
      <c r="T12" s="124">
        <v>53</v>
      </c>
      <c r="U12" s="124">
        <v>20</v>
      </c>
      <c r="V12" s="124">
        <v>80</v>
      </c>
      <c r="W12" s="506" t="s">
        <v>18</v>
      </c>
      <c r="X12" s="506" t="s">
        <v>6</v>
      </c>
      <c r="Y12" s="503"/>
      <c r="Z12" s="493"/>
      <c r="AA12" s="498">
        <v>0</v>
      </c>
      <c r="AB12" s="93" t="s">
        <v>180</v>
      </c>
      <c r="AC12" s="94" t="s">
        <v>36</v>
      </c>
      <c r="AD12" s="95">
        <f t="shared" ref="AD12:AD13" si="3">IFERROR(AVERAGE(F12:V12),"")</f>
        <v>59.529411764705884</v>
      </c>
      <c r="AE12" s="489">
        <f>IFERROR((AD12+AD13)/2,"")</f>
        <v>58.058823529411768</v>
      </c>
      <c r="AF12" s="490">
        <f>IFERROR(RANK(AE12,$AE$8:$AE$167,0),"")</f>
        <v>23</v>
      </c>
      <c r="AG12" s="539" t="s">
        <v>285</v>
      </c>
      <c r="AI12" s="125">
        <v>90</v>
      </c>
      <c r="AJ12" s="108" t="s">
        <v>7</v>
      </c>
      <c r="AK12" s="98" t="s">
        <v>36</v>
      </c>
      <c r="AM12" s="110" t="s">
        <v>283</v>
      </c>
    </row>
    <row r="13" spans="1:39" s="62" customFormat="1" ht="15">
      <c r="A13" s="528"/>
      <c r="B13" s="530"/>
      <c r="C13" s="533"/>
      <c r="D13" s="100" t="str">
        <f>B12&amp;"B"</f>
        <v>181910011B</v>
      </c>
      <c r="E13" s="101" t="s">
        <v>263</v>
      </c>
      <c r="F13" s="126">
        <v>80</v>
      </c>
      <c r="G13" s="102">
        <v>70</v>
      </c>
      <c r="H13" s="102">
        <v>71</v>
      </c>
      <c r="I13" s="102">
        <v>70</v>
      </c>
      <c r="J13" s="102">
        <v>50</v>
      </c>
      <c r="K13" s="102">
        <v>75</v>
      </c>
      <c r="L13" s="102">
        <v>70</v>
      </c>
      <c r="M13" s="102">
        <v>65</v>
      </c>
      <c r="N13" s="102">
        <v>30</v>
      </c>
      <c r="O13" s="102">
        <v>35</v>
      </c>
      <c r="P13" s="102">
        <v>80</v>
      </c>
      <c r="Q13" s="102">
        <v>0</v>
      </c>
      <c r="R13" s="102">
        <v>70</v>
      </c>
      <c r="S13" s="102">
        <v>50</v>
      </c>
      <c r="T13" s="102">
        <v>26</v>
      </c>
      <c r="U13" s="102">
        <v>40</v>
      </c>
      <c r="V13" s="102">
        <v>80</v>
      </c>
      <c r="W13" s="507"/>
      <c r="X13" s="507"/>
      <c r="Y13" s="504"/>
      <c r="Z13" s="494"/>
      <c r="AA13" s="499"/>
      <c r="AB13" s="104" t="s">
        <v>36</v>
      </c>
      <c r="AC13" s="105" t="s">
        <v>36</v>
      </c>
      <c r="AD13" s="106">
        <f t="shared" si="3"/>
        <v>56.588235294117645</v>
      </c>
      <c r="AE13" s="489"/>
      <c r="AF13" s="491"/>
      <c r="AG13" s="540"/>
      <c r="AI13" s="127"/>
      <c r="AJ13" s="128"/>
      <c r="AK13" s="128"/>
      <c r="AM13" s="110" t="s">
        <v>284</v>
      </c>
    </row>
    <row r="14" spans="1:39" s="62" customFormat="1" ht="15">
      <c r="A14" s="528"/>
      <c r="B14" s="530"/>
      <c r="C14" s="533"/>
      <c r="D14" s="100" t="str">
        <f>B12&amp;"C"</f>
        <v>181910011C</v>
      </c>
      <c r="E14" s="111" t="s">
        <v>151</v>
      </c>
      <c r="F14" s="112" t="str">
        <f>IFERROR(VLOOKUP(F12,$AI$8:$AJ$14,2,TRUE),"")</f>
        <v>D</v>
      </c>
      <c r="G14" s="113" t="str">
        <f>IFERROR(VLOOKUP(G12,$AI$8:$AJ$14,2,TRUE),"")</f>
        <v>C</v>
      </c>
      <c r="H14" s="113" t="str">
        <f t="shared" ref="H14:V14" si="4">IFERROR(VLOOKUP(H12,$AI$8:$AJ$14,2,TRUE),"")</f>
        <v>C</v>
      </c>
      <c r="I14" s="113" t="str">
        <f t="shared" si="4"/>
        <v>D</v>
      </c>
      <c r="J14" s="113" t="str">
        <f t="shared" si="4"/>
        <v>D</v>
      </c>
      <c r="K14" s="113" t="str">
        <f t="shared" si="4"/>
        <v>C</v>
      </c>
      <c r="L14" s="113" t="str">
        <f t="shared" si="4"/>
        <v>C</v>
      </c>
      <c r="M14" s="113" t="str">
        <f t="shared" si="4"/>
        <v>C</v>
      </c>
      <c r="N14" s="113" t="str">
        <f t="shared" si="4"/>
        <v>D</v>
      </c>
      <c r="O14" s="113" t="str">
        <f t="shared" si="4"/>
        <v>D</v>
      </c>
      <c r="P14" s="113" t="str">
        <f t="shared" si="4"/>
        <v>C</v>
      </c>
      <c r="Q14" s="113" t="str">
        <f t="shared" si="4"/>
        <v>D</v>
      </c>
      <c r="R14" s="113" t="str">
        <f t="shared" si="4"/>
        <v>C</v>
      </c>
      <c r="S14" s="113" t="str">
        <f t="shared" si="4"/>
        <v>D</v>
      </c>
      <c r="T14" s="113" t="str">
        <f t="shared" si="4"/>
        <v>D</v>
      </c>
      <c r="U14" s="113" t="str">
        <f t="shared" si="4"/>
        <v>D</v>
      </c>
      <c r="V14" s="114" t="str">
        <f t="shared" si="4"/>
        <v>B</v>
      </c>
      <c r="W14" s="507"/>
      <c r="X14" s="507"/>
      <c r="Y14" s="504"/>
      <c r="Z14" s="494"/>
      <c r="AA14" s="499"/>
      <c r="AB14" s="104" t="s">
        <v>36</v>
      </c>
      <c r="AC14" s="105" t="s">
        <v>36</v>
      </c>
      <c r="AD14" s="496">
        <f>SUM(F12:V13)</f>
        <v>1974</v>
      </c>
      <c r="AE14" s="489"/>
      <c r="AF14" s="491"/>
      <c r="AG14" s="540"/>
      <c r="AI14" s="129"/>
      <c r="AJ14" s="128"/>
      <c r="AK14" s="128"/>
      <c r="AM14" s="110" t="s">
        <v>285</v>
      </c>
    </row>
    <row r="15" spans="1:39" s="62" customFormat="1" ht="15">
      <c r="A15" s="535"/>
      <c r="B15" s="130"/>
      <c r="C15" s="131"/>
      <c r="D15" s="100" t="str">
        <f>B12&amp;"D"</f>
        <v>181910011D</v>
      </c>
      <c r="E15" s="117" t="s">
        <v>152</v>
      </c>
      <c r="F15" s="118" t="str">
        <f>IFERROR(VLOOKUP(F13,$AI$8:$AJ$14,2,TRUE),"")</f>
        <v>B</v>
      </c>
      <c r="G15" s="119" t="str">
        <f>IFERROR(VLOOKUP(G13,$AI$8:$AJ$14,2,TRUE),"")</f>
        <v>C</v>
      </c>
      <c r="H15" s="119" t="str">
        <f t="shared" ref="H15:V15" si="5">IFERROR(VLOOKUP(H13,$AI$8:$AJ$14,2,TRUE),"")</f>
        <v>C</v>
      </c>
      <c r="I15" s="119" t="str">
        <f t="shared" si="5"/>
        <v>C</v>
      </c>
      <c r="J15" s="119" t="str">
        <f t="shared" si="5"/>
        <v>D</v>
      </c>
      <c r="K15" s="119" t="str">
        <f t="shared" si="5"/>
        <v>C</v>
      </c>
      <c r="L15" s="119" t="str">
        <f t="shared" si="5"/>
        <v>C</v>
      </c>
      <c r="M15" s="119" t="str">
        <f t="shared" si="5"/>
        <v>D</v>
      </c>
      <c r="N15" s="119" t="str">
        <f t="shared" si="5"/>
        <v>D</v>
      </c>
      <c r="O15" s="119" t="str">
        <f t="shared" si="5"/>
        <v>D</v>
      </c>
      <c r="P15" s="119" t="str">
        <f t="shared" si="5"/>
        <v>B</v>
      </c>
      <c r="Q15" s="119" t="str">
        <f t="shared" si="5"/>
        <v/>
      </c>
      <c r="R15" s="119" t="str">
        <f t="shared" si="5"/>
        <v>C</v>
      </c>
      <c r="S15" s="119" t="str">
        <f t="shared" si="5"/>
        <v>D</v>
      </c>
      <c r="T15" s="119" t="str">
        <f t="shared" si="5"/>
        <v>D</v>
      </c>
      <c r="U15" s="119" t="str">
        <f t="shared" si="5"/>
        <v>D</v>
      </c>
      <c r="V15" s="120" t="str">
        <f t="shared" si="5"/>
        <v>B</v>
      </c>
      <c r="W15" s="508"/>
      <c r="X15" s="508"/>
      <c r="Y15" s="505"/>
      <c r="Z15" s="495"/>
      <c r="AA15" s="500"/>
      <c r="AB15" s="121" t="s">
        <v>36</v>
      </c>
      <c r="AC15" s="122" t="s">
        <v>36</v>
      </c>
      <c r="AD15" s="497"/>
      <c r="AE15" s="489"/>
      <c r="AF15" s="492"/>
      <c r="AG15" s="541"/>
      <c r="AM15" s="110" t="s">
        <v>286</v>
      </c>
    </row>
    <row r="16" spans="1:39" s="62" customFormat="1" ht="15">
      <c r="A16" s="527">
        <v>3</v>
      </c>
      <c r="B16" s="530" t="str">
        <f>VLOOKUP(A16,biononis,2,1)</f>
        <v>181910014</v>
      </c>
      <c r="C16" s="533" t="str">
        <f>VLOOKUP(A16,biononis,3,1)</f>
        <v>AGUNG BUDI PRASTAWA</v>
      </c>
      <c r="D16" s="100" t="str">
        <f>B16&amp;"A"</f>
        <v>181910014A</v>
      </c>
      <c r="E16" s="89" t="s">
        <v>262</v>
      </c>
      <c r="F16" s="123">
        <v>55</v>
      </c>
      <c r="G16" s="124">
        <v>18</v>
      </c>
      <c r="H16" s="124">
        <v>72</v>
      </c>
      <c r="I16" s="124">
        <v>56</v>
      </c>
      <c r="J16" s="124">
        <v>68</v>
      </c>
      <c r="K16" s="124">
        <v>74</v>
      </c>
      <c r="L16" s="124">
        <v>74</v>
      </c>
      <c r="M16" s="124">
        <v>63</v>
      </c>
      <c r="N16" s="124">
        <v>35</v>
      </c>
      <c r="O16" s="124">
        <v>28</v>
      </c>
      <c r="P16" s="124">
        <v>70</v>
      </c>
      <c r="Q16" s="124">
        <v>30</v>
      </c>
      <c r="R16" s="124">
        <v>70</v>
      </c>
      <c r="S16" s="124">
        <v>57</v>
      </c>
      <c r="T16" s="124">
        <v>58</v>
      </c>
      <c r="U16" s="124">
        <v>20</v>
      </c>
      <c r="V16" s="124">
        <v>75</v>
      </c>
      <c r="W16" s="506" t="s">
        <v>6</v>
      </c>
      <c r="X16" s="506" t="s">
        <v>6</v>
      </c>
      <c r="Y16" s="503"/>
      <c r="Z16" s="493"/>
      <c r="AA16" s="498"/>
      <c r="AB16" s="93" t="s">
        <v>180</v>
      </c>
      <c r="AC16" s="94" t="s">
        <v>36</v>
      </c>
      <c r="AD16" s="95">
        <f t="shared" ref="AD16:AD17" si="6">IFERROR(AVERAGE(F16:V16),"")</f>
        <v>54.294117647058826</v>
      </c>
      <c r="AE16" s="489">
        <f>IFERROR((AD16+AD17)/2,"")</f>
        <v>57.459558823529413</v>
      </c>
      <c r="AF16" s="490">
        <f>IFERROR(RANK(AE16,$AE$8:$AE$167,0),"")</f>
        <v>24</v>
      </c>
      <c r="AG16" s="539" t="s">
        <v>285</v>
      </c>
      <c r="AM16" s="110" t="s">
        <v>287</v>
      </c>
    </row>
    <row r="17" spans="1:33" s="62" customFormat="1" ht="15">
      <c r="A17" s="528"/>
      <c r="B17" s="530"/>
      <c r="C17" s="533"/>
      <c r="D17" s="100" t="str">
        <f>B16&amp;"B"</f>
        <v>181910014B</v>
      </c>
      <c r="E17" s="101" t="s">
        <v>263</v>
      </c>
      <c r="F17" s="126">
        <v>80</v>
      </c>
      <c r="G17" s="102">
        <v>80</v>
      </c>
      <c r="H17" s="102">
        <v>71</v>
      </c>
      <c r="I17" s="102">
        <v>50</v>
      </c>
      <c r="J17" s="102">
        <v>60</v>
      </c>
      <c r="K17" s="102">
        <v>70</v>
      </c>
      <c r="L17" s="102">
        <v>70</v>
      </c>
      <c r="M17" s="102">
        <v>52</v>
      </c>
      <c r="N17" s="102">
        <v>80</v>
      </c>
      <c r="O17" s="102">
        <v>35</v>
      </c>
      <c r="P17" s="102">
        <v>70</v>
      </c>
      <c r="Q17" s="102" t="s">
        <v>431</v>
      </c>
      <c r="R17" s="102">
        <v>70</v>
      </c>
      <c r="S17" s="102">
        <v>59</v>
      </c>
      <c r="T17" s="102">
        <v>10</v>
      </c>
      <c r="U17" s="102">
        <v>40</v>
      </c>
      <c r="V17" s="102">
        <v>73</v>
      </c>
      <c r="W17" s="507"/>
      <c r="X17" s="507"/>
      <c r="Y17" s="504"/>
      <c r="Z17" s="494"/>
      <c r="AA17" s="499"/>
      <c r="AB17" s="104" t="s">
        <v>36</v>
      </c>
      <c r="AC17" s="105" t="s">
        <v>36</v>
      </c>
      <c r="AD17" s="106">
        <f t="shared" si="6"/>
        <v>60.625</v>
      </c>
      <c r="AE17" s="489"/>
      <c r="AF17" s="491"/>
      <c r="AG17" s="540"/>
    </row>
    <row r="18" spans="1:33" s="62" customFormat="1" ht="15">
      <c r="A18" s="528"/>
      <c r="B18" s="530"/>
      <c r="C18" s="533"/>
      <c r="D18" s="100" t="str">
        <f>B16&amp;"C"</f>
        <v>181910014C</v>
      </c>
      <c r="E18" s="111" t="s">
        <v>151</v>
      </c>
      <c r="F18" s="112" t="str">
        <f t="shared" ref="F18:V18" si="7">IFERROR(VLOOKUP(F16,$AI$8:$AJ$14,2,TRUE),"")</f>
        <v>D</v>
      </c>
      <c r="G18" s="113" t="str">
        <f t="shared" si="7"/>
        <v>D</v>
      </c>
      <c r="H18" s="113" t="str">
        <f t="shared" si="7"/>
        <v>C</v>
      </c>
      <c r="I18" s="113" t="str">
        <f t="shared" si="7"/>
        <v>D</v>
      </c>
      <c r="J18" s="113" t="str">
        <f t="shared" si="7"/>
        <v>D</v>
      </c>
      <c r="K18" s="113" t="str">
        <f t="shared" si="7"/>
        <v>C</v>
      </c>
      <c r="L18" s="113" t="str">
        <f t="shared" si="7"/>
        <v>C</v>
      </c>
      <c r="M18" s="113" t="str">
        <f t="shared" si="7"/>
        <v>D</v>
      </c>
      <c r="N18" s="113" t="str">
        <f t="shared" si="7"/>
        <v>D</v>
      </c>
      <c r="O18" s="113" t="str">
        <f t="shared" si="7"/>
        <v>D</v>
      </c>
      <c r="P18" s="113" t="str">
        <f t="shared" si="7"/>
        <v>C</v>
      </c>
      <c r="Q18" s="113" t="str">
        <f t="shared" si="7"/>
        <v>D</v>
      </c>
      <c r="R18" s="113" t="str">
        <f t="shared" si="7"/>
        <v>C</v>
      </c>
      <c r="S18" s="113" t="str">
        <f t="shared" si="7"/>
        <v>D</v>
      </c>
      <c r="T18" s="113" t="str">
        <f t="shared" si="7"/>
        <v>D</v>
      </c>
      <c r="U18" s="113" t="str">
        <f t="shared" si="7"/>
        <v>D</v>
      </c>
      <c r="V18" s="114" t="str">
        <f t="shared" si="7"/>
        <v>C</v>
      </c>
      <c r="W18" s="507"/>
      <c r="X18" s="507"/>
      <c r="Y18" s="504"/>
      <c r="Z18" s="494"/>
      <c r="AA18" s="499"/>
      <c r="AB18" s="104" t="s">
        <v>36</v>
      </c>
      <c r="AC18" s="105" t="s">
        <v>36</v>
      </c>
      <c r="AD18" s="496">
        <f>SUM(F16:V17)</f>
        <v>1893</v>
      </c>
      <c r="AE18" s="489"/>
      <c r="AF18" s="491"/>
      <c r="AG18" s="540"/>
    </row>
    <row r="19" spans="1:33" s="62" customFormat="1" ht="15">
      <c r="A19" s="529"/>
      <c r="B19" s="115"/>
      <c r="C19" s="116"/>
      <c r="D19" s="100" t="str">
        <f>B16&amp;"D"</f>
        <v>181910014D</v>
      </c>
      <c r="E19" s="117" t="s">
        <v>152</v>
      </c>
      <c r="F19" s="118" t="str">
        <f t="shared" ref="F19:V19" si="8">IFERROR(VLOOKUP(F17,$AI$8:$AJ$14,2,TRUE),"")</f>
        <v>B</v>
      </c>
      <c r="G19" s="119" t="str">
        <f t="shared" si="8"/>
        <v>B</v>
      </c>
      <c r="H19" s="119" t="str">
        <f t="shared" si="8"/>
        <v>C</v>
      </c>
      <c r="I19" s="119" t="str">
        <f t="shared" si="8"/>
        <v>D</v>
      </c>
      <c r="J19" s="119" t="str">
        <f t="shared" si="8"/>
        <v>D</v>
      </c>
      <c r="K19" s="119" t="str">
        <f t="shared" si="8"/>
        <v>C</v>
      </c>
      <c r="L19" s="119" t="str">
        <f t="shared" si="8"/>
        <v>C</v>
      </c>
      <c r="M19" s="119" t="str">
        <f t="shared" si="8"/>
        <v>D</v>
      </c>
      <c r="N19" s="119" t="str">
        <f t="shared" si="8"/>
        <v>B</v>
      </c>
      <c r="O19" s="119" t="str">
        <f t="shared" si="8"/>
        <v>D</v>
      </c>
      <c r="P19" s="119" t="str">
        <f t="shared" si="8"/>
        <v>C</v>
      </c>
      <c r="Q19" s="119" t="str">
        <f t="shared" si="8"/>
        <v>--</v>
      </c>
      <c r="R19" s="119" t="str">
        <f t="shared" si="8"/>
        <v>C</v>
      </c>
      <c r="S19" s="119" t="str">
        <f t="shared" si="8"/>
        <v>D</v>
      </c>
      <c r="T19" s="119" t="str">
        <f t="shared" si="8"/>
        <v>D</v>
      </c>
      <c r="U19" s="119" t="str">
        <f t="shared" si="8"/>
        <v>D</v>
      </c>
      <c r="V19" s="120" t="str">
        <f t="shared" si="8"/>
        <v>C</v>
      </c>
      <c r="W19" s="508"/>
      <c r="X19" s="508"/>
      <c r="Y19" s="505"/>
      <c r="Z19" s="495"/>
      <c r="AA19" s="500"/>
      <c r="AB19" s="121" t="s">
        <v>36</v>
      </c>
      <c r="AC19" s="122" t="s">
        <v>36</v>
      </c>
      <c r="AD19" s="497"/>
      <c r="AE19" s="489"/>
      <c r="AF19" s="492"/>
      <c r="AG19" s="541"/>
    </row>
    <row r="20" spans="1:33" s="62" customFormat="1" ht="15">
      <c r="A20" s="534">
        <v>4</v>
      </c>
      <c r="B20" s="531" t="str">
        <f>VLOOKUP(A20,biononis,2,1)</f>
        <v>181910021</v>
      </c>
      <c r="C20" s="532" t="str">
        <f>VLOOKUP(A20,biononis,3,1)</f>
        <v>AISYAH</v>
      </c>
      <c r="D20" s="100" t="str">
        <f>B20&amp;"A"</f>
        <v>181910021A</v>
      </c>
      <c r="E20" s="89" t="s">
        <v>262</v>
      </c>
      <c r="F20" s="123">
        <v>47</v>
      </c>
      <c r="G20" s="124">
        <v>74</v>
      </c>
      <c r="H20" s="124">
        <v>74</v>
      </c>
      <c r="I20" s="124">
        <v>68</v>
      </c>
      <c r="J20" s="124">
        <v>70</v>
      </c>
      <c r="K20" s="124">
        <v>73</v>
      </c>
      <c r="L20" s="124">
        <v>77</v>
      </c>
      <c r="M20" s="124">
        <v>80</v>
      </c>
      <c r="N20" s="124">
        <v>35</v>
      </c>
      <c r="O20" s="124">
        <v>58</v>
      </c>
      <c r="P20" s="124">
        <v>80</v>
      </c>
      <c r="Q20" s="124">
        <v>70</v>
      </c>
      <c r="R20" s="124">
        <v>76</v>
      </c>
      <c r="S20" s="124">
        <v>59</v>
      </c>
      <c r="T20" s="124">
        <v>77</v>
      </c>
      <c r="U20" s="124">
        <v>10</v>
      </c>
      <c r="V20" s="124">
        <v>78</v>
      </c>
      <c r="W20" s="506" t="s">
        <v>6</v>
      </c>
      <c r="X20" s="506" t="s">
        <v>6</v>
      </c>
      <c r="Y20" s="503"/>
      <c r="Z20" s="493"/>
      <c r="AA20" s="498"/>
      <c r="AB20" s="93" t="s">
        <v>180</v>
      </c>
      <c r="AC20" s="94" t="s">
        <v>36</v>
      </c>
      <c r="AD20" s="95">
        <f t="shared" ref="AD20:AD21" si="9">IFERROR(AVERAGE(F20:V20),"")</f>
        <v>65.058823529411768</v>
      </c>
      <c r="AE20" s="489">
        <f t="shared" ref="AE20" si="10">IFERROR((AD20+AD21)/2,"")</f>
        <v>65.205882352941188</v>
      </c>
      <c r="AF20" s="490">
        <f>IFERROR(RANK(AE20,$AE$8:$AE$167,0),"")</f>
        <v>17</v>
      </c>
      <c r="AG20" s="539" t="s">
        <v>282</v>
      </c>
    </row>
    <row r="21" spans="1:33" s="62" customFormat="1" ht="15">
      <c r="A21" s="528"/>
      <c r="B21" s="530"/>
      <c r="C21" s="533"/>
      <c r="D21" s="100" t="str">
        <f>B20&amp;"B"</f>
        <v>181910021B</v>
      </c>
      <c r="E21" s="101" t="s">
        <v>263</v>
      </c>
      <c r="F21" s="126">
        <v>80</v>
      </c>
      <c r="G21" s="102">
        <v>80</v>
      </c>
      <c r="H21" s="102">
        <v>72</v>
      </c>
      <c r="I21" s="102">
        <v>72</v>
      </c>
      <c r="J21" s="102">
        <v>70</v>
      </c>
      <c r="K21" s="102">
        <v>75</v>
      </c>
      <c r="L21" s="102">
        <v>76</v>
      </c>
      <c r="M21" s="102">
        <v>67</v>
      </c>
      <c r="N21" s="102">
        <v>40</v>
      </c>
      <c r="O21" s="102">
        <v>35</v>
      </c>
      <c r="P21" s="102">
        <v>82</v>
      </c>
      <c r="Q21" s="102">
        <v>75</v>
      </c>
      <c r="R21" s="102">
        <v>75</v>
      </c>
      <c r="S21" s="102">
        <v>79</v>
      </c>
      <c r="T21" s="102">
        <v>28</v>
      </c>
      <c r="U21" s="102">
        <v>30</v>
      </c>
      <c r="V21" s="102">
        <v>75</v>
      </c>
      <c r="W21" s="507"/>
      <c r="X21" s="507"/>
      <c r="Y21" s="504"/>
      <c r="Z21" s="494"/>
      <c r="AA21" s="499"/>
      <c r="AB21" s="104" t="s">
        <v>36</v>
      </c>
      <c r="AC21" s="105" t="s">
        <v>36</v>
      </c>
      <c r="AD21" s="106">
        <f t="shared" si="9"/>
        <v>65.352941176470594</v>
      </c>
      <c r="AE21" s="489"/>
      <c r="AF21" s="491"/>
      <c r="AG21" s="540"/>
    </row>
    <row r="22" spans="1:33" s="62" customFormat="1" ht="15">
      <c r="A22" s="528"/>
      <c r="B22" s="530"/>
      <c r="C22" s="533"/>
      <c r="D22" s="100" t="str">
        <f>B20&amp;"C"</f>
        <v>181910021C</v>
      </c>
      <c r="E22" s="111" t="s">
        <v>151</v>
      </c>
      <c r="F22" s="112" t="str">
        <f t="shared" ref="F22:V22" si="11">IFERROR(VLOOKUP(F20,$AI$8:$AJ$14,2,TRUE),"")</f>
        <v>D</v>
      </c>
      <c r="G22" s="113" t="str">
        <f t="shared" si="11"/>
        <v>C</v>
      </c>
      <c r="H22" s="113" t="str">
        <f t="shared" si="11"/>
        <v>C</v>
      </c>
      <c r="I22" s="113" t="str">
        <f t="shared" si="11"/>
        <v>D</v>
      </c>
      <c r="J22" s="113" t="str">
        <f t="shared" si="11"/>
        <v>C</v>
      </c>
      <c r="K22" s="113" t="str">
        <f t="shared" si="11"/>
        <v>C</v>
      </c>
      <c r="L22" s="113" t="str">
        <f t="shared" si="11"/>
        <v>C</v>
      </c>
      <c r="M22" s="113" t="str">
        <f t="shared" si="11"/>
        <v>B</v>
      </c>
      <c r="N22" s="113" t="str">
        <f t="shared" si="11"/>
        <v>D</v>
      </c>
      <c r="O22" s="113" t="str">
        <f t="shared" si="11"/>
        <v>D</v>
      </c>
      <c r="P22" s="113" t="str">
        <f t="shared" si="11"/>
        <v>B</v>
      </c>
      <c r="Q22" s="113" t="str">
        <f t="shared" si="11"/>
        <v>C</v>
      </c>
      <c r="R22" s="113" t="str">
        <f t="shared" si="11"/>
        <v>C</v>
      </c>
      <c r="S22" s="113" t="str">
        <f t="shared" si="11"/>
        <v>D</v>
      </c>
      <c r="T22" s="113" t="str">
        <f t="shared" si="11"/>
        <v>C</v>
      </c>
      <c r="U22" s="113" t="str">
        <f t="shared" si="11"/>
        <v>D</v>
      </c>
      <c r="V22" s="114" t="str">
        <f t="shared" si="11"/>
        <v>C</v>
      </c>
      <c r="W22" s="507"/>
      <c r="X22" s="507"/>
      <c r="Y22" s="504"/>
      <c r="Z22" s="494"/>
      <c r="AA22" s="499"/>
      <c r="AB22" s="104" t="s">
        <v>36</v>
      </c>
      <c r="AC22" s="105" t="s">
        <v>36</v>
      </c>
      <c r="AD22" s="496">
        <f>SUM(F20:V21)</f>
        <v>2217</v>
      </c>
      <c r="AE22" s="489"/>
      <c r="AF22" s="491"/>
      <c r="AG22" s="540"/>
    </row>
    <row r="23" spans="1:33" s="62" customFormat="1" ht="15">
      <c r="A23" s="535"/>
      <c r="B23" s="130"/>
      <c r="C23" s="131"/>
      <c r="D23" s="100" t="str">
        <f>B20&amp;"D"</f>
        <v>181910021D</v>
      </c>
      <c r="E23" s="117" t="s">
        <v>152</v>
      </c>
      <c r="F23" s="118" t="str">
        <f t="shared" ref="F23:V23" si="12">IFERROR(VLOOKUP(F21,$AI$8:$AJ$14,2,TRUE),"")</f>
        <v>B</v>
      </c>
      <c r="G23" s="119" t="str">
        <f t="shared" si="12"/>
        <v>B</v>
      </c>
      <c r="H23" s="119" t="str">
        <f t="shared" si="12"/>
        <v>C</v>
      </c>
      <c r="I23" s="119" t="str">
        <f t="shared" si="12"/>
        <v>C</v>
      </c>
      <c r="J23" s="119" t="str">
        <f t="shared" si="12"/>
        <v>C</v>
      </c>
      <c r="K23" s="119" t="str">
        <f t="shared" si="12"/>
        <v>C</v>
      </c>
      <c r="L23" s="119" t="str">
        <f t="shared" si="12"/>
        <v>C</v>
      </c>
      <c r="M23" s="119" t="str">
        <f t="shared" si="12"/>
        <v>D</v>
      </c>
      <c r="N23" s="119" t="str">
        <f t="shared" si="12"/>
        <v>D</v>
      </c>
      <c r="O23" s="119" t="str">
        <f t="shared" si="12"/>
        <v>D</v>
      </c>
      <c r="P23" s="119" t="str">
        <f t="shared" si="12"/>
        <v>B</v>
      </c>
      <c r="Q23" s="119" t="str">
        <f t="shared" si="12"/>
        <v>C</v>
      </c>
      <c r="R23" s="119" t="str">
        <f t="shared" si="12"/>
        <v>C</v>
      </c>
      <c r="S23" s="119" t="str">
        <f t="shared" si="12"/>
        <v>C</v>
      </c>
      <c r="T23" s="119" t="str">
        <f t="shared" si="12"/>
        <v>D</v>
      </c>
      <c r="U23" s="119" t="str">
        <f t="shared" si="12"/>
        <v>D</v>
      </c>
      <c r="V23" s="120" t="str">
        <f t="shared" si="12"/>
        <v>C</v>
      </c>
      <c r="W23" s="508"/>
      <c r="X23" s="508"/>
      <c r="Y23" s="505"/>
      <c r="Z23" s="495"/>
      <c r="AA23" s="500"/>
      <c r="AB23" s="121" t="s">
        <v>36</v>
      </c>
      <c r="AC23" s="122" t="s">
        <v>36</v>
      </c>
      <c r="AD23" s="497"/>
      <c r="AE23" s="489"/>
      <c r="AF23" s="492"/>
      <c r="AG23" s="541"/>
    </row>
    <row r="24" spans="1:33" s="62" customFormat="1" ht="15">
      <c r="A24" s="527">
        <v>5</v>
      </c>
      <c r="B24" s="530" t="str">
        <f>VLOOKUP(A24,biononis,2,1)</f>
        <v>181910045</v>
      </c>
      <c r="C24" s="533" t="str">
        <f>VLOOKUP(A24,biononis,3,1)</f>
        <v>ARYA DYTA WIGUNA</v>
      </c>
      <c r="D24" s="100" t="str">
        <f>B24&amp;"A"</f>
        <v>181910045A</v>
      </c>
      <c r="E24" s="89" t="s">
        <v>262</v>
      </c>
      <c r="F24" s="123">
        <v>80</v>
      </c>
      <c r="G24" s="124">
        <v>78</v>
      </c>
      <c r="H24" s="124">
        <v>80</v>
      </c>
      <c r="I24" s="124">
        <v>79</v>
      </c>
      <c r="J24" s="124">
        <v>78</v>
      </c>
      <c r="K24" s="124">
        <v>74</v>
      </c>
      <c r="L24" s="124">
        <v>70</v>
      </c>
      <c r="M24" s="124">
        <v>79</v>
      </c>
      <c r="N24" s="124">
        <v>65</v>
      </c>
      <c r="O24" s="124">
        <v>57</v>
      </c>
      <c r="P24" s="124">
        <v>84</v>
      </c>
      <c r="Q24" s="124">
        <v>76</v>
      </c>
      <c r="R24" s="124">
        <v>75</v>
      </c>
      <c r="S24" s="124">
        <v>60</v>
      </c>
      <c r="T24" s="124">
        <v>65</v>
      </c>
      <c r="U24" s="124">
        <v>75</v>
      </c>
      <c r="V24" s="124">
        <v>84</v>
      </c>
      <c r="W24" s="506" t="s">
        <v>288</v>
      </c>
      <c r="X24" s="506" t="s">
        <v>288</v>
      </c>
      <c r="Y24" s="503"/>
      <c r="Z24" s="493"/>
      <c r="AA24" s="498"/>
      <c r="AB24" s="93" t="s">
        <v>180</v>
      </c>
      <c r="AC24" s="94" t="s">
        <v>36</v>
      </c>
      <c r="AD24" s="95">
        <f t="shared" ref="AD24:AD25" si="13">IFERROR(AVERAGE(F24:V24),"")</f>
        <v>74.058823529411768</v>
      </c>
      <c r="AE24" s="489">
        <f t="shared" ref="AE24" si="14">IFERROR((AD24+AD25)/2,"")</f>
        <v>73.85294117647058</v>
      </c>
      <c r="AF24" s="490">
        <f>IFERROR(RANK(AE24,$AE$8:$AE$167,0),"")</f>
        <v>7</v>
      </c>
      <c r="AG24" s="539" t="s">
        <v>280</v>
      </c>
    </row>
    <row r="25" spans="1:33" s="62" customFormat="1" ht="15">
      <c r="A25" s="528"/>
      <c r="B25" s="530"/>
      <c r="C25" s="533"/>
      <c r="D25" s="100" t="str">
        <f>B24&amp;"B"</f>
        <v>181910045B</v>
      </c>
      <c r="E25" s="101" t="s">
        <v>263</v>
      </c>
      <c r="F25" s="126">
        <v>80</v>
      </c>
      <c r="G25" s="102">
        <v>78</v>
      </c>
      <c r="H25" s="102">
        <v>75</v>
      </c>
      <c r="I25" s="102">
        <v>80</v>
      </c>
      <c r="J25" s="102">
        <v>73</v>
      </c>
      <c r="K25" s="102">
        <v>75</v>
      </c>
      <c r="L25" s="102">
        <v>48</v>
      </c>
      <c r="M25" s="102">
        <v>62</v>
      </c>
      <c r="N25" s="102">
        <v>82</v>
      </c>
      <c r="O25" s="102">
        <v>78</v>
      </c>
      <c r="P25" s="102">
        <v>85</v>
      </c>
      <c r="Q25" s="102">
        <v>75</v>
      </c>
      <c r="R25" s="102">
        <v>72</v>
      </c>
      <c r="S25" s="102">
        <v>81</v>
      </c>
      <c r="T25" s="102">
        <v>56</v>
      </c>
      <c r="U25" s="102">
        <v>70</v>
      </c>
      <c r="V25" s="102">
        <v>82</v>
      </c>
      <c r="W25" s="507"/>
      <c r="X25" s="507"/>
      <c r="Y25" s="504"/>
      <c r="Z25" s="494"/>
      <c r="AA25" s="499"/>
      <c r="AB25" s="104" t="s">
        <v>36</v>
      </c>
      <c r="AC25" s="105" t="s">
        <v>36</v>
      </c>
      <c r="AD25" s="106">
        <f t="shared" si="13"/>
        <v>73.647058823529406</v>
      </c>
      <c r="AE25" s="489"/>
      <c r="AF25" s="491"/>
      <c r="AG25" s="540"/>
    </row>
    <row r="26" spans="1:33" s="62" customFormat="1" ht="15">
      <c r="A26" s="528"/>
      <c r="B26" s="530"/>
      <c r="C26" s="533"/>
      <c r="D26" s="100" t="str">
        <f>B24&amp;"C"</f>
        <v>181910045C</v>
      </c>
      <c r="E26" s="111" t="s">
        <v>151</v>
      </c>
      <c r="F26" s="112" t="str">
        <f t="shared" ref="F26:V26" si="15">IFERROR(VLOOKUP(F24,$AI$8:$AJ$14,2,TRUE),"")</f>
        <v>B</v>
      </c>
      <c r="G26" s="113" t="str">
        <f t="shared" si="15"/>
        <v>C</v>
      </c>
      <c r="H26" s="113" t="str">
        <f t="shared" si="15"/>
        <v>B</v>
      </c>
      <c r="I26" s="113" t="str">
        <f t="shared" si="15"/>
        <v>C</v>
      </c>
      <c r="J26" s="113" t="str">
        <f t="shared" si="15"/>
        <v>C</v>
      </c>
      <c r="K26" s="113" t="str">
        <f t="shared" si="15"/>
        <v>C</v>
      </c>
      <c r="L26" s="113" t="str">
        <f t="shared" si="15"/>
        <v>C</v>
      </c>
      <c r="M26" s="113" t="str">
        <f t="shared" si="15"/>
        <v>C</v>
      </c>
      <c r="N26" s="113" t="str">
        <f t="shared" si="15"/>
        <v>D</v>
      </c>
      <c r="O26" s="113" t="str">
        <f t="shared" si="15"/>
        <v>D</v>
      </c>
      <c r="P26" s="113" t="str">
        <f t="shared" si="15"/>
        <v>B</v>
      </c>
      <c r="Q26" s="113" t="str">
        <f t="shared" si="15"/>
        <v>C</v>
      </c>
      <c r="R26" s="113" t="str">
        <f t="shared" si="15"/>
        <v>C</v>
      </c>
      <c r="S26" s="113" t="str">
        <f t="shared" si="15"/>
        <v>D</v>
      </c>
      <c r="T26" s="113" t="str">
        <f t="shared" si="15"/>
        <v>D</v>
      </c>
      <c r="U26" s="113" t="str">
        <f t="shared" si="15"/>
        <v>C</v>
      </c>
      <c r="V26" s="114" t="str">
        <f t="shared" si="15"/>
        <v>B</v>
      </c>
      <c r="W26" s="507"/>
      <c r="X26" s="507"/>
      <c r="Y26" s="504"/>
      <c r="Z26" s="494"/>
      <c r="AA26" s="499"/>
      <c r="AB26" s="104" t="s">
        <v>36</v>
      </c>
      <c r="AC26" s="105" t="s">
        <v>36</v>
      </c>
      <c r="AD26" s="496">
        <f>SUM(F24:V25)</f>
        <v>2511</v>
      </c>
      <c r="AE26" s="489"/>
      <c r="AF26" s="491"/>
      <c r="AG26" s="540"/>
    </row>
    <row r="27" spans="1:33" s="62" customFormat="1" ht="15">
      <c r="A27" s="529"/>
      <c r="B27" s="115"/>
      <c r="C27" s="116"/>
      <c r="D27" s="100" t="str">
        <f>B24&amp;"D"</f>
        <v>181910045D</v>
      </c>
      <c r="E27" s="117" t="s">
        <v>152</v>
      </c>
      <c r="F27" s="118" t="str">
        <f t="shared" ref="F27:V27" si="16">IFERROR(VLOOKUP(F25,$AI$8:$AJ$14,2,TRUE),"")</f>
        <v>B</v>
      </c>
      <c r="G27" s="119" t="str">
        <f t="shared" si="16"/>
        <v>C</v>
      </c>
      <c r="H27" s="119" t="str">
        <f t="shared" si="16"/>
        <v>C</v>
      </c>
      <c r="I27" s="119" t="str">
        <f t="shared" si="16"/>
        <v>B</v>
      </c>
      <c r="J27" s="119" t="str">
        <f t="shared" si="16"/>
        <v>C</v>
      </c>
      <c r="K27" s="119" t="str">
        <f t="shared" si="16"/>
        <v>C</v>
      </c>
      <c r="L27" s="119" t="str">
        <f t="shared" si="16"/>
        <v>D</v>
      </c>
      <c r="M27" s="119" t="str">
        <f t="shared" si="16"/>
        <v>D</v>
      </c>
      <c r="N27" s="119" t="str">
        <f t="shared" si="16"/>
        <v>B</v>
      </c>
      <c r="O27" s="119" t="str">
        <f t="shared" si="16"/>
        <v>C</v>
      </c>
      <c r="P27" s="119" t="str">
        <f t="shared" si="16"/>
        <v>B</v>
      </c>
      <c r="Q27" s="119" t="str">
        <f t="shared" si="16"/>
        <v>C</v>
      </c>
      <c r="R27" s="119" t="str">
        <f t="shared" si="16"/>
        <v>C</v>
      </c>
      <c r="S27" s="119" t="str">
        <f t="shared" si="16"/>
        <v>B</v>
      </c>
      <c r="T27" s="119" t="str">
        <f t="shared" si="16"/>
        <v>D</v>
      </c>
      <c r="U27" s="119" t="str">
        <f t="shared" si="16"/>
        <v>C</v>
      </c>
      <c r="V27" s="120" t="str">
        <f t="shared" si="16"/>
        <v>B</v>
      </c>
      <c r="W27" s="508"/>
      <c r="X27" s="508"/>
      <c r="Y27" s="505"/>
      <c r="Z27" s="495"/>
      <c r="AA27" s="500"/>
      <c r="AB27" s="121" t="s">
        <v>36</v>
      </c>
      <c r="AC27" s="122" t="s">
        <v>36</v>
      </c>
      <c r="AD27" s="497"/>
      <c r="AE27" s="489"/>
      <c r="AF27" s="492"/>
      <c r="AG27" s="541"/>
    </row>
    <row r="28" spans="1:33" s="62" customFormat="1" ht="15">
      <c r="A28" s="534">
        <v>6</v>
      </c>
      <c r="B28" s="531" t="str">
        <f>VLOOKUP(A28,biononis,2,1)</f>
        <v>181910054</v>
      </c>
      <c r="C28" s="532" t="str">
        <f>VLOOKUP(A28,biononis,3,1)</f>
        <v>AZRIEL TAMA SANTIAJI</v>
      </c>
      <c r="D28" s="100" t="str">
        <f>B28&amp;"A"</f>
        <v>181910054A</v>
      </c>
      <c r="E28" s="89" t="s">
        <v>262</v>
      </c>
      <c r="F28" s="123">
        <v>42</v>
      </c>
      <c r="G28" s="124">
        <v>18</v>
      </c>
      <c r="H28" s="124">
        <v>65</v>
      </c>
      <c r="I28" s="124">
        <v>34</v>
      </c>
      <c r="J28" s="124">
        <v>30</v>
      </c>
      <c r="K28" s="124">
        <v>50</v>
      </c>
      <c r="L28" s="124">
        <v>76</v>
      </c>
      <c r="M28" s="124">
        <v>57</v>
      </c>
      <c r="N28" s="124">
        <v>10</v>
      </c>
      <c r="O28" s="124">
        <v>23</v>
      </c>
      <c r="P28" s="124">
        <v>50</v>
      </c>
      <c r="Q28" s="124">
        <v>43</v>
      </c>
      <c r="R28" s="124">
        <v>60</v>
      </c>
      <c r="S28" s="124">
        <v>60</v>
      </c>
      <c r="T28" s="124">
        <v>21</v>
      </c>
      <c r="U28" s="124">
        <v>20</v>
      </c>
      <c r="V28" s="124">
        <v>65</v>
      </c>
      <c r="W28" s="506" t="s">
        <v>18</v>
      </c>
      <c r="X28" s="506" t="s">
        <v>6</v>
      </c>
      <c r="Y28" s="503"/>
      <c r="Z28" s="493"/>
      <c r="AA28" s="498" t="s">
        <v>36</v>
      </c>
      <c r="AB28" s="93" t="s">
        <v>180</v>
      </c>
      <c r="AC28" s="94" t="s">
        <v>36</v>
      </c>
      <c r="AD28" s="95">
        <f t="shared" ref="AD28:AD29" si="17">IFERROR(AVERAGE(F28:V28),"")</f>
        <v>42.588235294117645</v>
      </c>
      <c r="AE28" s="489">
        <f t="shared" ref="AE28" si="18">IFERROR((AD28+AD29)/2,"")</f>
        <v>45.117647058823529</v>
      </c>
      <c r="AF28" s="490">
        <f>IFERROR(RANK(AE28,$AE$8:$AE$167,0),"")</f>
        <v>32</v>
      </c>
      <c r="AG28" s="539" t="s">
        <v>285</v>
      </c>
    </row>
    <row r="29" spans="1:33" s="62" customFormat="1" ht="15">
      <c r="A29" s="528"/>
      <c r="B29" s="530"/>
      <c r="C29" s="533"/>
      <c r="D29" s="100" t="str">
        <f>B28&amp;"B"</f>
        <v>181910054B</v>
      </c>
      <c r="E29" s="101" t="s">
        <v>263</v>
      </c>
      <c r="F29" s="126">
        <v>60</v>
      </c>
      <c r="G29" s="102">
        <v>80</v>
      </c>
      <c r="H29" s="102">
        <v>65</v>
      </c>
      <c r="I29" s="102">
        <v>56</v>
      </c>
      <c r="J29" s="102">
        <v>30</v>
      </c>
      <c r="K29" s="102">
        <v>30</v>
      </c>
      <c r="L29" s="102">
        <v>76</v>
      </c>
      <c r="M29" s="102">
        <v>48</v>
      </c>
      <c r="N29" s="102">
        <v>20</v>
      </c>
      <c r="O29" s="102">
        <v>35</v>
      </c>
      <c r="P29" s="102">
        <v>70</v>
      </c>
      <c r="Q29" s="102">
        <v>0</v>
      </c>
      <c r="R29" s="102">
        <v>60</v>
      </c>
      <c r="S29" s="102">
        <v>50</v>
      </c>
      <c r="T29" s="102">
        <v>10</v>
      </c>
      <c r="U29" s="102">
        <v>60</v>
      </c>
      <c r="V29" s="102">
        <v>60</v>
      </c>
      <c r="W29" s="507"/>
      <c r="X29" s="507"/>
      <c r="Y29" s="504"/>
      <c r="Z29" s="494"/>
      <c r="AA29" s="499"/>
      <c r="AB29" s="104" t="s">
        <v>36</v>
      </c>
      <c r="AC29" s="105" t="s">
        <v>36</v>
      </c>
      <c r="AD29" s="106">
        <f t="shared" si="17"/>
        <v>47.647058823529413</v>
      </c>
      <c r="AE29" s="489"/>
      <c r="AF29" s="491"/>
      <c r="AG29" s="540"/>
    </row>
    <row r="30" spans="1:33" s="62" customFormat="1" ht="15">
      <c r="A30" s="528"/>
      <c r="B30" s="530"/>
      <c r="C30" s="533"/>
      <c r="D30" s="100" t="str">
        <f>B28&amp;"C"</f>
        <v>181910054C</v>
      </c>
      <c r="E30" s="111" t="s">
        <v>151</v>
      </c>
      <c r="F30" s="112" t="str">
        <f t="shared" ref="F30:V30" si="19">IFERROR(VLOOKUP(F28,$AI$8:$AJ$14,2,TRUE),"")</f>
        <v>D</v>
      </c>
      <c r="G30" s="113" t="str">
        <f t="shared" si="19"/>
        <v>D</v>
      </c>
      <c r="H30" s="113" t="str">
        <f t="shared" si="19"/>
        <v>D</v>
      </c>
      <c r="I30" s="113" t="str">
        <f t="shared" si="19"/>
        <v>D</v>
      </c>
      <c r="J30" s="113" t="str">
        <f t="shared" si="19"/>
        <v>D</v>
      </c>
      <c r="K30" s="113" t="str">
        <f t="shared" si="19"/>
        <v>D</v>
      </c>
      <c r="L30" s="113" t="str">
        <f t="shared" si="19"/>
        <v>C</v>
      </c>
      <c r="M30" s="113" t="str">
        <f t="shared" si="19"/>
        <v>D</v>
      </c>
      <c r="N30" s="113" t="str">
        <f t="shared" si="19"/>
        <v>D</v>
      </c>
      <c r="O30" s="113" t="str">
        <f t="shared" si="19"/>
        <v>D</v>
      </c>
      <c r="P30" s="113" t="str">
        <f t="shared" si="19"/>
        <v>D</v>
      </c>
      <c r="Q30" s="113" t="str">
        <f t="shared" si="19"/>
        <v>D</v>
      </c>
      <c r="R30" s="113" t="str">
        <f t="shared" si="19"/>
        <v>D</v>
      </c>
      <c r="S30" s="113" t="str">
        <f t="shared" si="19"/>
        <v>D</v>
      </c>
      <c r="T30" s="113" t="str">
        <f t="shared" si="19"/>
        <v>D</v>
      </c>
      <c r="U30" s="113" t="str">
        <f t="shared" si="19"/>
        <v>D</v>
      </c>
      <c r="V30" s="114" t="str">
        <f t="shared" si="19"/>
        <v>D</v>
      </c>
      <c r="W30" s="507"/>
      <c r="X30" s="507"/>
      <c r="Y30" s="504"/>
      <c r="Z30" s="494"/>
      <c r="AA30" s="499"/>
      <c r="AB30" s="104" t="s">
        <v>36</v>
      </c>
      <c r="AC30" s="105" t="s">
        <v>36</v>
      </c>
      <c r="AD30" s="496">
        <f>SUM(F28:V29)</f>
        <v>1534</v>
      </c>
      <c r="AE30" s="489"/>
      <c r="AF30" s="491"/>
      <c r="AG30" s="540"/>
    </row>
    <row r="31" spans="1:33" s="62" customFormat="1" ht="15">
      <c r="A31" s="535"/>
      <c r="B31" s="130"/>
      <c r="C31" s="131"/>
      <c r="D31" s="100" t="str">
        <f>B28&amp;"D"</f>
        <v>181910054D</v>
      </c>
      <c r="E31" s="117" t="s">
        <v>152</v>
      </c>
      <c r="F31" s="118" t="str">
        <f t="shared" ref="F31:V31" si="20">IFERROR(VLOOKUP(F29,$AI$8:$AJ$14,2,TRUE),"")</f>
        <v>D</v>
      </c>
      <c r="G31" s="119" t="str">
        <f t="shared" si="20"/>
        <v>B</v>
      </c>
      <c r="H31" s="119" t="str">
        <f t="shared" si="20"/>
        <v>D</v>
      </c>
      <c r="I31" s="119" t="str">
        <f t="shared" si="20"/>
        <v>D</v>
      </c>
      <c r="J31" s="119" t="str">
        <f t="shared" si="20"/>
        <v>D</v>
      </c>
      <c r="K31" s="119" t="str">
        <f t="shared" si="20"/>
        <v>D</v>
      </c>
      <c r="L31" s="119" t="str">
        <f t="shared" si="20"/>
        <v>C</v>
      </c>
      <c r="M31" s="119" t="str">
        <f t="shared" si="20"/>
        <v>D</v>
      </c>
      <c r="N31" s="119" t="str">
        <f t="shared" si="20"/>
        <v>D</v>
      </c>
      <c r="O31" s="119" t="str">
        <f t="shared" si="20"/>
        <v>D</v>
      </c>
      <c r="P31" s="119" t="str">
        <f t="shared" si="20"/>
        <v>C</v>
      </c>
      <c r="Q31" s="119" t="str">
        <f t="shared" si="20"/>
        <v/>
      </c>
      <c r="R31" s="119" t="str">
        <f t="shared" si="20"/>
        <v>D</v>
      </c>
      <c r="S31" s="119" t="str">
        <f t="shared" si="20"/>
        <v>D</v>
      </c>
      <c r="T31" s="119" t="str">
        <f t="shared" si="20"/>
        <v>D</v>
      </c>
      <c r="U31" s="119" t="str">
        <f t="shared" si="20"/>
        <v>D</v>
      </c>
      <c r="V31" s="120" t="str">
        <f t="shared" si="20"/>
        <v>D</v>
      </c>
      <c r="W31" s="508"/>
      <c r="X31" s="508"/>
      <c r="Y31" s="505"/>
      <c r="Z31" s="495"/>
      <c r="AA31" s="500"/>
      <c r="AB31" s="121" t="s">
        <v>36</v>
      </c>
      <c r="AC31" s="122" t="s">
        <v>36</v>
      </c>
      <c r="AD31" s="497"/>
      <c r="AE31" s="489"/>
      <c r="AF31" s="492"/>
      <c r="AG31" s="541"/>
    </row>
    <row r="32" spans="1:33" s="62" customFormat="1" ht="15">
      <c r="A32" s="527">
        <v>7</v>
      </c>
      <c r="B32" s="530" t="str">
        <f>VLOOKUP(A32,biononis,2,1)</f>
        <v>181910055</v>
      </c>
      <c r="C32" s="533" t="str">
        <f>VLOOKUP(A32,biononis,3,1)</f>
        <v>AZZUHRI HAUDI</v>
      </c>
      <c r="D32" s="100" t="str">
        <f>B32&amp;"A"</f>
        <v>181910055A</v>
      </c>
      <c r="E32" s="89" t="s">
        <v>262</v>
      </c>
      <c r="F32" s="123">
        <v>72</v>
      </c>
      <c r="G32" s="124">
        <v>80</v>
      </c>
      <c r="H32" s="124">
        <v>78</v>
      </c>
      <c r="I32" s="124">
        <v>62</v>
      </c>
      <c r="J32" s="124">
        <v>78</v>
      </c>
      <c r="K32" s="124">
        <v>74</v>
      </c>
      <c r="L32" s="124">
        <v>73</v>
      </c>
      <c r="M32" s="124">
        <v>81</v>
      </c>
      <c r="N32" s="124">
        <v>40</v>
      </c>
      <c r="O32" s="124">
        <v>59</v>
      </c>
      <c r="P32" s="124">
        <v>80</v>
      </c>
      <c r="Q32" s="124">
        <v>60</v>
      </c>
      <c r="R32" s="124">
        <v>70</v>
      </c>
      <c r="S32" s="124">
        <v>56</v>
      </c>
      <c r="T32" s="124">
        <v>81</v>
      </c>
      <c r="U32" s="124">
        <v>72</v>
      </c>
      <c r="V32" s="124">
        <v>85</v>
      </c>
      <c r="W32" s="506" t="s">
        <v>6</v>
      </c>
      <c r="X32" s="506" t="s">
        <v>6</v>
      </c>
      <c r="Y32" s="503"/>
      <c r="Z32" s="493"/>
      <c r="AA32" s="498">
        <v>0</v>
      </c>
      <c r="AB32" s="93" t="s">
        <v>180</v>
      </c>
      <c r="AC32" s="94" t="s">
        <v>36</v>
      </c>
      <c r="AD32" s="95">
        <f t="shared" ref="AD32:AD33" si="21">IFERROR(AVERAGE(F32:V32),"")</f>
        <v>70.647058823529406</v>
      </c>
      <c r="AE32" s="489">
        <f t="shared" ref="AE32" si="22">IFERROR((AD32+AD33)/2,"")</f>
        <v>71.205882352941174</v>
      </c>
      <c r="AF32" s="490">
        <f>IFERROR(RANK(AE32,$AE$8:$AE$167,0),"")</f>
        <v>12</v>
      </c>
      <c r="AG32" s="539" t="s">
        <v>282</v>
      </c>
    </row>
    <row r="33" spans="1:33" s="62" customFormat="1" ht="15">
      <c r="A33" s="528"/>
      <c r="B33" s="530"/>
      <c r="C33" s="533"/>
      <c r="D33" s="100" t="str">
        <f>B32&amp;"B"</f>
        <v>181910055B</v>
      </c>
      <c r="E33" s="101" t="s">
        <v>263</v>
      </c>
      <c r="F33" s="126">
        <v>70</v>
      </c>
      <c r="G33" s="102">
        <v>78</v>
      </c>
      <c r="H33" s="102">
        <v>80</v>
      </c>
      <c r="I33" s="102">
        <v>65</v>
      </c>
      <c r="J33" s="102">
        <v>76</v>
      </c>
      <c r="K33" s="102">
        <v>75</v>
      </c>
      <c r="L33" s="102">
        <v>50</v>
      </c>
      <c r="M33" s="102">
        <v>83</v>
      </c>
      <c r="N33" s="102">
        <v>80</v>
      </c>
      <c r="O33" s="102">
        <v>38</v>
      </c>
      <c r="P33" s="102">
        <v>80</v>
      </c>
      <c r="Q33" s="102">
        <v>65</v>
      </c>
      <c r="R33" s="102">
        <v>70</v>
      </c>
      <c r="S33" s="102">
        <v>76</v>
      </c>
      <c r="T33" s="102">
        <v>81</v>
      </c>
      <c r="U33" s="102">
        <v>70</v>
      </c>
      <c r="V33" s="102">
        <v>83</v>
      </c>
      <c r="W33" s="507"/>
      <c r="X33" s="507"/>
      <c r="Y33" s="504"/>
      <c r="Z33" s="494"/>
      <c r="AA33" s="499"/>
      <c r="AB33" s="104" t="s">
        <v>36</v>
      </c>
      <c r="AC33" s="105" t="s">
        <v>36</v>
      </c>
      <c r="AD33" s="106">
        <f t="shared" si="21"/>
        <v>71.764705882352942</v>
      </c>
      <c r="AE33" s="489"/>
      <c r="AF33" s="491"/>
      <c r="AG33" s="540"/>
    </row>
    <row r="34" spans="1:33" s="62" customFormat="1" ht="15">
      <c r="A34" s="528"/>
      <c r="B34" s="530"/>
      <c r="C34" s="533"/>
      <c r="D34" s="100" t="str">
        <f>B32&amp;"C"</f>
        <v>181910055C</v>
      </c>
      <c r="E34" s="111" t="s">
        <v>151</v>
      </c>
      <c r="F34" s="112" t="str">
        <f t="shared" ref="F34:V34" si="23">IFERROR(VLOOKUP(F32,$AI$8:$AJ$14,2,TRUE),"")</f>
        <v>C</v>
      </c>
      <c r="G34" s="113" t="str">
        <f t="shared" si="23"/>
        <v>B</v>
      </c>
      <c r="H34" s="113" t="str">
        <f t="shared" si="23"/>
        <v>C</v>
      </c>
      <c r="I34" s="113" t="str">
        <f t="shared" si="23"/>
        <v>D</v>
      </c>
      <c r="J34" s="113" t="str">
        <f t="shared" si="23"/>
        <v>C</v>
      </c>
      <c r="K34" s="113" t="str">
        <f t="shared" si="23"/>
        <v>C</v>
      </c>
      <c r="L34" s="113" t="str">
        <f t="shared" si="23"/>
        <v>C</v>
      </c>
      <c r="M34" s="113" t="str">
        <f t="shared" si="23"/>
        <v>B</v>
      </c>
      <c r="N34" s="113" t="str">
        <f t="shared" si="23"/>
        <v>D</v>
      </c>
      <c r="O34" s="113" t="str">
        <f t="shared" si="23"/>
        <v>D</v>
      </c>
      <c r="P34" s="113" t="str">
        <f t="shared" si="23"/>
        <v>B</v>
      </c>
      <c r="Q34" s="113" t="str">
        <f t="shared" si="23"/>
        <v>D</v>
      </c>
      <c r="R34" s="113" t="str">
        <f t="shared" si="23"/>
        <v>C</v>
      </c>
      <c r="S34" s="113" t="str">
        <f t="shared" si="23"/>
        <v>D</v>
      </c>
      <c r="T34" s="113" t="str">
        <f t="shared" si="23"/>
        <v>B</v>
      </c>
      <c r="U34" s="113" t="str">
        <f t="shared" si="23"/>
        <v>C</v>
      </c>
      <c r="V34" s="114" t="str">
        <f t="shared" si="23"/>
        <v>B</v>
      </c>
      <c r="W34" s="507"/>
      <c r="X34" s="507"/>
      <c r="Y34" s="504"/>
      <c r="Z34" s="494"/>
      <c r="AA34" s="499"/>
      <c r="AB34" s="104" t="s">
        <v>36</v>
      </c>
      <c r="AC34" s="105" t="s">
        <v>36</v>
      </c>
      <c r="AD34" s="496">
        <f>SUM(F32:V33)</f>
        <v>2421</v>
      </c>
      <c r="AE34" s="489"/>
      <c r="AF34" s="491"/>
      <c r="AG34" s="540"/>
    </row>
    <row r="35" spans="1:33" s="62" customFormat="1" ht="15">
      <c r="A35" s="529"/>
      <c r="B35" s="115"/>
      <c r="C35" s="116"/>
      <c r="D35" s="100" t="str">
        <f>B32&amp;"D"</f>
        <v>181910055D</v>
      </c>
      <c r="E35" s="117" t="s">
        <v>152</v>
      </c>
      <c r="F35" s="118" t="str">
        <f t="shared" ref="F35:V35" si="24">IFERROR(VLOOKUP(F33,$AI$8:$AJ$14,2,TRUE),"")</f>
        <v>C</v>
      </c>
      <c r="G35" s="119" t="str">
        <f t="shared" si="24"/>
        <v>C</v>
      </c>
      <c r="H35" s="119" t="str">
        <f t="shared" si="24"/>
        <v>B</v>
      </c>
      <c r="I35" s="119" t="str">
        <f t="shared" si="24"/>
        <v>D</v>
      </c>
      <c r="J35" s="119" t="str">
        <f t="shared" si="24"/>
        <v>C</v>
      </c>
      <c r="K35" s="119" t="str">
        <f t="shared" si="24"/>
        <v>C</v>
      </c>
      <c r="L35" s="119" t="str">
        <f t="shared" si="24"/>
        <v>D</v>
      </c>
      <c r="M35" s="119" t="str">
        <f t="shared" si="24"/>
        <v>B</v>
      </c>
      <c r="N35" s="119" t="str">
        <f t="shared" si="24"/>
        <v>B</v>
      </c>
      <c r="O35" s="119" t="str">
        <f t="shared" si="24"/>
        <v>D</v>
      </c>
      <c r="P35" s="119" t="str">
        <f t="shared" si="24"/>
        <v>B</v>
      </c>
      <c r="Q35" s="119" t="str">
        <f t="shared" si="24"/>
        <v>D</v>
      </c>
      <c r="R35" s="119" t="str">
        <f t="shared" si="24"/>
        <v>C</v>
      </c>
      <c r="S35" s="119" t="str">
        <f t="shared" si="24"/>
        <v>C</v>
      </c>
      <c r="T35" s="119" t="str">
        <f t="shared" si="24"/>
        <v>B</v>
      </c>
      <c r="U35" s="119" t="str">
        <f t="shared" si="24"/>
        <v>C</v>
      </c>
      <c r="V35" s="120" t="str">
        <f t="shared" si="24"/>
        <v>B</v>
      </c>
      <c r="W35" s="508"/>
      <c r="X35" s="508"/>
      <c r="Y35" s="505"/>
      <c r="Z35" s="495"/>
      <c r="AA35" s="500"/>
      <c r="AB35" s="121" t="s">
        <v>36</v>
      </c>
      <c r="AC35" s="122" t="s">
        <v>36</v>
      </c>
      <c r="AD35" s="497"/>
      <c r="AE35" s="489"/>
      <c r="AF35" s="492"/>
      <c r="AG35" s="541"/>
    </row>
    <row r="36" spans="1:33" s="62" customFormat="1" ht="15">
      <c r="A36" s="534">
        <v>8</v>
      </c>
      <c r="B36" s="531" t="str">
        <f>VLOOKUP(A36,biononis,2,1)</f>
        <v>181910056</v>
      </c>
      <c r="C36" s="532" t="str">
        <f>VLOOKUP(A36,biononis,3,1)</f>
        <v>BAYU BATARA SURYA PUTRA</v>
      </c>
      <c r="D36" s="100" t="str">
        <f>B36&amp;"A"</f>
        <v>181910056A</v>
      </c>
      <c r="E36" s="89" t="s">
        <v>262</v>
      </c>
      <c r="F36" s="123">
        <v>72</v>
      </c>
      <c r="G36" s="124">
        <v>60</v>
      </c>
      <c r="H36" s="124">
        <v>71</v>
      </c>
      <c r="I36" s="124">
        <v>69</v>
      </c>
      <c r="J36" s="124">
        <v>79</v>
      </c>
      <c r="K36" s="124">
        <v>73</v>
      </c>
      <c r="L36" s="124">
        <v>70</v>
      </c>
      <c r="M36" s="124">
        <v>75</v>
      </c>
      <c r="N36" s="124">
        <v>30</v>
      </c>
      <c r="O36" s="124">
        <v>70</v>
      </c>
      <c r="P36" s="124">
        <v>74</v>
      </c>
      <c r="Q36" s="124">
        <v>45</v>
      </c>
      <c r="R36" s="124">
        <v>74</v>
      </c>
      <c r="S36" s="124">
        <v>61</v>
      </c>
      <c r="T36" s="124">
        <v>65</v>
      </c>
      <c r="U36" s="124">
        <v>20</v>
      </c>
      <c r="V36" s="124">
        <v>75</v>
      </c>
      <c r="W36" s="506" t="s">
        <v>18</v>
      </c>
      <c r="X36" s="506" t="s">
        <v>6</v>
      </c>
      <c r="Y36" s="503"/>
      <c r="Z36" s="493"/>
      <c r="AA36" s="498">
        <v>0</v>
      </c>
      <c r="AB36" s="93" t="s">
        <v>180</v>
      </c>
      <c r="AC36" s="94" t="s">
        <v>36</v>
      </c>
      <c r="AD36" s="95">
        <f t="shared" ref="AD36:AD37" si="25">IFERROR(AVERAGE(F36:V36),"")</f>
        <v>63.705882352941174</v>
      </c>
      <c r="AE36" s="489">
        <f t="shared" ref="AE36" si="26">IFERROR((AD36+AD37)/2,"")</f>
        <v>64.69669117647058</v>
      </c>
      <c r="AF36" s="490">
        <f>IFERROR(RANK(AE36,$AE$8:$AE$167,0),"")</f>
        <v>18</v>
      </c>
      <c r="AG36" s="539" t="s">
        <v>282</v>
      </c>
    </row>
    <row r="37" spans="1:33" s="62" customFormat="1" ht="15">
      <c r="A37" s="528"/>
      <c r="B37" s="530"/>
      <c r="C37" s="533"/>
      <c r="D37" s="100" t="str">
        <f>B36&amp;"B"</f>
        <v>181910056B</v>
      </c>
      <c r="E37" s="101" t="s">
        <v>263</v>
      </c>
      <c r="F37" s="126">
        <v>70</v>
      </c>
      <c r="G37" s="102">
        <v>50</v>
      </c>
      <c r="H37" s="102">
        <v>71</v>
      </c>
      <c r="I37" s="102">
        <v>65</v>
      </c>
      <c r="J37" s="102">
        <v>76</v>
      </c>
      <c r="K37" s="102">
        <v>70</v>
      </c>
      <c r="L37" s="102">
        <v>47</v>
      </c>
      <c r="M37" s="102">
        <v>80</v>
      </c>
      <c r="N37" s="102">
        <v>80</v>
      </c>
      <c r="O37" s="102">
        <v>38</v>
      </c>
      <c r="P37" s="102">
        <v>75</v>
      </c>
      <c r="Q37" s="102" t="s">
        <v>430</v>
      </c>
      <c r="R37" s="102">
        <v>74</v>
      </c>
      <c r="S37" s="102">
        <v>78</v>
      </c>
      <c r="T37" s="102">
        <v>54</v>
      </c>
      <c r="U37" s="102">
        <v>50</v>
      </c>
      <c r="V37" s="102">
        <v>73</v>
      </c>
      <c r="W37" s="507"/>
      <c r="X37" s="507"/>
      <c r="Y37" s="504"/>
      <c r="Z37" s="494"/>
      <c r="AA37" s="499"/>
      <c r="AB37" s="104" t="s">
        <v>36</v>
      </c>
      <c r="AC37" s="105" t="s">
        <v>36</v>
      </c>
      <c r="AD37" s="106">
        <f t="shared" si="25"/>
        <v>65.6875</v>
      </c>
      <c r="AE37" s="489"/>
      <c r="AF37" s="491"/>
      <c r="AG37" s="540"/>
    </row>
    <row r="38" spans="1:33" s="62" customFormat="1" ht="15">
      <c r="A38" s="528"/>
      <c r="B38" s="530"/>
      <c r="C38" s="533"/>
      <c r="D38" s="100" t="str">
        <f>B36&amp;"C"</f>
        <v>181910056C</v>
      </c>
      <c r="E38" s="111" t="s">
        <v>151</v>
      </c>
      <c r="F38" s="112" t="str">
        <f t="shared" ref="F38:V38" si="27">IFERROR(VLOOKUP(F36,$AI$8:$AJ$14,2,TRUE),"")</f>
        <v>C</v>
      </c>
      <c r="G38" s="113" t="str">
        <f t="shared" si="27"/>
        <v>D</v>
      </c>
      <c r="H38" s="113" t="str">
        <f t="shared" si="27"/>
        <v>C</v>
      </c>
      <c r="I38" s="113" t="str">
        <f t="shared" si="27"/>
        <v>D</v>
      </c>
      <c r="J38" s="113" t="str">
        <f t="shared" si="27"/>
        <v>C</v>
      </c>
      <c r="K38" s="113" t="str">
        <f t="shared" si="27"/>
        <v>C</v>
      </c>
      <c r="L38" s="113" t="str">
        <f t="shared" si="27"/>
        <v>C</v>
      </c>
      <c r="M38" s="113" t="str">
        <f t="shared" si="27"/>
        <v>C</v>
      </c>
      <c r="N38" s="113" t="str">
        <f t="shared" si="27"/>
        <v>D</v>
      </c>
      <c r="O38" s="113" t="str">
        <f t="shared" si="27"/>
        <v>C</v>
      </c>
      <c r="P38" s="113" t="str">
        <f t="shared" si="27"/>
        <v>C</v>
      </c>
      <c r="Q38" s="113" t="str">
        <f t="shared" si="27"/>
        <v>D</v>
      </c>
      <c r="R38" s="113" t="str">
        <f t="shared" si="27"/>
        <v>C</v>
      </c>
      <c r="S38" s="113" t="str">
        <f t="shared" si="27"/>
        <v>D</v>
      </c>
      <c r="T38" s="113" t="str">
        <f t="shared" si="27"/>
        <v>D</v>
      </c>
      <c r="U38" s="113" t="str">
        <f t="shared" si="27"/>
        <v>D</v>
      </c>
      <c r="V38" s="114" t="str">
        <f t="shared" si="27"/>
        <v>C</v>
      </c>
      <c r="W38" s="507"/>
      <c r="X38" s="507"/>
      <c r="Y38" s="504"/>
      <c r="Z38" s="494"/>
      <c r="AA38" s="499"/>
      <c r="AB38" s="104" t="s">
        <v>36</v>
      </c>
      <c r="AC38" s="105" t="s">
        <v>36</v>
      </c>
      <c r="AD38" s="496">
        <f>SUM(F36:V37)</f>
        <v>2134</v>
      </c>
      <c r="AE38" s="489"/>
      <c r="AF38" s="491"/>
      <c r="AG38" s="540"/>
    </row>
    <row r="39" spans="1:33" s="62" customFormat="1" ht="15">
      <c r="A39" s="535"/>
      <c r="B39" s="130"/>
      <c r="C39" s="131"/>
      <c r="D39" s="100" t="str">
        <f>B36&amp;"D"</f>
        <v>181910056D</v>
      </c>
      <c r="E39" s="117" t="s">
        <v>152</v>
      </c>
      <c r="F39" s="118" t="str">
        <f t="shared" ref="F39:V39" si="28">IFERROR(VLOOKUP(F37,$AI$8:$AJ$14,2,TRUE),"")</f>
        <v>C</v>
      </c>
      <c r="G39" s="119" t="str">
        <f t="shared" si="28"/>
        <v>D</v>
      </c>
      <c r="H39" s="119" t="str">
        <f t="shared" si="28"/>
        <v>C</v>
      </c>
      <c r="I39" s="119" t="str">
        <f t="shared" si="28"/>
        <v>D</v>
      </c>
      <c r="J39" s="119" t="str">
        <f t="shared" si="28"/>
        <v>C</v>
      </c>
      <c r="K39" s="119" t="str">
        <f t="shared" si="28"/>
        <v>C</v>
      </c>
      <c r="L39" s="119" t="str">
        <f t="shared" si="28"/>
        <v>D</v>
      </c>
      <c r="M39" s="119" t="str">
        <f t="shared" si="28"/>
        <v>B</v>
      </c>
      <c r="N39" s="119" t="str">
        <f t="shared" si="28"/>
        <v>B</v>
      </c>
      <c r="O39" s="119" t="str">
        <f t="shared" si="28"/>
        <v>D</v>
      </c>
      <c r="P39" s="119" t="str">
        <f t="shared" si="28"/>
        <v>C</v>
      </c>
      <c r="Q39" s="119" t="str">
        <f t="shared" si="28"/>
        <v>--</v>
      </c>
      <c r="R39" s="119" t="str">
        <f t="shared" si="28"/>
        <v>C</v>
      </c>
      <c r="S39" s="119" t="str">
        <f t="shared" si="28"/>
        <v>C</v>
      </c>
      <c r="T39" s="119" t="str">
        <f t="shared" si="28"/>
        <v>D</v>
      </c>
      <c r="U39" s="119" t="str">
        <f t="shared" si="28"/>
        <v>D</v>
      </c>
      <c r="V39" s="120" t="str">
        <f t="shared" si="28"/>
        <v>C</v>
      </c>
      <c r="W39" s="508"/>
      <c r="X39" s="508"/>
      <c r="Y39" s="505"/>
      <c r="Z39" s="495"/>
      <c r="AA39" s="500"/>
      <c r="AB39" s="121" t="s">
        <v>36</v>
      </c>
      <c r="AC39" s="122" t="s">
        <v>36</v>
      </c>
      <c r="AD39" s="497"/>
      <c r="AE39" s="489"/>
      <c r="AF39" s="492"/>
      <c r="AG39" s="541"/>
    </row>
    <row r="40" spans="1:33" s="62" customFormat="1" ht="15">
      <c r="A40" s="527">
        <v>9</v>
      </c>
      <c r="B40" s="530" t="str">
        <f>VLOOKUP(A40,biononis,2,1)</f>
        <v>181910069</v>
      </c>
      <c r="C40" s="533" t="str">
        <f>VLOOKUP(A40,biononis,3,1)</f>
        <v>DANDY ERVAN PRATAMA</v>
      </c>
      <c r="D40" s="100" t="str">
        <f>B40&amp;"A"</f>
        <v>181910069A</v>
      </c>
      <c r="E40" s="89" t="s">
        <v>262</v>
      </c>
      <c r="F40" s="123">
        <v>75</v>
      </c>
      <c r="G40" s="124">
        <v>20</v>
      </c>
      <c r="H40" s="124">
        <v>65</v>
      </c>
      <c r="I40" s="124">
        <v>38</v>
      </c>
      <c r="J40" s="124">
        <v>0</v>
      </c>
      <c r="K40" s="124">
        <v>40</v>
      </c>
      <c r="L40" s="124">
        <v>76</v>
      </c>
      <c r="M40" s="124">
        <v>67</v>
      </c>
      <c r="N40" s="124">
        <v>20</v>
      </c>
      <c r="O40" s="124">
        <v>17</v>
      </c>
      <c r="P40" s="124">
        <v>60</v>
      </c>
      <c r="Q40" s="124">
        <v>10</v>
      </c>
      <c r="R40" s="124">
        <v>70</v>
      </c>
      <c r="S40" s="124">
        <v>50</v>
      </c>
      <c r="T40" s="124">
        <v>41</v>
      </c>
      <c r="U40" s="124">
        <v>70</v>
      </c>
      <c r="V40" s="124">
        <v>70</v>
      </c>
      <c r="W40" s="506" t="s">
        <v>18</v>
      </c>
      <c r="X40" s="506" t="s">
        <v>6</v>
      </c>
      <c r="Y40" s="503"/>
      <c r="Z40" s="493"/>
      <c r="AA40" s="498"/>
      <c r="AB40" s="93" t="s">
        <v>180</v>
      </c>
      <c r="AC40" s="94" t="s">
        <v>36</v>
      </c>
      <c r="AD40" s="95">
        <f t="shared" ref="AD40:AD41" si="29">IFERROR(AVERAGE(F40:V40),"")</f>
        <v>46.411764705882355</v>
      </c>
      <c r="AE40" s="489">
        <f t="shared" ref="AE40" si="30">IFERROR((AD40+AD41)/2,"")</f>
        <v>45.294117647058826</v>
      </c>
      <c r="AF40" s="490">
        <f>IFERROR(RANK(AE40,$AE$8:$AE$167,0),"")</f>
        <v>30</v>
      </c>
      <c r="AG40" s="539" t="s">
        <v>285</v>
      </c>
    </row>
    <row r="41" spans="1:33" s="62" customFormat="1" ht="15">
      <c r="A41" s="528"/>
      <c r="B41" s="530"/>
      <c r="C41" s="533"/>
      <c r="D41" s="100" t="str">
        <f>B40&amp;"B"</f>
        <v>181910069B</v>
      </c>
      <c r="E41" s="101" t="s">
        <v>263</v>
      </c>
      <c r="F41" s="126">
        <v>75</v>
      </c>
      <c r="G41" s="102">
        <v>20</v>
      </c>
      <c r="H41" s="102">
        <v>65</v>
      </c>
      <c r="I41" s="102">
        <v>45</v>
      </c>
      <c r="J41" s="102">
        <v>0</v>
      </c>
      <c r="K41" s="102">
        <v>30</v>
      </c>
      <c r="L41" s="102">
        <v>76</v>
      </c>
      <c r="M41" s="102">
        <v>55</v>
      </c>
      <c r="N41" s="102">
        <v>20</v>
      </c>
      <c r="O41" s="102">
        <v>0</v>
      </c>
      <c r="P41" s="102">
        <v>70</v>
      </c>
      <c r="Q41" s="102">
        <v>25</v>
      </c>
      <c r="R41" s="102">
        <v>70</v>
      </c>
      <c r="S41" s="102">
        <v>50</v>
      </c>
      <c r="T41" s="102">
        <v>10</v>
      </c>
      <c r="U41" s="102">
        <v>70</v>
      </c>
      <c r="V41" s="102">
        <v>70</v>
      </c>
      <c r="W41" s="507"/>
      <c r="X41" s="507"/>
      <c r="Y41" s="504"/>
      <c r="Z41" s="494"/>
      <c r="AA41" s="499"/>
      <c r="AB41" s="104" t="s">
        <v>36</v>
      </c>
      <c r="AC41" s="105" t="s">
        <v>36</v>
      </c>
      <c r="AD41" s="106">
        <f t="shared" si="29"/>
        <v>44.176470588235297</v>
      </c>
      <c r="AE41" s="489"/>
      <c r="AF41" s="491"/>
      <c r="AG41" s="540"/>
    </row>
    <row r="42" spans="1:33" s="62" customFormat="1" ht="15">
      <c r="A42" s="528"/>
      <c r="B42" s="530"/>
      <c r="C42" s="533"/>
      <c r="D42" s="100" t="str">
        <f>B40&amp;"C"</f>
        <v>181910069C</v>
      </c>
      <c r="E42" s="111" t="s">
        <v>151</v>
      </c>
      <c r="F42" s="112" t="str">
        <f t="shared" ref="F42:V42" si="31">IFERROR(VLOOKUP(F40,$AI$8:$AJ$14,2,TRUE),"")</f>
        <v>C</v>
      </c>
      <c r="G42" s="113" t="str">
        <f t="shared" si="31"/>
        <v>D</v>
      </c>
      <c r="H42" s="113" t="str">
        <f t="shared" si="31"/>
        <v>D</v>
      </c>
      <c r="I42" s="113" t="str">
        <f t="shared" si="31"/>
        <v>D</v>
      </c>
      <c r="J42" s="113" t="str">
        <f t="shared" si="31"/>
        <v/>
      </c>
      <c r="K42" s="113" t="str">
        <f t="shared" si="31"/>
        <v>D</v>
      </c>
      <c r="L42" s="113" t="str">
        <f t="shared" si="31"/>
        <v>C</v>
      </c>
      <c r="M42" s="113" t="str">
        <f t="shared" si="31"/>
        <v>D</v>
      </c>
      <c r="N42" s="113" t="str">
        <f t="shared" si="31"/>
        <v>D</v>
      </c>
      <c r="O42" s="113" t="str">
        <f t="shared" si="31"/>
        <v>D</v>
      </c>
      <c r="P42" s="113" t="str">
        <f t="shared" si="31"/>
        <v>D</v>
      </c>
      <c r="Q42" s="113" t="str">
        <f t="shared" si="31"/>
        <v>D</v>
      </c>
      <c r="R42" s="113" t="str">
        <f t="shared" si="31"/>
        <v>C</v>
      </c>
      <c r="S42" s="113" t="str">
        <f t="shared" si="31"/>
        <v>D</v>
      </c>
      <c r="T42" s="113" t="str">
        <f t="shared" si="31"/>
        <v>D</v>
      </c>
      <c r="U42" s="113" t="str">
        <f t="shared" si="31"/>
        <v>C</v>
      </c>
      <c r="V42" s="114" t="str">
        <f t="shared" si="31"/>
        <v>C</v>
      </c>
      <c r="W42" s="507"/>
      <c r="X42" s="507"/>
      <c r="Y42" s="504"/>
      <c r="Z42" s="494"/>
      <c r="AA42" s="499"/>
      <c r="AB42" s="104" t="s">
        <v>36</v>
      </c>
      <c r="AC42" s="105" t="s">
        <v>36</v>
      </c>
      <c r="AD42" s="496">
        <f>SUM(F40:V41)</f>
        <v>1540</v>
      </c>
      <c r="AE42" s="489"/>
      <c r="AF42" s="491"/>
      <c r="AG42" s="540"/>
    </row>
    <row r="43" spans="1:33" s="62" customFormat="1" ht="15">
      <c r="A43" s="529"/>
      <c r="B43" s="115"/>
      <c r="C43" s="116"/>
      <c r="D43" s="100" t="str">
        <f>B40&amp;"D"</f>
        <v>181910069D</v>
      </c>
      <c r="E43" s="117" t="s">
        <v>152</v>
      </c>
      <c r="F43" s="118" t="str">
        <f t="shared" ref="F43:V43" si="32">IFERROR(VLOOKUP(F41,$AI$8:$AJ$14,2,TRUE),"")</f>
        <v>C</v>
      </c>
      <c r="G43" s="119" t="str">
        <f t="shared" si="32"/>
        <v>D</v>
      </c>
      <c r="H43" s="119" t="str">
        <f t="shared" si="32"/>
        <v>D</v>
      </c>
      <c r="I43" s="119" t="str">
        <f t="shared" si="32"/>
        <v>D</v>
      </c>
      <c r="J43" s="119" t="str">
        <f t="shared" si="32"/>
        <v/>
      </c>
      <c r="K43" s="119" t="str">
        <f t="shared" si="32"/>
        <v>D</v>
      </c>
      <c r="L43" s="119" t="str">
        <f t="shared" si="32"/>
        <v>C</v>
      </c>
      <c r="M43" s="119" t="str">
        <f t="shared" si="32"/>
        <v>D</v>
      </c>
      <c r="N43" s="119" t="str">
        <f t="shared" si="32"/>
        <v>D</v>
      </c>
      <c r="O43" s="119" t="str">
        <f t="shared" si="32"/>
        <v/>
      </c>
      <c r="P43" s="119" t="str">
        <f t="shared" si="32"/>
        <v>C</v>
      </c>
      <c r="Q43" s="119" t="str">
        <f t="shared" si="32"/>
        <v>D</v>
      </c>
      <c r="R43" s="119" t="str">
        <f t="shared" si="32"/>
        <v>C</v>
      </c>
      <c r="S43" s="119" t="str">
        <f t="shared" si="32"/>
        <v>D</v>
      </c>
      <c r="T43" s="119" t="str">
        <f t="shared" si="32"/>
        <v>D</v>
      </c>
      <c r="U43" s="119" t="str">
        <f t="shared" si="32"/>
        <v>C</v>
      </c>
      <c r="V43" s="120" t="str">
        <f t="shared" si="32"/>
        <v>C</v>
      </c>
      <c r="W43" s="508"/>
      <c r="X43" s="508"/>
      <c r="Y43" s="505"/>
      <c r="Z43" s="495"/>
      <c r="AA43" s="500"/>
      <c r="AB43" s="121" t="s">
        <v>36</v>
      </c>
      <c r="AC43" s="122" t="s">
        <v>36</v>
      </c>
      <c r="AD43" s="497"/>
      <c r="AE43" s="489"/>
      <c r="AF43" s="492"/>
      <c r="AG43" s="541"/>
    </row>
    <row r="44" spans="1:33" s="62" customFormat="1" ht="15">
      <c r="A44" s="534">
        <v>10</v>
      </c>
      <c r="B44" s="531" t="str">
        <f>VLOOKUP(A44,biononis,2,1)</f>
        <v>181910085</v>
      </c>
      <c r="C44" s="532" t="str">
        <f>VLOOKUP(A44,biononis,3,1)</f>
        <v>DENISA ASTI RAHMAWATI</v>
      </c>
      <c r="D44" s="100" t="str">
        <f>B44&amp;"A"</f>
        <v>181910085A</v>
      </c>
      <c r="E44" s="89" t="s">
        <v>262</v>
      </c>
      <c r="F44" s="123">
        <v>72</v>
      </c>
      <c r="G44" s="124">
        <v>74</v>
      </c>
      <c r="H44" s="124">
        <v>79</v>
      </c>
      <c r="I44" s="124">
        <v>73</v>
      </c>
      <c r="J44" s="124">
        <v>79</v>
      </c>
      <c r="K44" s="124">
        <v>0</v>
      </c>
      <c r="L44" s="124">
        <v>73</v>
      </c>
      <c r="M44" s="124">
        <v>80</v>
      </c>
      <c r="N44" s="124">
        <v>25</v>
      </c>
      <c r="O44" s="124">
        <v>42</v>
      </c>
      <c r="P44" s="124">
        <v>80</v>
      </c>
      <c r="Q44" s="124">
        <v>70</v>
      </c>
      <c r="R44" s="124">
        <v>80</v>
      </c>
      <c r="S44" s="124">
        <v>50</v>
      </c>
      <c r="T44" s="124">
        <v>52</v>
      </c>
      <c r="U44" s="124">
        <v>10</v>
      </c>
      <c r="V44" s="124">
        <v>90</v>
      </c>
      <c r="W44" s="506" t="s">
        <v>18</v>
      </c>
      <c r="X44" s="506" t="s">
        <v>6</v>
      </c>
      <c r="Y44" s="503">
        <v>0</v>
      </c>
      <c r="Z44" s="493"/>
      <c r="AA44" s="498"/>
      <c r="AB44" s="93" t="s">
        <v>180</v>
      </c>
      <c r="AC44" s="94" t="s">
        <v>36</v>
      </c>
      <c r="AD44" s="95">
        <f t="shared" ref="AD44:AD45" si="33">IFERROR(AVERAGE(F44:V44),"")</f>
        <v>60.529411764705884</v>
      </c>
      <c r="AE44" s="489">
        <f t="shared" ref="AE44" si="34">IFERROR((AD44+AD45)/2,"")</f>
        <v>59.077205882352942</v>
      </c>
      <c r="AF44" s="490">
        <f>IFERROR(RANK(AE44,$AE$8:$AE$167,0),"")</f>
        <v>22</v>
      </c>
      <c r="AG44" s="539" t="s">
        <v>285</v>
      </c>
    </row>
    <row r="45" spans="1:33" s="62" customFormat="1" ht="15">
      <c r="A45" s="528"/>
      <c r="B45" s="530"/>
      <c r="C45" s="533"/>
      <c r="D45" s="100" t="str">
        <f>B44&amp;"B"</f>
        <v>181910085B</v>
      </c>
      <c r="E45" s="101" t="s">
        <v>263</v>
      </c>
      <c r="F45" s="126">
        <v>80</v>
      </c>
      <c r="G45" s="102">
        <v>70</v>
      </c>
      <c r="H45" s="102">
        <v>78</v>
      </c>
      <c r="I45" s="102">
        <v>74</v>
      </c>
      <c r="J45" s="102">
        <v>73</v>
      </c>
      <c r="K45" s="102">
        <v>0</v>
      </c>
      <c r="L45" s="102">
        <v>48</v>
      </c>
      <c r="M45" s="102">
        <v>82</v>
      </c>
      <c r="N45" s="102">
        <v>40</v>
      </c>
      <c r="O45" s="102">
        <v>35</v>
      </c>
      <c r="P45" s="102">
        <v>80</v>
      </c>
      <c r="Q45" s="102" t="s">
        <v>433</v>
      </c>
      <c r="R45" s="102">
        <v>80</v>
      </c>
      <c r="S45" s="102">
        <v>50</v>
      </c>
      <c r="T45" s="102">
        <v>27</v>
      </c>
      <c r="U45" s="102">
        <v>20</v>
      </c>
      <c r="V45" s="102">
        <v>85</v>
      </c>
      <c r="W45" s="507"/>
      <c r="X45" s="507"/>
      <c r="Y45" s="504"/>
      <c r="Z45" s="494"/>
      <c r="AA45" s="499"/>
      <c r="AB45" s="104" t="s">
        <v>36</v>
      </c>
      <c r="AC45" s="105" t="s">
        <v>36</v>
      </c>
      <c r="AD45" s="106">
        <f t="shared" si="33"/>
        <v>57.625</v>
      </c>
      <c r="AE45" s="489"/>
      <c r="AF45" s="491"/>
      <c r="AG45" s="540"/>
    </row>
    <row r="46" spans="1:33" s="62" customFormat="1" ht="15">
      <c r="A46" s="528"/>
      <c r="B46" s="530"/>
      <c r="C46" s="533"/>
      <c r="D46" s="100" t="str">
        <f>B44&amp;"C"</f>
        <v>181910085C</v>
      </c>
      <c r="E46" s="111" t="s">
        <v>151</v>
      </c>
      <c r="F46" s="112" t="str">
        <f t="shared" ref="F46:V46" si="35">IFERROR(VLOOKUP(F44,$AI$8:$AJ$14,2,TRUE),"")</f>
        <v>C</v>
      </c>
      <c r="G46" s="113" t="str">
        <f t="shared" si="35"/>
        <v>C</v>
      </c>
      <c r="H46" s="113" t="str">
        <f t="shared" si="35"/>
        <v>C</v>
      </c>
      <c r="I46" s="113" t="str">
        <f t="shared" si="35"/>
        <v>C</v>
      </c>
      <c r="J46" s="113" t="str">
        <f t="shared" si="35"/>
        <v>C</v>
      </c>
      <c r="K46" s="113" t="str">
        <f t="shared" si="35"/>
        <v/>
      </c>
      <c r="L46" s="113" t="str">
        <f t="shared" si="35"/>
        <v>C</v>
      </c>
      <c r="M46" s="113" t="str">
        <f t="shared" si="35"/>
        <v>B</v>
      </c>
      <c r="N46" s="113" t="str">
        <f t="shared" si="35"/>
        <v>D</v>
      </c>
      <c r="O46" s="113" t="str">
        <f t="shared" si="35"/>
        <v>D</v>
      </c>
      <c r="P46" s="113" t="str">
        <f t="shared" si="35"/>
        <v>B</v>
      </c>
      <c r="Q46" s="113" t="str">
        <f t="shared" si="35"/>
        <v>C</v>
      </c>
      <c r="R46" s="113" t="str">
        <f t="shared" si="35"/>
        <v>B</v>
      </c>
      <c r="S46" s="113" t="str">
        <f t="shared" si="35"/>
        <v>D</v>
      </c>
      <c r="T46" s="113" t="str">
        <f t="shared" si="35"/>
        <v>D</v>
      </c>
      <c r="U46" s="113" t="str">
        <f t="shared" si="35"/>
        <v>D</v>
      </c>
      <c r="V46" s="114" t="str">
        <f t="shared" si="35"/>
        <v>A</v>
      </c>
      <c r="W46" s="507"/>
      <c r="X46" s="507"/>
      <c r="Y46" s="504"/>
      <c r="Z46" s="494"/>
      <c r="AA46" s="499"/>
      <c r="AB46" s="104" t="s">
        <v>36</v>
      </c>
      <c r="AC46" s="105" t="s">
        <v>36</v>
      </c>
      <c r="AD46" s="496">
        <f>SUM(F44:V45)</f>
        <v>1951</v>
      </c>
      <c r="AE46" s="489"/>
      <c r="AF46" s="491"/>
      <c r="AG46" s="540"/>
    </row>
    <row r="47" spans="1:33" s="62" customFormat="1" ht="15">
      <c r="A47" s="535"/>
      <c r="B47" s="130"/>
      <c r="C47" s="131"/>
      <c r="D47" s="100" t="str">
        <f>B44&amp;"D"</f>
        <v>181910085D</v>
      </c>
      <c r="E47" s="117" t="s">
        <v>152</v>
      </c>
      <c r="F47" s="118" t="str">
        <f t="shared" ref="F47:V47" si="36">IFERROR(VLOOKUP(F45,$AI$8:$AJ$14,2,TRUE),"")</f>
        <v>B</v>
      </c>
      <c r="G47" s="119" t="str">
        <f t="shared" si="36"/>
        <v>C</v>
      </c>
      <c r="H47" s="119" t="str">
        <f t="shared" si="36"/>
        <v>C</v>
      </c>
      <c r="I47" s="119" t="str">
        <f t="shared" si="36"/>
        <v>C</v>
      </c>
      <c r="J47" s="119" t="str">
        <f t="shared" si="36"/>
        <v>C</v>
      </c>
      <c r="K47" s="119" t="str">
        <f t="shared" si="36"/>
        <v/>
      </c>
      <c r="L47" s="119" t="str">
        <f t="shared" si="36"/>
        <v>D</v>
      </c>
      <c r="M47" s="119" t="str">
        <f t="shared" si="36"/>
        <v>B</v>
      </c>
      <c r="N47" s="119" t="str">
        <f t="shared" si="36"/>
        <v>D</v>
      </c>
      <c r="O47" s="119" t="str">
        <f t="shared" si="36"/>
        <v>D</v>
      </c>
      <c r="P47" s="119" t="str">
        <f t="shared" si="36"/>
        <v>B</v>
      </c>
      <c r="Q47" s="119" t="str">
        <f t="shared" si="36"/>
        <v>--</v>
      </c>
      <c r="R47" s="119" t="str">
        <f t="shared" si="36"/>
        <v>B</v>
      </c>
      <c r="S47" s="119" t="str">
        <f t="shared" si="36"/>
        <v>D</v>
      </c>
      <c r="T47" s="119" t="str">
        <f t="shared" si="36"/>
        <v>D</v>
      </c>
      <c r="U47" s="119" t="str">
        <f t="shared" si="36"/>
        <v>D</v>
      </c>
      <c r="V47" s="120" t="str">
        <f t="shared" si="36"/>
        <v>B</v>
      </c>
      <c r="W47" s="508"/>
      <c r="X47" s="508"/>
      <c r="Y47" s="505"/>
      <c r="Z47" s="495"/>
      <c r="AA47" s="500"/>
      <c r="AB47" s="121" t="s">
        <v>36</v>
      </c>
      <c r="AC47" s="122" t="s">
        <v>36</v>
      </c>
      <c r="AD47" s="497"/>
      <c r="AE47" s="489"/>
      <c r="AF47" s="492"/>
      <c r="AG47" s="541"/>
    </row>
    <row r="48" spans="1:33" s="62" customFormat="1" ht="15">
      <c r="A48" s="527">
        <v>11</v>
      </c>
      <c r="B48" s="530" t="str">
        <f>VLOOKUP(A48,biononis,2,1)</f>
        <v>181910093</v>
      </c>
      <c r="C48" s="533" t="str">
        <f>VLOOKUP(A48,biononis,3,1)</f>
        <v>DIAN RAMDHAN SAPTIAN</v>
      </c>
      <c r="D48" s="100" t="str">
        <f>B48&amp;"A"</f>
        <v>181910093A</v>
      </c>
      <c r="E48" s="89" t="s">
        <v>262</v>
      </c>
      <c r="F48" s="123">
        <v>62</v>
      </c>
      <c r="G48" s="124">
        <v>25</v>
      </c>
      <c r="H48" s="124">
        <v>65</v>
      </c>
      <c r="I48" s="124">
        <v>58</v>
      </c>
      <c r="J48" s="124">
        <v>20</v>
      </c>
      <c r="K48" s="124">
        <v>60</v>
      </c>
      <c r="L48" s="124">
        <v>76</v>
      </c>
      <c r="M48" s="124">
        <v>57</v>
      </c>
      <c r="N48" s="124">
        <v>20</v>
      </c>
      <c r="O48" s="124">
        <v>27</v>
      </c>
      <c r="P48" s="124">
        <v>66</v>
      </c>
      <c r="Q48" s="124">
        <v>37</v>
      </c>
      <c r="R48" s="124">
        <v>72</v>
      </c>
      <c r="S48" s="124">
        <v>53</v>
      </c>
      <c r="T48" s="124">
        <v>51</v>
      </c>
      <c r="U48" s="124">
        <v>20</v>
      </c>
      <c r="V48" s="124">
        <v>75</v>
      </c>
      <c r="W48" s="506" t="s">
        <v>18</v>
      </c>
      <c r="X48" s="506" t="s">
        <v>6</v>
      </c>
      <c r="Y48" s="503"/>
      <c r="Z48" s="493"/>
      <c r="AA48" s="498"/>
      <c r="AB48" s="93" t="s">
        <v>180</v>
      </c>
      <c r="AC48" s="94" t="s">
        <v>36</v>
      </c>
      <c r="AD48" s="95">
        <f t="shared" ref="AD48:AD49" si="37">IFERROR(AVERAGE(F48:V48),"")</f>
        <v>49.647058823529413</v>
      </c>
      <c r="AE48" s="489">
        <f t="shared" ref="AE48" si="38">IFERROR((AD48+AD49)/2,"")</f>
        <v>50.32352941176471</v>
      </c>
      <c r="AF48" s="490">
        <f>IFERROR(RANK(AE48,$AE$8:$AE$167,0),"")</f>
        <v>28</v>
      </c>
      <c r="AG48" s="539" t="s">
        <v>285</v>
      </c>
    </row>
    <row r="49" spans="1:33" s="62" customFormat="1" ht="15">
      <c r="A49" s="528"/>
      <c r="B49" s="530"/>
      <c r="C49" s="533"/>
      <c r="D49" s="100" t="str">
        <f>B48&amp;"B"</f>
        <v>181910093B</v>
      </c>
      <c r="E49" s="101" t="s">
        <v>263</v>
      </c>
      <c r="F49" s="126">
        <v>75</v>
      </c>
      <c r="G49" s="102">
        <v>20</v>
      </c>
      <c r="H49" s="102">
        <v>65</v>
      </c>
      <c r="I49" s="102">
        <v>67</v>
      </c>
      <c r="J49" s="102">
        <v>20</v>
      </c>
      <c r="K49" s="102">
        <v>40</v>
      </c>
      <c r="L49" s="102">
        <v>77</v>
      </c>
      <c r="M49" s="102">
        <v>55</v>
      </c>
      <c r="N49" s="102">
        <v>25</v>
      </c>
      <c r="O49" s="102">
        <v>47</v>
      </c>
      <c r="P49" s="102">
        <v>72</v>
      </c>
      <c r="Q49" s="102" t="s">
        <v>434</v>
      </c>
      <c r="R49" s="102">
        <v>70</v>
      </c>
      <c r="S49" s="102">
        <v>50</v>
      </c>
      <c r="T49" s="102">
        <v>10</v>
      </c>
      <c r="U49" s="102">
        <v>50</v>
      </c>
      <c r="V49" s="102">
        <v>73</v>
      </c>
      <c r="W49" s="507"/>
      <c r="X49" s="507"/>
      <c r="Y49" s="504"/>
      <c r="Z49" s="494"/>
      <c r="AA49" s="499"/>
      <c r="AB49" s="104" t="s">
        <v>36</v>
      </c>
      <c r="AC49" s="105" t="s">
        <v>36</v>
      </c>
      <c r="AD49" s="106">
        <f t="shared" si="37"/>
        <v>51</v>
      </c>
      <c r="AE49" s="489"/>
      <c r="AF49" s="491"/>
      <c r="AG49" s="540"/>
    </row>
    <row r="50" spans="1:33" s="62" customFormat="1" ht="15">
      <c r="A50" s="528"/>
      <c r="B50" s="530"/>
      <c r="C50" s="533"/>
      <c r="D50" s="100" t="str">
        <f>B48&amp;"C"</f>
        <v>181910093C</v>
      </c>
      <c r="E50" s="111" t="s">
        <v>151</v>
      </c>
      <c r="F50" s="112" t="str">
        <f t="shared" ref="F50:V50" si="39">IFERROR(VLOOKUP(F48,$AI$8:$AJ$14,2,TRUE),"")</f>
        <v>D</v>
      </c>
      <c r="G50" s="113" t="str">
        <f t="shared" si="39"/>
        <v>D</v>
      </c>
      <c r="H50" s="113" t="str">
        <f t="shared" si="39"/>
        <v>D</v>
      </c>
      <c r="I50" s="113" t="str">
        <f t="shared" si="39"/>
        <v>D</v>
      </c>
      <c r="J50" s="113" t="str">
        <f t="shared" si="39"/>
        <v>D</v>
      </c>
      <c r="K50" s="113" t="str">
        <f t="shared" si="39"/>
        <v>D</v>
      </c>
      <c r="L50" s="113" t="str">
        <f t="shared" si="39"/>
        <v>C</v>
      </c>
      <c r="M50" s="113" t="str">
        <f t="shared" si="39"/>
        <v>D</v>
      </c>
      <c r="N50" s="113" t="str">
        <f t="shared" si="39"/>
        <v>D</v>
      </c>
      <c r="O50" s="113" t="str">
        <f t="shared" si="39"/>
        <v>D</v>
      </c>
      <c r="P50" s="113" t="str">
        <f t="shared" si="39"/>
        <v>D</v>
      </c>
      <c r="Q50" s="113" t="str">
        <f t="shared" si="39"/>
        <v>D</v>
      </c>
      <c r="R50" s="113" t="str">
        <f t="shared" si="39"/>
        <v>C</v>
      </c>
      <c r="S50" s="113" t="str">
        <f t="shared" si="39"/>
        <v>D</v>
      </c>
      <c r="T50" s="113" t="str">
        <f t="shared" si="39"/>
        <v>D</v>
      </c>
      <c r="U50" s="113" t="str">
        <f t="shared" si="39"/>
        <v>D</v>
      </c>
      <c r="V50" s="114" t="str">
        <f t="shared" si="39"/>
        <v>C</v>
      </c>
      <c r="W50" s="507"/>
      <c r="X50" s="507"/>
      <c r="Y50" s="504"/>
      <c r="Z50" s="494"/>
      <c r="AA50" s="499"/>
      <c r="AB50" s="104" t="s">
        <v>36</v>
      </c>
      <c r="AC50" s="105" t="s">
        <v>36</v>
      </c>
      <c r="AD50" s="496">
        <f>SUM(F48:V49)</f>
        <v>1660</v>
      </c>
      <c r="AE50" s="489"/>
      <c r="AF50" s="491"/>
      <c r="AG50" s="540"/>
    </row>
    <row r="51" spans="1:33" s="62" customFormat="1" ht="15">
      <c r="A51" s="529"/>
      <c r="B51" s="115"/>
      <c r="C51" s="116"/>
      <c r="D51" s="100" t="str">
        <f>B48&amp;"D"</f>
        <v>181910093D</v>
      </c>
      <c r="E51" s="117" t="s">
        <v>152</v>
      </c>
      <c r="F51" s="118" t="str">
        <f t="shared" ref="F51:V51" si="40">IFERROR(VLOOKUP(F49,$AI$8:$AJ$14,2,TRUE),"")</f>
        <v>C</v>
      </c>
      <c r="G51" s="119" t="str">
        <f t="shared" si="40"/>
        <v>D</v>
      </c>
      <c r="H51" s="119" t="str">
        <f t="shared" si="40"/>
        <v>D</v>
      </c>
      <c r="I51" s="119" t="str">
        <f t="shared" si="40"/>
        <v>D</v>
      </c>
      <c r="J51" s="119" t="str">
        <f t="shared" si="40"/>
        <v>D</v>
      </c>
      <c r="K51" s="119" t="str">
        <f t="shared" si="40"/>
        <v>D</v>
      </c>
      <c r="L51" s="119" t="str">
        <f t="shared" si="40"/>
        <v>C</v>
      </c>
      <c r="M51" s="119" t="str">
        <f t="shared" si="40"/>
        <v>D</v>
      </c>
      <c r="N51" s="119" t="str">
        <f t="shared" si="40"/>
        <v>D</v>
      </c>
      <c r="O51" s="119" t="str">
        <f t="shared" si="40"/>
        <v>D</v>
      </c>
      <c r="P51" s="119" t="str">
        <f t="shared" si="40"/>
        <v>C</v>
      </c>
      <c r="Q51" s="119" t="str">
        <f t="shared" si="40"/>
        <v>--</v>
      </c>
      <c r="R51" s="119" t="str">
        <f t="shared" si="40"/>
        <v>C</v>
      </c>
      <c r="S51" s="119" t="str">
        <f t="shared" si="40"/>
        <v>D</v>
      </c>
      <c r="T51" s="119" t="str">
        <f t="shared" si="40"/>
        <v>D</v>
      </c>
      <c r="U51" s="119" t="str">
        <f t="shared" si="40"/>
        <v>D</v>
      </c>
      <c r="V51" s="120" t="str">
        <f t="shared" si="40"/>
        <v>C</v>
      </c>
      <c r="W51" s="508"/>
      <c r="X51" s="508"/>
      <c r="Y51" s="505"/>
      <c r="Z51" s="495"/>
      <c r="AA51" s="500"/>
      <c r="AB51" s="121" t="s">
        <v>36</v>
      </c>
      <c r="AC51" s="122" t="s">
        <v>36</v>
      </c>
      <c r="AD51" s="497"/>
      <c r="AE51" s="489"/>
      <c r="AF51" s="492"/>
      <c r="AG51" s="541"/>
    </row>
    <row r="52" spans="1:33" s="62" customFormat="1" ht="15">
      <c r="A52" s="534">
        <v>12</v>
      </c>
      <c r="B52" s="531" t="str">
        <f>VLOOKUP(A52,biononis,2,1)</f>
        <v>181910103</v>
      </c>
      <c r="C52" s="532" t="str">
        <f>VLOOKUP(A52,biononis,3,1)</f>
        <v>DIVYA ADHIANI NURDIN</v>
      </c>
      <c r="D52" s="100" t="str">
        <f>B52&amp;"A"</f>
        <v>181910103A</v>
      </c>
      <c r="E52" s="89" t="s">
        <v>262</v>
      </c>
      <c r="F52" s="123">
        <v>60</v>
      </c>
      <c r="G52" s="124">
        <v>80</v>
      </c>
      <c r="H52" s="124">
        <v>71</v>
      </c>
      <c r="I52" s="124">
        <v>74</v>
      </c>
      <c r="J52" s="124">
        <v>80</v>
      </c>
      <c r="K52" s="124">
        <v>74</v>
      </c>
      <c r="L52" s="124">
        <v>76</v>
      </c>
      <c r="M52" s="124">
        <v>78</v>
      </c>
      <c r="N52" s="124">
        <v>40</v>
      </c>
      <c r="O52" s="124">
        <v>78</v>
      </c>
      <c r="P52" s="124">
        <v>79</v>
      </c>
      <c r="Q52" s="124">
        <v>80</v>
      </c>
      <c r="R52" s="124">
        <v>72</v>
      </c>
      <c r="S52" s="124">
        <v>59</v>
      </c>
      <c r="T52" s="124">
        <v>80</v>
      </c>
      <c r="U52" s="124">
        <v>20</v>
      </c>
      <c r="V52" s="124">
        <v>80</v>
      </c>
      <c r="W52" s="506" t="s">
        <v>18</v>
      </c>
      <c r="X52" s="506" t="s">
        <v>6</v>
      </c>
      <c r="Y52" s="503"/>
      <c r="Z52" s="493"/>
      <c r="AA52" s="498"/>
      <c r="AB52" s="93" t="s">
        <v>180</v>
      </c>
      <c r="AC52" s="94" t="s">
        <v>36</v>
      </c>
      <c r="AD52" s="95">
        <f t="shared" ref="AD52:AD53" si="41">IFERROR(AVERAGE(F52:V52),"")</f>
        <v>69.470588235294116</v>
      </c>
      <c r="AE52" s="489">
        <f t="shared" ref="AE52" si="42">IFERROR((AD52+AD53)/2,"")</f>
        <v>71.235294117647058</v>
      </c>
      <c r="AF52" s="490">
        <f>IFERROR(RANK(AE52,$AE$8:$AE$167,0),"")</f>
        <v>11</v>
      </c>
      <c r="AG52" s="539" t="s">
        <v>282</v>
      </c>
    </row>
    <row r="53" spans="1:33" s="62" customFormat="1" ht="15">
      <c r="A53" s="528"/>
      <c r="B53" s="530"/>
      <c r="C53" s="533"/>
      <c r="D53" s="100" t="str">
        <f>B52&amp;"B"</f>
        <v>181910103B</v>
      </c>
      <c r="E53" s="101" t="s">
        <v>263</v>
      </c>
      <c r="F53" s="126">
        <v>75</v>
      </c>
      <c r="G53" s="102">
        <v>80</v>
      </c>
      <c r="H53" s="102">
        <v>71</v>
      </c>
      <c r="I53" s="102">
        <v>73</v>
      </c>
      <c r="J53" s="102">
        <v>75</v>
      </c>
      <c r="K53" s="102">
        <v>75</v>
      </c>
      <c r="L53" s="102">
        <v>77</v>
      </c>
      <c r="M53" s="102">
        <v>82</v>
      </c>
      <c r="N53" s="102">
        <v>40</v>
      </c>
      <c r="O53" s="102">
        <v>73</v>
      </c>
      <c r="P53" s="102">
        <v>80</v>
      </c>
      <c r="Q53" s="102">
        <v>80</v>
      </c>
      <c r="R53" s="102">
        <v>70</v>
      </c>
      <c r="S53" s="102">
        <v>80</v>
      </c>
      <c r="T53" s="102">
        <v>80</v>
      </c>
      <c r="U53" s="102">
        <v>50</v>
      </c>
      <c r="V53" s="102">
        <v>80</v>
      </c>
      <c r="W53" s="507"/>
      <c r="X53" s="507"/>
      <c r="Y53" s="504"/>
      <c r="Z53" s="494"/>
      <c r="AA53" s="499"/>
      <c r="AB53" s="104" t="s">
        <v>36</v>
      </c>
      <c r="AC53" s="105" t="s">
        <v>36</v>
      </c>
      <c r="AD53" s="106">
        <f t="shared" si="41"/>
        <v>73</v>
      </c>
      <c r="AE53" s="489"/>
      <c r="AF53" s="491"/>
      <c r="AG53" s="540"/>
    </row>
    <row r="54" spans="1:33" s="62" customFormat="1" ht="15">
      <c r="A54" s="528"/>
      <c r="B54" s="530"/>
      <c r="C54" s="533"/>
      <c r="D54" s="100" t="str">
        <f>B52&amp;"C"</f>
        <v>181910103C</v>
      </c>
      <c r="E54" s="111" t="s">
        <v>151</v>
      </c>
      <c r="F54" s="112" t="str">
        <f t="shared" ref="F54:V54" si="43">IFERROR(VLOOKUP(F52,$AI$8:$AJ$14,2,TRUE),"")</f>
        <v>D</v>
      </c>
      <c r="G54" s="113" t="str">
        <f t="shared" si="43"/>
        <v>B</v>
      </c>
      <c r="H54" s="113" t="str">
        <f t="shared" si="43"/>
        <v>C</v>
      </c>
      <c r="I54" s="113" t="str">
        <f t="shared" si="43"/>
        <v>C</v>
      </c>
      <c r="J54" s="113" t="str">
        <f t="shared" si="43"/>
        <v>B</v>
      </c>
      <c r="K54" s="113" t="str">
        <f t="shared" si="43"/>
        <v>C</v>
      </c>
      <c r="L54" s="113" t="str">
        <f t="shared" si="43"/>
        <v>C</v>
      </c>
      <c r="M54" s="113" t="str">
        <f t="shared" si="43"/>
        <v>C</v>
      </c>
      <c r="N54" s="113" t="str">
        <f t="shared" si="43"/>
        <v>D</v>
      </c>
      <c r="O54" s="113" t="str">
        <f t="shared" si="43"/>
        <v>C</v>
      </c>
      <c r="P54" s="113" t="str">
        <f t="shared" si="43"/>
        <v>C</v>
      </c>
      <c r="Q54" s="113" t="str">
        <f t="shared" si="43"/>
        <v>B</v>
      </c>
      <c r="R54" s="113" t="str">
        <f t="shared" si="43"/>
        <v>C</v>
      </c>
      <c r="S54" s="113" t="str">
        <f t="shared" si="43"/>
        <v>D</v>
      </c>
      <c r="T54" s="113" t="str">
        <f t="shared" si="43"/>
        <v>B</v>
      </c>
      <c r="U54" s="113" t="str">
        <f t="shared" si="43"/>
        <v>D</v>
      </c>
      <c r="V54" s="114" t="str">
        <f t="shared" si="43"/>
        <v>B</v>
      </c>
      <c r="W54" s="507"/>
      <c r="X54" s="507"/>
      <c r="Y54" s="504"/>
      <c r="Z54" s="494"/>
      <c r="AA54" s="499"/>
      <c r="AB54" s="104" t="s">
        <v>36</v>
      </c>
      <c r="AC54" s="105" t="s">
        <v>36</v>
      </c>
      <c r="AD54" s="496">
        <f>SUM(F52:V53)</f>
        <v>2422</v>
      </c>
      <c r="AE54" s="489"/>
      <c r="AF54" s="491"/>
      <c r="AG54" s="540"/>
    </row>
    <row r="55" spans="1:33" s="62" customFormat="1" ht="15">
      <c r="A55" s="535"/>
      <c r="B55" s="130"/>
      <c r="C55" s="131"/>
      <c r="D55" s="100" t="str">
        <f>B52&amp;"D"</f>
        <v>181910103D</v>
      </c>
      <c r="E55" s="117" t="s">
        <v>152</v>
      </c>
      <c r="F55" s="118" t="str">
        <f t="shared" ref="F55:V55" si="44">IFERROR(VLOOKUP(F53,$AI$8:$AJ$14,2,TRUE),"")</f>
        <v>C</v>
      </c>
      <c r="G55" s="119" t="str">
        <f t="shared" si="44"/>
        <v>B</v>
      </c>
      <c r="H55" s="119" t="str">
        <f t="shared" si="44"/>
        <v>C</v>
      </c>
      <c r="I55" s="119" t="str">
        <f t="shared" si="44"/>
        <v>C</v>
      </c>
      <c r="J55" s="119" t="str">
        <f t="shared" si="44"/>
        <v>C</v>
      </c>
      <c r="K55" s="119" t="str">
        <f t="shared" si="44"/>
        <v>C</v>
      </c>
      <c r="L55" s="119" t="str">
        <f t="shared" si="44"/>
        <v>C</v>
      </c>
      <c r="M55" s="119" t="str">
        <f t="shared" si="44"/>
        <v>B</v>
      </c>
      <c r="N55" s="119" t="str">
        <f t="shared" si="44"/>
        <v>D</v>
      </c>
      <c r="O55" s="119" t="str">
        <f t="shared" si="44"/>
        <v>C</v>
      </c>
      <c r="P55" s="119" t="str">
        <f t="shared" si="44"/>
        <v>B</v>
      </c>
      <c r="Q55" s="119" t="str">
        <f t="shared" si="44"/>
        <v>B</v>
      </c>
      <c r="R55" s="119" t="str">
        <f t="shared" si="44"/>
        <v>C</v>
      </c>
      <c r="S55" s="119" t="str">
        <f t="shared" si="44"/>
        <v>B</v>
      </c>
      <c r="T55" s="119" t="str">
        <f t="shared" si="44"/>
        <v>B</v>
      </c>
      <c r="U55" s="119" t="str">
        <f t="shared" si="44"/>
        <v>D</v>
      </c>
      <c r="V55" s="120" t="str">
        <f t="shared" si="44"/>
        <v>B</v>
      </c>
      <c r="W55" s="508"/>
      <c r="X55" s="508"/>
      <c r="Y55" s="505"/>
      <c r="Z55" s="495"/>
      <c r="AA55" s="500"/>
      <c r="AB55" s="121" t="s">
        <v>36</v>
      </c>
      <c r="AC55" s="122" t="s">
        <v>36</v>
      </c>
      <c r="AD55" s="497"/>
      <c r="AE55" s="489"/>
      <c r="AF55" s="492"/>
      <c r="AG55" s="541"/>
    </row>
    <row r="56" spans="1:33" s="62" customFormat="1" ht="15">
      <c r="A56" s="527">
        <v>13</v>
      </c>
      <c r="B56" s="530" t="str">
        <f>VLOOKUP(A56,biononis,2,1)</f>
        <v>181910104</v>
      </c>
      <c r="C56" s="533" t="str">
        <f>VLOOKUP(A56,biononis,3,1)</f>
        <v>DWIKI DERMAWAN</v>
      </c>
      <c r="D56" s="100" t="str">
        <f>B56&amp;"A"</f>
        <v>181910104A</v>
      </c>
      <c r="E56" s="89" t="s">
        <v>262</v>
      </c>
      <c r="F56" s="123">
        <v>35</v>
      </c>
      <c r="G56" s="124">
        <v>18</v>
      </c>
      <c r="H56" s="124">
        <v>60</v>
      </c>
      <c r="I56" s="124">
        <v>54</v>
      </c>
      <c r="J56" s="124">
        <v>0</v>
      </c>
      <c r="K56" s="124">
        <v>40</v>
      </c>
      <c r="L56" s="124">
        <v>70</v>
      </c>
      <c r="M56" s="124">
        <v>68</v>
      </c>
      <c r="N56" s="124">
        <v>20</v>
      </c>
      <c r="O56" s="124">
        <v>33</v>
      </c>
      <c r="P56" s="124">
        <v>53</v>
      </c>
      <c r="Q56" s="124">
        <v>37</v>
      </c>
      <c r="R56" s="124">
        <v>60</v>
      </c>
      <c r="S56" s="124">
        <v>10</v>
      </c>
      <c r="T56" s="124">
        <v>21</v>
      </c>
      <c r="U56" s="124">
        <v>10</v>
      </c>
      <c r="V56" s="124">
        <v>75</v>
      </c>
      <c r="W56" s="506" t="s">
        <v>18</v>
      </c>
      <c r="X56" s="506" t="s">
        <v>6</v>
      </c>
      <c r="Y56" s="503"/>
      <c r="Z56" s="493"/>
      <c r="AA56" s="498"/>
      <c r="AB56" s="93" t="s">
        <v>180</v>
      </c>
      <c r="AC56" s="94" t="s">
        <v>36</v>
      </c>
      <c r="AD56" s="95">
        <f t="shared" ref="AD56:AD57" si="45">IFERROR(AVERAGE(F56:V56),"")</f>
        <v>39.058823529411768</v>
      </c>
      <c r="AE56" s="489">
        <f t="shared" ref="AE56" si="46">IFERROR((AD56+AD57)/2,"")</f>
        <v>40.466911764705884</v>
      </c>
      <c r="AF56" s="490">
        <f>IFERROR(RANK(AE56,$AE$8:$AE$167,0),"")</f>
        <v>35</v>
      </c>
      <c r="AG56" s="539" t="s">
        <v>285</v>
      </c>
    </row>
    <row r="57" spans="1:33" s="62" customFormat="1" ht="15">
      <c r="A57" s="528"/>
      <c r="B57" s="530"/>
      <c r="C57" s="533"/>
      <c r="D57" s="100" t="str">
        <f>B56&amp;"B"</f>
        <v>181910104B</v>
      </c>
      <c r="E57" s="101" t="s">
        <v>263</v>
      </c>
      <c r="F57" s="126">
        <v>60</v>
      </c>
      <c r="G57" s="102">
        <v>20</v>
      </c>
      <c r="H57" s="102">
        <v>60</v>
      </c>
      <c r="I57" s="102">
        <v>56</v>
      </c>
      <c r="J57" s="102">
        <v>0</v>
      </c>
      <c r="K57" s="102">
        <v>30</v>
      </c>
      <c r="L57" s="102">
        <v>46</v>
      </c>
      <c r="M57" s="102">
        <v>55</v>
      </c>
      <c r="N57" s="102">
        <v>25</v>
      </c>
      <c r="O57" s="102">
        <v>35</v>
      </c>
      <c r="P57" s="102">
        <v>70</v>
      </c>
      <c r="Q57" s="102" t="s">
        <v>431</v>
      </c>
      <c r="R57" s="102">
        <v>60</v>
      </c>
      <c r="S57" s="102">
        <v>50</v>
      </c>
      <c r="T57" s="102">
        <v>10</v>
      </c>
      <c r="U57" s="102">
        <v>20</v>
      </c>
      <c r="V57" s="102">
        <v>73</v>
      </c>
      <c r="W57" s="507"/>
      <c r="X57" s="507"/>
      <c r="Y57" s="504"/>
      <c r="Z57" s="494"/>
      <c r="AA57" s="499"/>
      <c r="AB57" s="104" t="s">
        <v>36</v>
      </c>
      <c r="AC57" s="105" t="s">
        <v>36</v>
      </c>
      <c r="AD57" s="106">
        <f t="shared" si="45"/>
        <v>41.875</v>
      </c>
      <c r="AE57" s="489"/>
      <c r="AF57" s="491"/>
      <c r="AG57" s="540"/>
    </row>
    <row r="58" spans="1:33" s="62" customFormat="1" ht="15">
      <c r="A58" s="528"/>
      <c r="B58" s="530"/>
      <c r="C58" s="533"/>
      <c r="D58" s="100" t="str">
        <f>B56&amp;"C"</f>
        <v>181910104C</v>
      </c>
      <c r="E58" s="111" t="s">
        <v>151</v>
      </c>
      <c r="F58" s="112" t="str">
        <f t="shared" ref="F58:V58" si="47">IFERROR(VLOOKUP(F56,$AI$8:$AJ$14,2,TRUE),"")</f>
        <v>D</v>
      </c>
      <c r="G58" s="113" t="str">
        <f t="shared" si="47"/>
        <v>D</v>
      </c>
      <c r="H58" s="113" t="str">
        <f t="shared" si="47"/>
        <v>D</v>
      </c>
      <c r="I58" s="113" t="str">
        <f t="shared" si="47"/>
        <v>D</v>
      </c>
      <c r="J58" s="113" t="str">
        <f t="shared" si="47"/>
        <v/>
      </c>
      <c r="K58" s="113" t="str">
        <f t="shared" si="47"/>
        <v>D</v>
      </c>
      <c r="L58" s="113" t="str">
        <f t="shared" si="47"/>
        <v>C</v>
      </c>
      <c r="M58" s="113" t="str">
        <f t="shared" si="47"/>
        <v>D</v>
      </c>
      <c r="N58" s="113" t="str">
        <f t="shared" si="47"/>
        <v>D</v>
      </c>
      <c r="O58" s="113" t="str">
        <f t="shared" si="47"/>
        <v>D</v>
      </c>
      <c r="P58" s="113" t="str">
        <f t="shared" si="47"/>
        <v>D</v>
      </c>
      <c r="Q58" s="113" t="str">
        <f t="shared" si="47"/>
        <v>D</v>
      </c>
      <c r="R58" s="113" t="str">
        <f t="shared" si="47"/>
        <v>D</v>
      </c>
      <c r="S58" s="113" t="str">
        <f t="shared" si="47"/>
        <v>D</v>
      </c>
      <c r="T58" s="113" t="str">
        <f t="shared" si="47"/>
        <v>D</v>
      </c>
      <c r="U58" s="113" t="str">
        <f t="shared" si="47"/>
        <v>D</v>
      </c>
      <c r="V58" s="114" t="str">
        <f t="shared" si="47"/>
        <v>C</v>
      </c>
      <c r="W58" s="507"/>
      <c r="X58" s="507"/>
      <c r="Y58" s="504"/>
      <c r="Z58" s="494"/>
      <c r="AA58" s="499"/>
      <c r="AB58" s="104" t="s">
        <v>36</v>
      </c>
      <c r="AC58" s="105" t="s">
        <v>36</v>
      </c>
      <c r="AD58" s="496">
        <f>SUM(F56:V57)</f>
        <v>1334</v>
      </c>
      <c r="AE58" s="489"/>
      <c r="AF58" s="491"/>
      <c r="AG58" s="540"/>
    </row>
    <row r="59" spans="1:33" s="62" customFormat="1" ht="15">
      <c r="A59" s="529"/>
      <c r="B59" s="115"/>
      <c r="C59" s="116"/>
      <c r="D59" s="100" t="str">
        <f>B56&amp;"D"</f>
        <v>181910104D</v>
      </c>
      <c r="E59" s="117" t="s">
        <v>152</v>
      </c>
      <c r="F59" s="118" t="str">
        <f t="shared" ref="F59:V59" si="48">IFERROR(VLOOKUP(F57,$AI$8:$AJ$14,2,TRUE),"")</f>
        <v>D</v>
      </c>
      <c r="G59" s="119" t="str">
        <f t="shared" si="48"/>
        <v>D</v>
      </c>
      <c r="H59" s="119" t="str">
        <f t="shared" si="48"/>
        <v>D</v>
      </c>
      <c r="I59" s="119" t="str">
        <f t="shared" si="48"/>
        <v>D</v>
      </c>
      <c r="J59" s="119" t="str">
        <f t="shared" si="48"/>
        <v/>
      </c>
      <c r="K59" s="119" t="str">
        <f t="shared" si="48"/>
        <v>D</v>
      </c>
      <c r="L59" s="119" t="str">
        <f t="shared" si="48"/>
        <v>D</v>
      </c>
      <c r="M59" s="119" t="str">
        <f t="shared" si="48"/>
        <v>D</v>
      </c>
      <c r="N59" s="119" t="str">
        <f t="shared" si="48"/>
        <v>D</v>
      </c>
      <c r="O59" s="119" t="str">
        <f t="shared" si="48"/>
        <v>D</v>
      </c>
      <c r="P59" s="119" t="str">
        <f t="shared" si="48"/>
        <v>C</v>
      </c>
      <c r="Q59" s="119" t="str">
        <f t="shared" si="48"/>
        <v>--</v>
      </c>
      <c r="R59" s="119" t="str">
        <f t="shared" si="48"/>
        <v>D</v>
      </c>
      <c r="S59" s="119" t="str">
        <f t="shared" si="48"/>
        <v>D</v>
      </c>
      <c r="T59" s="119" t="str">
        <f t="shared" si="48"/>
        <v>D</v>
      </c>
      <c r="U59" s="119" t="str">
        <f t="shared" si="48"/>
        <v>D</v>
      </c>
      <c r="V59" s="120" t="str">
        <f t="shared" si="48"/>
        <v>C</v>
      </c>
      <c r="W59" s="508"/>
      <c r="X59" s="508"/>
      <c r="Y59" s="505"/>
      <c r="Z59" s="495"/>
      <c r="AA59" s="500"/>
      <c r="AB59" s="121" t="s">
        <v>36</v>
      </c>
      <c r="AC59" s="122" t="s">
        <v>36</v>
      </c>
      <c r="AD59" s="497"/>
      <c r="AE59" s="489"/>
      <c r="AF59" s="492"/>
      <c r="AG59" s="541"/>
    </row>
    <row r="60" spans="1:33" s="62" customFormat="1" ht="15">
      <c r="A60" s="534">
        <v>14</v>
      </c>
      <c r="B60" s="531" t="str">
        <f>VLOOKUP(A60,biononis,2,1)</f>
        <v>181910118</v>
      </c>
      <c r="C60" s="532" t="str">
        <f>VLOOKUP(A60,biononis,3,1)</f>
        <v>ENCEP CANDRA</v>
      </c>
      <c r="D60" s="100" t="str">
        <f>B60&amp;"A"</f>
        <v>181910118A</v>
      </c>
      <c r="E60" s="89" t="s">
        <v>262</v>
      </c>
      <c r="F60" s="123">
        <v>65</v>
      </c>
      <c r="G60" s="124">
        <v>78</v>
      </c>
      <c r="H60" s="124">
        <v>70</v>
      </c>
      <c r="I60" s="124">
        <v>77</v>
      </c>
      <c r="J60" s="124">
        <v>40</v>
      </c>
      <c r="K60" s="124">
        <v>73</v>
      </c>
      <c r="L60" s="124">
        <v>72</v>
      </c>
      <c r="M60" s="124">
        <v>80</v>
      </c>
      <c r="N60" s="124">
        <v>40</v>
      </c>
      <c r="O60" s="124">
        <v>52</v>
      </c>
      <c r="P60" s="124">
        <v>83</v>
      </c>
      <c r="Q60" s="124">
        <v>65</v>
      </c>
      <c r="R60" s="124">
        <v>72</v>
      </c>
      <c r="S60" s="124">
        <v>53</v>
      </c>
      <c r="T60" s="124">
        <v>70</v>
      </c>
      <c r="U60" s="124">
        <v>67</v>
      </c>
      <c r="V60" s="124">
        <v>80</v>
      </c>
      <c r="W60" s="506" t="s">
        <v>18</v>
      </c>
      <c r="X60" s="506" t="s">
        <v>6</v>
      </c>
      <c r="Y60" s="503"/>
      <c r="Z60" s="493"/>
      <c r="AA60" s="498"/>
      <c r="AB60" s="93" t="s">
        <v>180</v>
      </c>
      <c r="AC60" s="94" t="s">
        <v>36</v>
      </c>
      <c r="AD60" s="95">
        <f t="shared" ref="AD60:AD61" si="49">IFERROR(AVERAGE(F60:V60),"")</f>
        <v>66.882352941176464</v>
      </c>
      <c r="AE60" s="489">
        <f t="shared" ref="AE60" si="50">IFERROR((AD60+AD61)/2,"")</f>
        <v>67.566176470588232</v>
      </c>
      <c r="AF60" s="490">
        <f>IFERROR(RANK(AE60,$AE$8:$AE$167,0),"")</f>
        <v>15</v>
      </c>
      <c r="AG60" s="539" t="s">
        <v>282</v>
      </c>
    </row>
    <row r="61" spans="1:33" s="62" customFormat="1" ht="15">
      <c r="A61" s="528"/>
      <c r="B61" s="530"/>
      <c r="C61" s="533"/>
      <c r="D61" s="100" t="str">
        <f>B60&amp;"B"</f>
        <v>181910118B</v>
      </c>
      <c r="E61" s="101" t="s">
        <v>263</v>
      </c>
      <c r="F61" s="126">
        <v>75</v>
      </c>
      <c r="G61" s="102">
        <v>78</v>
      </c>
      <c r="H61" s="102">
        <v>70</v>
      </c>
      <c r="I61" s="102">
        <v>75</v>
      </c>
      <c r="J61" s="102">
        <v>45</v>
      </c>
      <c r="K61" s="102">
        <v>70</v>
      </c>
      <c r="L61" s="102">
        <v>54</v>
      </c>
      <c r="M61" s="102">
        <v>66</v>
      </c>
      <c r="N61" s="102">
        <v>80</v>
      </c>
      <c r="O61" s="102">
        <v>81</v>
      </c>
      <c r="P61" s="102">
        <v>83</v>
      </c>
      <c r="Q61" s="102" t="s">
        <v>430</v>
      </c>
      <c r="R61" s="102">
        <v>72</v>
      </c>
      <c r="S61" s="102">
        <v>50</v>
      </c>
      <c r="T61" s="102">
        <v>53</v>
      </c>
      <c r="U61" s="102">
        <v>60</v>
      </c>
      <c r="V61" s="102">
        <v>80</v>
      </c>
      <c r="W61" s="507"/>
      <c r="X61" s="507"/>
      <c r="Y61" s="504"/>
      <c r="Z61" s="494"/>
      <c r="AA61" s="499"/>
      <c r="AB61" s="104" t="s">
        <v>36</v>
      </c>
      <c r="AC61" s="105" t="s">
        <v>36</v>
      </c>
      <c r="AD61" s="106">
        <f t="shared" si="49"/>
        <v>68.25</v>
      </c>
      <c r="AE61" s="489"/>
      <c r="AF61" s="491"/>
      <c r="AG61" s="540"/>
    </row>
    <row r="62" spans="1:33" s="62" customFormat="1" ht="15">
      <c r="A62" s="528"/>
      <c r="B62" s="530"/>
      <c r="C62" s="533"/>
      <c r="D62" s="100" t="str">
        <f>B60&amp;"C"</f>
        <v>181910118C</v>
      </c>
      <c r="E62" s="111" t="s">
        <v>151</v>
      </c>
      <c r="F62" s="112" t="str">
        <f t="shared" ref="F62:V62" si="51">IFERROR(VLOOKUP(F60,$AI$8:$AJ$14,2,TRUE),"")</f>
        <v>D</v>
      </c>
      <c r="G62" s="113" t="str">
        <f t="shared" si="51"/>
        <v>C</v>
      </c>
      <c r="H62" s="113" t="str">
        <f t="shared" si="51"/>
        <v>C</v>
      </c>
      <c r="I62" s="113" t="str">
        <f t="shared" si="51"/>
        <v>C</v>
      </c>
      <c r="J62" s="113" t="str">
        <f t="shared" si="51"/>
        <v>D</v>
      </c>
      <c r="K62" s="113" t="str">
        <f t="shared" si="51"/>
        <v>C</v>
      </c>
      <c r="L62" s="113" t="str">
        <f t="shared" si="51"/>
        <v>C</v>
      </c>
      <c r="M62" s="113" t="str">
        <f t="shared" si="51"/>
        <v>B</v>
      </c>
      <c r="N62" s="113" t="str">
        <f t="shared" si="51"/>
        <v>D</v>
      </c>
      <c r="O62" s="113" t="str">
        <f t="shared" si="51"/>
        <v>D</v>
      </c>
      <c r="P62" s="113" t="str">
        <f t="shared" si="51"/>
        <v>B</v>
      </c>
      <c r="Q62" s="113" t="str">
        <f t="shared" si="51"/>
        <v>D</v>
      </c>
      <c r="R62" s="113" t="str">
        <f t="shared" si="51"/>
        <v>C</v>
      </c>
      <c r="S62" s="113" t="str">
        <f t="shared" si="51"/>
        <v>D</v>
      </c>
      <c r="T62" s="113" t="str">
        <f t="shared" si="51"/>
        <v>C</v>
      </c>
      <c r="U62" s="113" t="str">
        <f t="shared" si="51"/>
        <v>D</v>
      </c>
      <c r="V62" s="114" t="str">
        <f t="shared" si="51"/>
        <v>B</v>
      </c>
      <c r="W62" s="507"/>
      <c r="X62" s="507"/>
      <c r="Y62" s="504"/>
      <c r="Z62" s="494"/>
      <c r="AA62" s="499"/>
      <c r="AB62" s="104" t="s">
        <v>36</v>
      </c>
      <c r="AC62" s="105" t="s">
        <v>36</v>
      </c>
      <c r="AD62" s="496">
        <f>SUM(F60:V61)</f>
        <v>2229</v>
      </c>
      <c r="AE62" s="489"/>
      <c r="AF62" s="491"/>
      <c r="AG62" s="540"/>
    </row>
    <row r="63" spans="1:33" s="62" customFormat="1" ht="15">
      <c r="A63" s="535"/>
      <c r="B63" s="130"/>
      <c r="C63" s="131"/>
      <c r="D63" s="100" t="str">
        <f>B60&amp;"D"</f>
        <v>181910118D</v>
      </c>
      <c r="E63" s="117" t="s">
        <v>152</v>
      </c>
      <c r="F63" s="118" t="str">
        <f t="shared" ref="F63:V63" si="52">IFERROR(VLOOKUP(F61,$AI$8:$AJ$14,2,TRUE),"")</f>
        <v>C</v>
      </c>
      <c r="G63" s="119" t="str">
        <f t="shared" si="52"/>
        <v>C</v>
      </c>
      <c r="H63" s="119" t="str">
        <f t="shared" si="52"/>
        <v>C</v>
      </c>
      <c r="I63" s="119" t="str">
        <f t="shared" si="52"/>
        <v>C</v>
      </c>
      <c r="J63" s="119" t="str">
        <f t="shared" si="52"/>
        <v>D</v>
      </c>
      <c r="K63" s="119" t="str">
        <f t="shared" si="52"/>
        <v>C</v>
      </c>
      <c r="L63" s="119" t="str">
        <f t="shared" si="52"/>
        <v>D</v>
      </c>
      <c r="M63" s="119" t="str">
        <f t="shared" si="52"/>
        <v>D</v>
      </c>
      <c r="N63" s="119" t="str">
        <f t="shared" si="52"/>
        <v>B</v>
      </c>
      <c r="O63" s="119" t="str">
        <f t="shared" si="52"/>
        <v>B</v>
      </c>
      <c r="P63" s="119" t="str">
        <f t="shared" si="52"/>
        <v>B</v>
      </c>
      <c r="Q63" s="119" t="str">
        <f t="shared" si="52"/>
        <v>--</v>
      </c>
      <c r="R63" s="119" t="str">
        <f t="shared" si="52"/>
        <v>C</v>
      </c>
      <c r="S63" s="119" t="str">
        <f t="shared" si="52"/>
        <v>D</v>
      </c>
      <c r="T63" s="119" t="str">
        <f t="shared" si="52"/>
        <v>D</v>
      </c>
      <c r="U63" s="119" t="str">
        <f t="shared" si="52"/>
        <v>D</v>
      </c>
      <c r="V63" s="120" t="str">
        <f t="shared" si="52"/>
        <v>B</v>
      </c>
      <c r="W63" s="508"/>
      <c r="X63" s="508"/>
      <c r="Y63" s="505"/>
      <c r="Z63" s="495"/>
      <c r="AA63" s="500"/>
      <c r="AB63" s="121" t="s">
        <v>36</v>
      </c>
      <c r="AC63" s="122" t="s">
        <v>36</v>
      </c>
      <c r="AD63" s="497"/>
      <c r="AE63" s="489"/>
      <c r="AF63" s="492"/>
      <c r="AG63" s="541"/>
    </row>
    <row r="64" spans="1:33" s="62" customFormat="1" ht="15">
      <c r="A64" s="527">
        <v>15</v>
      </c>
      <c r="B64" s="530" t="str">
        <f>VLOOKUP(A64,biononis,2,1)</f>
        <v>181910128</v>
      </c>
      <c r="C64" s="533" t="str">
        <f>VLOOKUP(A64,biononis,3,1)</f>
        <v>FAIZAL EGI</v>
      </c>
      <c r="D64" s="100" t="str">
        <f>B64&amp;"A"</f>
        <v>181910128A</v>
      </c>
      <c r="E64" s="89" t="s">
        <v>262</v>
      </c>
      <c r="F64" s="123">
        <v>72</v>
      </c>
      <c r="G64" s="124">
        <v>25</v>
      </c>
      <c r="H64" s="124">
        <v>65</v>
      </c>
      <c r="I64" s="124">
        <v>37</v>
      </c>
      <c r="J64" s="124">
        <v>20</v>
      </c>
      <c r="K64" s="124">
        <v>73</v>
      </c>
      <c r="L64" s="124">
        <v>72</v>
      </c>
      <c r="M64" s="124">
        <v>70</v>
      </c>
      <c r="N64" s="124">
        <v>15</v>
      </c>
      <c r="O64" s="124">
        <v>18</v>
      </c>
      <c r="P64" s="124">
        <v>70</v>
      </c>
      <c r="Q64" s="124">
        <v>10</v>
      </c>
      <c r="R64" s="124">
        <v>70</v>
      </c>
      <c r="S64" s="124">
        <v>59</v>
      </c>
      <c r="T64" s="124">
        <v>14</v>
      </c>
      <c r="U64" s="124">
        <v>67</v>
      </c>
      <c r="V64" s="124">
        <v>65</v>
      </c>
      <c r="W64" s="506" t="s">
        <v>18</v>
      </c>
      <c r="X64" s="506" t="s">
        <v>6</v>
      </c>
      <c r="Y64" s="503"/>
      <c r="Z64" s="493"/>
      <c r="AA64" s="498"/>
      <c r="AB64" s="93" t="s">
        <v>180</v>
      </c>
      <c r="AC64" s="94" t="s">
        <v>36</v>
      </c>
      <c r="AD64" s="95">
        <f t="shared" ref="AD64:AD65" si="53">IFERROR(AVERAGE(F64:V64),"")</f>
        <v>48.352941176470587</v>
      </c>
      <c r="AE64" s="489">
        <f t="shared" ref="AE64" si="54">IFERROR((AD64+AD65)/2,"")</f>
        <v>46.941176470588232</v>
      </c>
      <c r="AF64" s="490">
        <f>IFERROR(RANK(AE64,$AE$8:$AE$167,0),"")</f>
        <v>29</v>
      </c>
      <c r="AG64" s="539" t="s">
        <v>285</v>
      </c>
    </row>
    <row r="65" spans="1:33" s="62" customFormat="1" ht="15">
      <c r="A65" s="528"/>
      <c r="B65" s="530"/>
      <c r="C65" s="533"/>
      <c r="D65" s="100" t="str">
        <f>B64&amp;"B"</f>
        <v>181910128B</v>
      </c>
      <c r="E65" s="101" t="s">
        <v>263</v>
      </c>
      <c r="F65" s="126">
        <v>70</v>
      </c>
      <c r="G65" s="102">
        <v>20</v>
      </c>
      <c r="H65" s="102">
        <v>65</v>
      </c>
      <c r="I65" s="102">
        <v>45</v>
      </c>
      <c r="J65" s="102">
        <v>20</v>
      </c>
      <c r="K65" s="102">
        <v>70</v>
      </c>
      <c r="L65" s="102">
        <v>55</v>
      </c>
      <c r="M65" s="102">
        <v>45</v>
      </c>
      <c r="N65" s="102">
        <v>25</v>
      </c>
      <c r="O65" s="102">
        <v>39</v>
      </c>
      <c r="P65" s="102">
        <v>70</v>
      </c>
      <c r="Q65" s="102">
        <v>0</v>
      </c>
      <c r="R65" s="102">
        <v>70</v>
      </c>
      <c r="S65" s="102">
        <v>50</v>
      </c>
      <c r="T65" s="102">
        <v>10</v>
      </c>
      <c r="U65" s="102">
        <v>60</v>
      </c>
      <c r="V65" s="102">
        <v>60</v>
      </c>
      <c r="W65" s="507"/>
      <c r="X65" s="507"/>
      <c r="Y65" s="504"/>
      <c r="Z65" s="494"/>
      <c r="AA65" s="499"/>
      <c r="AB65" s="104" t="s">
        <v>36</v>
      </c>
      <c r="AC65" s="105" t="s">
        <v>36</v>
      </c>
      <c r="AD65" s="106">
        <f t="shared" si="53"/>
        <v>45.529411764705884</v>
      </c>
      <c r="AE65" s="489"/>
      <c r="AF65" s="491"/>
      <c r="AG65" s="540"/>
    </row>
    <row r="66" spans="1:33" s="62" customFormat="1" ht="15">
      <c r="A66" s="528"/>
      <c r="B66" s="530"/>
      <c r="C66" s="533"/>
      <c r="D66" s="100" t="str">
        <f>B64&amp;"c"</f>
        <v>181910128c</v>
      </c>
      <c r="E66" s="111" t="s">
        <v>151</v>
      </c>
      <c r="F66" s="112" t="str">
        <f t="shared" ref="F66:V66" si="55">IFERROR(VLOOKUP(F64,$AI$8:$AJ$14,2,TRUE),"")</f>
        <v>C</v>
      </c>
      <c r="G66" s="113" t="str">
        <f t="shared" si="55"/>
        <v>D</v>
      </c>
      <c r="H66" s="113" t="str">
        <f t="shared" si="55"/>
        <v>D</v>
      </c>
      <c r="I66" s="113" t="str">
        <f t="shared" si="55"/>
        <v>D</v>
      </c>
      <c r="J66" s="113" t="str">
        <f t="shared" si="55"/>
        <v>D</v>
      </c>
      <c r="K66" s="113" t="str">
        <f t="shared" si="55"/>
        <v>C</v>
      </c>
      <c r="L66" s="113" t="str">
        <f t="shared" si="55"/>
        <v>C</v>
      </c>
      <c r="M66" s="113" t="str">
        <f t="shared" si="55"/>
        <v>C</v>
      </c>
      <c r="N66" s="113" t="str">
        <f t="shared" si="55"/>
        <v>D</v>
      </c>
      <c r="O66" s="113" t="str">
        <f t="shared" si="55"/>
        <v>D</v>
      </c>
      <c r="P66" s="113" t="str">
        <f t="shared" si="55"/>
        <v>C</v>
      </c>
      <c r="Q66" s="113" t="str">
        <f t="shared" si="55"/>
        <v>D</v>
      </c>
      <c r="R66" s="113" t="str">
        <f t="shared" si="55"/>
        <v>C</v>
      </c>
      <c r="S66" s="113" t="str">
        <f t="shared" si="55"/>
        <v>D</v>
      </c>
      <c r="T66" s="113" t="str">
        <f t="shared" si="55"/>
        <v>D</v>
      </c>
      <c r="U66" s="113" t="str">
        <f t="shared" si="55"/>
        <v>D</v>
      </c>
      <c r="V66" s="114" t="str">
        <f t="shared" si="55"/>
        <v>D</v>
      </c>
      <c r="W66" s="507"/>
      <c r="X66" s="507"/>
      <c r="Y66" s="504"/>
      <c r="Z66" s="494"/>
      <c r="AA66" s="499"/>
      <c r="AB66" s="104" t="s">
        <v>36</v>
      </c>
      <c r="AC66" s="105" t="s">
        <v>36</v>
      </c>
      <c r="AD66" s="496">
        <f>SUM(F64:V65)</f>
        <v>1596</v>
      </c>
      <c r="AE66" s="489"/>
      <c r="AF66" s="491"/>
      <c r="AG66" s="540"/>
    </row>
    <row r="67" spans="1:33" s="62" customFormat="1" ht="15">
      <c r="A67" s="529"/>
      <c r="B67" s="115"/>
      <c r="C67" s="132"/>
      <c r="D67" s="100" t="str">
        <f>B64&amp;"D"</f>
        <v>181910128D</v>
      </c>
      <c r="E67" s="117" t="s">
        <v>152</v>
      </c>
      <c r="F67" s="118" t="str">
        <f t="shared" ref="F67:V67" si="56">IFERROR(VLOOKUP(F65,$AI$8:$AJ$14,2,TRUE),"")</f>
        <v>C</v>
      </c>
      <c r="G67" s="119" t="str">
        <f t="shared" si="56"/>
        <v>D</v>
      </c>
      <c r="H67" s="119" t="str">
        <f t="shared" si="56"/>
        <v>D</v>
      </c>
      <c r="I67" s="119" t="str">
        <f t="shared" si="56"/>
        <v>D</v>
      </c>
      <c r="J67" s="119" t="str">
        <f t="shared" si="56"/>
        <v>D</v>
      </c>
      <c r="K67" s="119" t="str">
        <f t="shared" si="56"/>
        <v>C</v>
      </c>
      <c r="L67" s="119" t="str">
        <f t="shared" si="56"/>
        <v>D</v>
      </c>
      <c r="M67" s="119" t="str">
        <f t="shared" si="56"/>
        <v>D</v>
      </c>
      <c r="N67" s="119" t="str">
        <f t="shared" si="56"/>
        <v>D</v>
      </c>
      <c r="O67" s="119" t="str">
        <f t="shared" si="56"/>
        <v>D</v>
      </c>
      <c r="P67" s="119" t="str">
        <f t="shared" si="56"/>
        <v>C</v>
      </c>
      <c r="Q67" s="119" t="str">
        <f t="shared" si="56"/>
        <v/>
      </c>
      <c r="R67" s="119" t="str">
        <f t="shared" si="56"/>
        <v>C</v>
      </c>
      <c r="S67" s="119" t="str">
        <f t="shared" si="56"/>
        <v>D</v>
      </c>
      <c r="T67" s="119" t="str">
        <f t="shared" si="56"/>
        <v>D</v>
      </c>
      <c r="U67" s="119" t="str">
        <f t="shared" si="56"/>
        <v>D</v>
      </c>
      <c r="V67" s="120" t="str">
        <f t="shared" si="56"/>
        <v>D</v>
      </c>
      <c r="W67" s="508"/>
      <c r="X67" s="508"/>
      <c r="Y67" s="505"/>
      <c r="Z67" s="495"/>
      <c r="AA67" s="500"/>
      <c r="AB67" s="121" t="s">
        <v>36</v>
      </c>
      <c r="AC67" s="122" t="s">
        <v>36</v>
      </c>
      <c r="AD67" s="497"/>
      <c r="AE67" s="489"/>
      <c r="AF67" s="492"/>
      <c r="AG67" s="541"/>
    </row>
    <row r="68" spans="1:33" s="62" customFormat="1" ht="15">
      <c r="A68" s="534">
        <v>16</v>
      </c>
      <c r="B68" s="531" t="str">
        <f>VLOOKUP(A68,biononis,2,1)</f>
        <v>181910133</v>
      </c>
      <c r="C68" s="532" t="str">
        <f>VLOOKUP(A68,biononis,3,1)</f>
        <v>FAUZI DHALFADLIL AZHANI</v>
      </c>
      <c r="D68" s="100" t="str">
        <f>B68&amp;"A"</f>
        <v>181910133A</v>
      </c>
      <c r="E68" s="89" t="s">
        <v>262</v>
      </c>
      <c r="F68" s="123">
        <v>70</v>
      </c>
      <c r="G68" s="124">
        <v>50</v>
      </c>
      <c r="H68" s="124">
        <v>70</v>
      </c>
      <c r="I68" s="124">
        <v>54</v>
      </c>
      <c r="J68" s="124">
        <v>70</v>
      </c>
      <c r="K68" s="124">
        <v>73</v>
      </c>
      <c r="L68" s="124">
        <v>76</v>
      </c>
      <c r="M68" s="124">
        <v>79</v>
      </c>
      <c r="N68" s="124">
        <v>30</v>
      </c>
      <c r="O68" s="124">
        <v>24</v>
      </c>
      <c r="P68" s="124">
        <v>70</v>
      </c>
      <c r="Q68" s="124">
        <v>33</v>
      </c>
      <c r="R68" s="124">
        <v>72</v>
      </c>
      <c r="S68" s="124">
        <v>50</v>
      </c>
      <c r="T68" s="124">
        <v>37</v>
      </c>
      <c r="U68" s="124">
        <v>10</v>
      </c>
      <c r="V68" s="124">
        <v>75</v>
      </c>
      <c r="W68" s="506" t="s">
        <v>18</v>
      </c>
      <c r="X68" s="506" t="s">
        <v>6</v>
      </c>
      <c r="Y68" s="503">
        <v>0</v>
      </c>
      <c r="Z68" s="493"/>
      <c r="AA68" s="498"/>
      <c r="AB68" s="93" t="s">
        <v>180</v>
      </c>
      <c r="AC68" s="94" t="s">
        <v>36</v>
      </c>
      <c r="AD68" s="95">
        <f t="shared" ref="AD68:AD69" si="57">IFERROR(AVERAGE(F68:V68),"")</f>
        <v>55.470588235294116</v>
      </c>
      <c r="AE68" s="489">
        <f t="shared" ref="AE68" si="58">IFERROR((AD68+AD69)/2,"")</f>
        <v>55.485294117647058</v>
      </c>
      <c r="AF68" s="490">
        <f>IFERROR(RANK(AE68,$AE$8:$AE$167,0),"")</f>
        <v>25</v>
      </c>
      <c r="AG68" s="539" t="s">
        <v>285</v>
      </c>
    </row>
    <row r="69" spans="1:33" s="62" customFormat="1" ht="15">
      <c r="A69" s="528"/>
      <c r="B69" s="530"/>
      <c r="C69" s="533"/>
      <c r="D69" s="100" t="str">
        <f>B68&amp;"B"</f>
        <v>181910133B</v>
      </c>
      <c r="E69" s="101" t="s">
        <v>263</v>
      </c>
      <c r="F69" s="126">
        <v>70</v>
      </c>
      <c r="G69" s="102">
        <v>50</v>
      </c>
      <c r="H69" s="102">
        <v>70</v>
      </c>
      <c r="I69" s="102">
        <v>56</v>
      </c>
      <c r="J69" s="102">
        <v>65</v>
      </c>
      <c r="K69" s="102">
        <v>70</v>
      </c>
      <c r="L69" s="102">
        <v>75</v>
      </c>
      <c r="M69" s="102">
        <v>69</v>
      </c>
      <c r="N69" s="102">
        <v>30</v>
      </c>
      <c r="O69" s="102">
        <v>35</v>
      </c>
      <c r="P69" s="102">
        <v>73</v>
      </c>
      <c r="Q69" s="102" t="s">
        <v>435</v>
      </c>
      <c r="R69" s="102">
        <v>72</v>
      </c>
      <c r="S69" s="102">
        <v>50</v>
      </c>
      <c r="T69" s="102">
        <v>10</v>
      </c>
      <c r="U69" s="102">
        <v>20</v>
      </c>
      <c r="V69" s="102">
        <v>73</v>
      </c>
      <c r="W69" s="507"/>
      <c r="X69" s="507"/>
      <c r="Y69" s="504"/>
      <c r="Z69" s="494"/>
      <c r="AA69" s="499"/>
      <c r="AB69" s="104" t="s">
        <v>36</v>
      </c>
      <c r="AC69" s="105" t="s">
        <v>36</v>
      </c>
      <c r="AD69" s="106">
        <f t="shared" si="57"/>
        <v>55.5</v>
      </c>
      <c r="AE69" s="489"/>
      <c r="AF69" s="491"/>
      <c r="AG69" s="540"/>
    </row>
    <row r="70" spans="1:33" s="62" customFormat="1" ht="15">
      <c r="A70" s="528"/>
      <c r="B70" s="530"/>
      <c r="C70" s="533"/>
      <c r="D70" s="100" t="str">
        <f>B68&amp;"C"</f>
        <v>181910133C</v>
      </c>
      <c r="E70" s="111" t="s">
        <v>151</v>
      </c>
      <c r="F70" s="112" t="str">
        <f t="shared" ref="F70:V70" si="59">IFERROR(VLOOKUP(F68,$AI$8:$AJ$14,2,TRUE),"")</f>
        <v>C</v>
      </c>
      <c r="G70" s="113" t="str">
        <f t="shared" si="59"/>
        <v>D</v>
      </c>
      <c r="H70" s="113" t="str">
        <f t="shared" si="59"/>
        <v>C</v>
      </c>
      <c r="I70" s="113" t="str">
        <f t="shared" si="59"/>
        <v>D</v>
      </c>
      <c r="J70" s="113" t="str">
        <f t="shared" si="59"/>
        <v>C</v>
      </c>
      <c r="K70" s="113" t="str">
        <f t="shared" si="59"/>
        <v>C</v>
      </c>
      <c r="L70" s="113" t="str">
        <f t="shared" si="59"/>
        <v>C</v>
      </c>
      <c r="M70" s="113" t="str">
        <f t="shared" si="59"/>
        <v>C</v>
      </c>
      <c r="N70" s="113" t="str">
        <f t="shared" si="59"/>
        <v>D</v>
      </c>
      <c r="O70" s="113" t="str">
        <f t="shared" si="59"/>
        <v>D</v>
      </c>
      <c r="P70" s="113" t="str">
        <f t="shared" si="59"/>
        <v>C</v>
      </c>
      <c r="Q70" s="113" t="str">
        <f t="shared" si="59"/>
        <v>D</v>
      </c>
      <c r="R70" s="113" t="str">
        <f t="shared" si="59"/>
        <v>C</v>
      </c>
      <c r="S70" s="113" t="str">
        <f t="shared" si="59"/>
        <v>D</v>
      </c>
      <c r="T70" s="113" t="str">
        <f t="shared" si="59"/>
        <v>D</v>
      </c>
      <c r="U70" s="113" t="str">
        <f t="shared" si="59"/>
        <v>D</v>
      </c>
      <c r="V70" s="114" t="str">
        <f t="shared" si="59"/>
        <v>C</v>
      </c>
      <c r="W70" s="507"/>
      <c r="X70" s="507"/>
      <c r="Y70" s="504"/>
      <c r="Z70" s="494"/>
      <c r="AA70" s="499"/>
      <c r="AB70" s="104" t="s">
        <v>36</v>
      </c>
      <c r="AC70" s="105" t="s">
        <v>36</v>
      </c>
      <c r="AD70" s="496">
        <f>SUM(F68:V69)</f>
        <v>1831</v>
      </c>
      <c r="AE70" s="489"/>
      <c r="AF70" s="491"/>
      <c r="AG70" s="540"/>
    </row>
    <row r="71" spans="1:33" s="62" customFormat="1" ht="15">
      <c r="A71" s="535"/>
      <c r="B71" s="130"/>
      <c r="C71" s="131"/>
      <c r="D71" s="100" t="str">
        <f>B68&amp;"D"</f>
        <v>181910133D</v>
      </c>
      <c r="E71" s="117" t="s">
        <v>152</v>
      </c>
      <c r="F71" s="118" t="str">
        <f t="shared" ref="F71:V71" si="60">IFERROR(VLOOKUP(F69,$AI$8:$AJ$14,2,TRUE),"")</f>
        <v>C</v>
      </c>
      <c r="G71" s="119" t="str">
        <f t="shared" si="60"/>
        <v>D</v>
      </c>
      <c r="H71" s="119" t="str">
        <f t="shared" si="60"/>
        <v>C</v>
      </c>
      <c r="I71" s="119" t="str">
        <f t="shared" si="60"/>
        <v>D</v>
      </c>
      <c r="J71" s="119" t="str">
        <f t="shared" si="60"/>
        <v>D</v>
      </c>
      <c r="K71" s="119" t="str">
        <f t="shared" si="60"/>
        <v>C</v>
      </c>
      <c r="L71" s="119" t="str">
        <f t="shared" si="60"/>
        <v>C</v>
      </c>
      <c r="M71" s="119" t="str">
        <f t="shared" si="60"/>
        <v>D</v>
      </c>
      <c r="N71" s="119" t="str">
        <f t="shared" si="60"/>
        <v>D</v>
      </c>
      <c r="O71" s="119" t="str">
        <f t="shared" si="60"/>
        <v>D</v>
      </c>
      <c r="P71" s="119" t="str">
        <f t="shared" si="60"/>
        <v>C</v>
      </c>
      <c r="Q71" s="119" t="str">
        <f t="shared" si="60"/>
        <v>--</v>
      </c>
      <c r="R71" s="119" t="str">
        <f t="shared" si="60"/>
        <v>C</v>
      </c>
      <c r="S71" s="119" t="str">
        <f t="shared" si="60"/>
        <v>D</v>
      </c>
      <c r="T71" s="119" t="str">
        <f t="shared" si="60"/>
        <v>D</v>
      </c>
      <c r="U71" s="119" t="str">
        <f t="shared" si="60"/>
        <v>D</v>
      </c>
      <c r="V71" s="120" t="str">
        <f t="shared" si="60"/>
        <v>C</v>
      </c>
      <c r="W71" s="508"/>
      <c r="X71" s="508"/>
      <c r="Y71" s="505"/>
      <c r="Z71" s="495"/>
      <c r="AA71" s="500"/>
      <c r="AB71" s="121" t="s">
        <v>36</v>
      </c>
      <c r="AC71" s="122" t="s">
        <v>36</v>
      </c>
      <c r="AD71" s="497"/>
      <c r="AE71" s="489"/>
      <c r="AF71" s="492"/>
      <c r="AG71" s="541"/>
    </row>
    <row r="72" spans="1:33" s="62" customFormat="1" ht="15">
      <c r="A72" s="527">
        <v>17</v>
      </c>
      <c r="B72" s="530" t="str">
        <f>VLOOKUP(A72,biononis,2,1)</f>
        <v>181910161</v>
      </c>
      <c r="C72" s="533" t="str">
        <f>VLOOKUP(A72,biononis,3,1)</f>
        <v>HILMAN PUTRA PAMUNGKAS</v>
      </c>
      <c r="D72" s="100" t="str">
        <f>B72&amp;"A"</f>
        <v>181910161A</v>
      </c>
      <c r="E72" s="89" t="s">
        <v>262</v>
      </c>
      <c r="F72" s="123">
        <v>72</v>
      </c>
      <c r="G72" s="124">
        <v>82</v>
      </c>
      <c r="H72" s="124">
        <v>79</v>
      </c>
      <c r="I72" s="124">
        <v>78</v>
      </c>
      <c r="J72" s="124">
        <v>79</v>
      </c>
      <c r="K72" s="124">
        <v>74</v>
      </c>
      <c r="L72" s="124">
        <v>80</v>
      </c>
      <c r="M72" s="124">
        <v>79</v>
      </c>
      <c r="N72" s="124">
        <v>45</v>
      </c>
      <c r="O72" s="124">
        <v>78</v>
      </c>
      <c r="P72" s="124">
        <v>74</v>
      </c>
      <c r="Q72" s="124">
        <v>70</v>
      </c>
      <c r="R72" s="124">
        <v>75</v>
      </c>
      <c r="S72" s="124">
        <v>35</v>
      </c>
      <c r="T72" s="124">
        <v>77</v>
      </c>
      <c r="U72" s="124">
        <v>20</v>
      </c>
      <c r="V72" s="124">
        <v>82</v>
      </c>
      <c r="W72" s="506" t="s">
        <v>18</v>
      </c>
      <c r="X72" s="506" t="s">
        <v>6</v>
      </c>
      <c r="Y72" s="503">
        <v>0</v>
      </c>
      <c r="Z72" s="493">
        <v>0</v>
      </c>
      <c r="AA72" s="498">
        <v>0</v>
      </c>
      <c r="AB72" s="93" t="s">
        <v>180</v>
      </c>
      <c r="AC72" s="94" t="s">
        <v>36</v>
      </c>
      <c r="AD72" s="95">
        <f t="shared" ref="AD72:AD73" si="61">IFERROR(AVERAGE(F72:V72),"")</f>
        <v>69.352941176470594</v>
      </c>
      <c r="AE72" s="489">
        <f t="shared" ref="AE72" si="62">IFERROR((AD72+AD73)/2,"")</f>
        <v>71.735294117647072</v>
      </c>
      <c r="AF72" s="490">
        <f>IFERROR(RANK(AE72,$AE$8:$AE$167,0),"")</f>
        <v>9</v>
      </c>
      <c r="AG72" s="539" t="s">
        <v>280</v>
      </c>
    </row>
    <row r="73" spans="1:33" s="62" customFormat="1" ht="15">
      <c r="A73" s="528"/>
      <c r="B73" s="530"/>
      <c r="C73" s="533"/>
      <c r="D73" s="100" t="str">
        <f>B72&amp;"B"</f>
        <v>181910161B</v>
      </c>
      <c r="E73" s="101" t="s">
        <v>263</v>
      </c>
      <c r="F73" s="126">
        <v>75</v>
      </c>
      <c r="G73" s="102">
        <v>80</v>
      </c>
      <c r="H73" s="102">
        <v>80</v>
      </c>
      <c r="I73" s="102">
        <v>79</v>
      </c>
      <c r="J73" s="102">
        <v>73</v>
      </c>
      <c r="K73" s="102">
        <v>75</v>
      </c>
      <c r="L73" s="102">
        <v>78</v>
      </c>
      <c r="M73" s="102">
        <v>65</v>
      </c>
      <c r="N73" s="102">
        <v>82</v>
      </c>
      <c r="O73" s="102">
        <v>75</v>
      </c>
      <c r="P73" s="102">
        <v>78</v>
      </c>
      <c r="Q73" s="102">
        <v>75</v>
      </c>
      <c r="R73" s="102">
        <v>75</v>
      </c>
      <c r="S73" s="102">
        <v>50</v>
      </c>
      <c r="T73" s="102">
        <v>80</v>
      </c>
      <c r="U73" s="102">
        <v>60</v>
      </c>
      <c r="V73" s="102">
        <v>80</v>
      </c>
      <c r="W73" s="507"/>
      <c r="X73" s="507"/>
      <c r="Y73" s="504"/>
      <c r="Z73" s="494"/>
      <c r="AA73" s="499"/>
      <c r="AB73" s="104" t="s">
        <v>36</v>
      </c>
      <c r="AC73" s="105" t="s">
        <v>36</v>
      </c>
      <c r="AD73" s="106">
        <f t="shared" si="61"/>
        <v>74.117647058823536</v>
      </c>
      <c r="AE73" s="489"/>
      <c r="AF73" s="491"/>
      <c r="AG73" s="540"/>
    </row>
    <row r="74" spans="1:33" s="62" customFormat="1" ht="15">
      <c r="A74" s="528"/>
      <c r="B74" s="530"/>
      <c r="C74" s="533"/>
      <c r="D74" s="100" t="str">
        <f>B72&amp;"C"</f>
        <v>181910161C</v>
      </c>
      <c r="E74" s="111" t="s">
        <v>151</v>
      </c>
      <c r="F74" s="112" t="str">
        <f t="shared" ref="F74:V74" si="63">IFERROR(VLOOKUP(F72,$AI$8:$AJ$14,2,TRUE),"")</f>
        <v>C</v>
      </c>
      <c r="G74" s="113" t="str">
        <f t="shared" si="63"/>
        <v>B</v>
      </c>
      <c r="H74" s="113" t="str">
        <f t="shared" si="63"/>
        <v>C</v>
      </c>
      <c r="I74" s="113" t="str">
        <f t="shared" si="63"/>
        <v>C</v>
      </c>
      <c r="J74" s="113" t="str">
        <f t="shared" si="63"/>
        <v>C</v>
      </c>
      <c r="K74" s="113" t="str">
        <f t="shared" si="63"/>
        <v>C</v>
      </c>
      <c r="L74" s="113" t="str">
        <f t="shared" si="63"/>
        <v>B</v>
      </c>
      <c r="M74" s="113" t="str">
        <f t="shared" si="63"/>
        <v>C</v>
      </c>
      <c r="N74" s="113" t="str">
        <f t="shared" si="63"/>
        <v>D</v>
      </c>
      <c r="O74" s="113" t="str">
        <f t="shared" si="63"/>
        <v>C</v>
      </c>
      <c r="P74" s="113" t="str">
        <f t="shared" si="63"/>
        <v>C</v>
      </c>
      <c r="Q74" s="113" t="str">
        <f t="shared" si="63"/>
        <v>C</v>
      </c>
      <c r="R74" s="113" t="str">
        <f t="shared" si="63"/>
        <v>C</v>
      </c>
      <c r="S74" s="113" t="str">
        <f t="shared" si="63"/>
        <v>D</v>
      </c>
      <c r="T74" s="113" t="str">
        <f t="shared" si="63"/>
        <v>C</v>
      </c>
      <c r="U74" s="113" t="str">
        <f t="shared" si="63"/>
        <v>D</v>
      </c>
      <c r="V74" s="114" t="str">
        <f t="shared" si="63"/>
        <v>B</v>
      </c>
      <c r="W74" s="507"/>
      <c r="X74" s="507"/>
      <c r="Y74" s="504"/>
      <c r="Z74" s="494"/>
      <c r="AA74" s="499"/>
      <c r="AB74" s="104" t="s">
        <v>36</v>
      </c>
      <c r="AC74" s="105" t="s">
        <v>36</v>
      </c>
      <c r="AD74" s="496">
        <f>SUM(F72:V73)</f>
        <v>2439</v>
      </c>
      <c r="AE74" s="489"/>
      <c r="AF74" s="491"/>
      <c r="AG74" s="540"/>
    </row>
    <row r="75" spans="1:33" s="62" customFormat="1" ht="15">
      <c r="A75" s="529"/>
      <c r="B75" s="115"/>
      <c r="C75" s="116"/>
      <c r="D75" s="100" t="str">
        <f>B72&amp;"D"</f>
        <v>181910161D</v>
      </c>
      <c r="E75" s="117" t="s">
        <v>152</v>
      </c>
      <c r="F75" s="118" t="str">
        <f t="shared" ref="F75:V75" si="64">IFERROR(VLOOKUP(F73,$AI$8:$AJ$14,2,TRUE),"")</f>
        <v>C</v>
      </c>
      <c r="G75" s="119" t="str">
        <f t="shared" si="64"/>
        <v>B</v>
      </c>
      <c r="H75" s="119" t="str">
        <f t="shared" si="64"/>
        <v>B</v>
      </c>
      <c r="I75" s="119" t="str">
        <f t="shared" si="64"/>
        <v>C</v>
      </c>
      <c r="J75" s="119" t="str">
        <f t="shared" si="64"/>
        <v>C</v>
      </c>
      <c r="K75" s="119" t="str">
        <f t="shared" si="64"/>
        <v>C</v>
      </c>
      <c r="L75" s="119" t="str">
        <f t="shared" si="64"/>
        <v>C</v>
      </c>
      <c r="M75" s="119" t="str">
        <f t="shared" si="64"/>
        <v>D</v>
      </c>
      <c r="N75" s="119" t="str">
        <f t="shared" si="64"/>
        <v>B</v>
      </c>
      <c r="O75" s="119" t="str">
        <f t="shared" si="64"/>
        <v>C</v>
      </c>
      <c r="P75" s="119" t="str">
        <f t="shared" si="64"/>
        <v>C</v>
      </c>
      <c r="Q75" s="119" t="str">
        <f t="shared" si="64"/>
        <v>C</v>
      </c>
      <c r="R75" s="119" t="str">
        <f t="shared" si="64"/>
        <v>C</v>
      </c>
      <c r="S75" s="119" t="str">
        <f t="shared" si="64"/>
        <v>D</v>
      </c>
      <c r="T75" s="119" t="str">
        <f t="shared" si="64"/>
        <v>B</v>
      </c>
      <c r="U75" s="119" t="str">
        <f t="shared" si="64"/>
        <v>D</v>
      </c>
      <c r="V75" s="120" t="str">
        <f t="shared" si="64"/>
        <v>B</v>
      </c>
      <c r="W75" s="508"/>
      <c r="X75" s="508"/>
      <c r="Y75" s="505"/>
      <c r="Z75" s="495"/>
      <c r="AA75" s="500"/>
      <c r="AB75" s="121" t="s">
        <v>36</v>
      </c>
      <c r="AC75" s="122" t="s">
        <v>36</v>
      </c>
      <c r="AD75" s="497"/>
      <c r="AE75" s="489"/>
      <c r="AF75" s="492"/>
      <c r="AG75" s="541"/>
    </row>
    <row r="76" spans="1:33" s="62" customFormat="1" ht="15">
      <c r="A76" s="534">
        <v>18</v>
      </c>
      <c r="B76" s="531" t="str">
        <f>VLOOKUP(A76,biononis,2,1)</f>
        <v>181910165</v>
      </c>
      <c r="C76" s="532" t="str">
        <f>VLOOKUP(A76,biononis,3,1)</f>
        <v>IHSYA FADILLAH MUSLIM</v>
      </c>
      <c r="D76" s="100" t="str">
        <f>B76&amp;"A"</f>
        <v>181910165A</v>
      </c>
      <c r="E76" s="89" t="s">
        <v>262</v>
      </c>
      <c r="F76" s="123">
        <v>75</v>
      </c>
      <c r="G76" s="124">
        <v>72</v>
      </c>
      <c r="H76" s="124">
        <v>70</v>
      </c>
      <c r="I76" s="124">
        <v>73</v>
      </c>
      <c r="J76" s="124">
        <v>68</v>
      </c>
      <c r="K76" s="124">
        <v>74</v>
      </c>
      <c r="L76" s="124">
        <v>73</v>
      </c>
      <c r="M76" s="124">
        <v>78</v>
      </c>
      <c r="N76" s="124">
        <v>45</v>
      </c>
      <c r="O76" s="124">
        <v>43</v>
      </c>
      <c r="P76" s="124">
        <v>74</v>
      </c>
      <c r="Q76" s="124">
        <v>70</v>
      </c>
      <c r="R76" s="124">
        <v>70</v>
      </c>
      <c r="S76" s="124">
        <v>61</v>
      </c>
      <c r="T76" s="124">
        <v>29</v>
      </c>
      <c r="U76" s="124">
        <v>30</v>
      </c>
      <c r="V76" s="124">
        <v>82</v>
      </c>
      <c r="W76" s="506" t="s">
        <v>18</v>
      </c>
      <c r="X76" s="506" t="s">
        <v>6</v>
      </c>
      <c r="Y76" s="503"/>
      <c r="Z76" s="493"/>
      <c r="AA76" s="498">
        <v>0</v>
      </c>
      <c r="AB76" s="93" t="s">
        <v>180</v>
      </c>
      <c r="AC76" s="94" t="s">
        <v>36</v>
      </c>
      <c r="AD76" s="95">
        <f t="shared" ref="AD76:AD77" si="65">IFERROR(AVERAGE(F76:V76),"")</f>
        <v>63.941176470588232</v>
      </c>
      <c r="AE76" s="489">
        <f t="shared" ref="AE76" si="66">IFERROR((AD76+AD77)/2,"")</f>
        <v>65.323529411764696</v>
      </c>
      <c r="AF76" s="490">
        <f>IFERROR(RANK(AE76,$AE$8:$AE$167,0),"")</f>
        <v>16</v>
      </c>
      <c r="AG76" s="539" t="s">
        <v>282</v>
      </c>
    </row>
    <row r="77" spans="1:33" s="62" customFormat="1" ht="15">
      <c r="A77" s="528"/>
      <c r="B77" s="530"/>
      <c r="C77" s="533"/>
      <c r="D77" s="100" t="str">
        <f>B76&amp;"B"</f>
        <v>181910165B</v>
      </c>
      <c r="E77" s="101" t="s">
        <v>263</v>
      </c>
      <c r="F77" s="126">
        <v>75</v>
      </c>
      <c r="G77" s="102">
        <v>70</v>
      </c>
      <c r="H77" s="102">
        <v>70</v>
      </c>
      <c r="I77" s="102">
        <v>70</v>
      </c>
      <c r="J77" s="102">
        <v>60</v>
      </c>
      <c r="K77" s="102">
        <v>75</v>
      </c>
      <c r="L77" s="102">
        <v>50</v>
      </c>
      <c r="M77" s="102">
        <v>67</v>
      </c>
      <c r="N77" s="102">
        <v>80</v>
      </c>
      <c r="O77" s="102">
        <v>38</v>
      </c>
      <c r="P77" s="102">
        <v>78</v>
      </c>
      <c r="Q77" s="102">
        <v>75</v>
      </c>
      <c r="R77" s="102">
        <v>70</v>
      </c>
      <c r="S77" s="102">
        <v>90</v>
      </c>
      <c r="T77" s="102">
        <v>26</v>
      </c>
      <c r="U77" s="102">
        <v>60</v>
      </c>
      <c r="V77" s="102">
        <v>80</v>
      </c>
      <c r="W77" s="507"/>
      <c r="X77" s="507"/>
      <c r="Y77" s="504"/>
      <c r="Z77" s="494"/>
      <c r="AA77" s="499"/>
      <c r="AB77" s="104" t="s">
        <v>36</v>
      </c>
      <c r="AC77" s="105" t="s">
        <v>36</v>
      </c>
      <c r="AD77" s="106">
        <f t="shared" si="65"/>
        <v>66.705882352941174</v>
      </c>
      <c r="AE77" s="489"/>
      <c r="AF77" s="491"/>
      <c r="AG77" s="540"/>
    </row>
    <row r="78" spans="1:33" s="62" customFormat="1" ht="15">
      <c r="A78" s="528"/>
      <c r="B78" s="530"/>
      <c r="C78" s="533"/>
      <c r="D78" s="100" t="str">
        <f>B76&amp;"C"</f>
        <v>181910165C</v>
      </c>
      <c r="E78" s="111" t="s">
        <v>151</v>
      </c>
      <c r="F78" s="112" t="str">
        <f t="shared" ref="F78:V78" si="67">IFERROR(VLOOKUP(F76,$AI$8:$AJ$14,2,TRUE),"")</f>
        <v>C</v>
      </c>
      <c r="G78" s="113" t="str">
        <f t="shared" si="67"/>
        <v>C</v>
      </c>
      <c r="H78" s="113" t="str">
        <f t="shared" si="67"/>
        <v>C</v>
      </c>
      <c r="I78" s="113" t="str">
        <f t="shared" si="67"/>
        <v>C</v>
      </c>
      <c r="J78" s="113" t="str">
        <f t="shared" si="67"/>
        <v>D</v>
      </c>
      <c r="K78" s="113" t="str">
        <f t="shared" si="67"/>
        <v>C</v>
      </c>
      <c r="L78" s="113" t="str">
        <f t="shared" si="67"/>
        <v>C</v>
      </c>
      <c r="M78" s="113" t="str">
        <f t="shared" si="67"/>
        <v>C</v>
      </c>
      <c r="N78" s="113" t="str">
        <f t="shared" si="67"/>
        <v>D</v>
      </c>
      <c r="O78" s="113" t="str">
        <f t="shared" si="67"/>
        <v>D</v>
      </c>
      <c r="P78" s="113" t="str">
        <f t="shared" si="67"/>
        <v>C</v>
      </c>
      <c r="Q78" s="113" t="str">
        <f t="shared" si="67"/>
        <v>C</v>
      </c>
      <c r="R78" s="113" t="str">
        <f t="shared" si="67"/>
        <v>C</v>
      </c>
      <c r="S78" s="113" t="str">
        <f t="shared" si="67"/>
        <v>D</v>
      </c>
      <c r="T78" s="113" t="str">
        <f t="shared" si="67"/>
        <v>D</v>
      </c>
      <c r="U78" s="113" t="str">
        <f t="shared" si="67"/>
        <v>D</v>
      </c>
      <c r="V78" s="114" t="str">
        <f t="shared" si="67"/>
        <v>B</v>
      </c>
      <c r="W78" s="507"/>
      <c r="X78" s="507"/>
      <c r="Y78" s="504"/>
      <c r="Z78" s="494"/>
      <c r="AA78" s="499"/>
      <c r="AB78" s="104" t="s">
        <v>36</v>
      </c>
      <c r="AC78" s="105" t="s">
        <v>36</v>
      </c>
      <c r="AD78" s="496">
        <f>SUM(F76:V77)</f>
        <v>2221</v>
      </c>
      <c r="AE78" s="489"/>
      <c r="AF78" s="491"/>
      <c r="AG78" s="540"/>
    </row>
    <row r="79" spans="1:33" s="62" customFormat="1" ht="15">
      <c r="A79" s="535"/>
      <c r="B79" s="130"/>
      <c r="C79" s="131"/>
      <c r="D79" s="100" t="str">
        <f>B76&amp;"D"</f>
        <v>181910165D</v>
      </c>
      <c r="E79" s="117" t="s">
        <v>152</v>
      </c>
      <c r="F79" s="118" t="str">
        <f t="shared" ref="F79:V79" si="68">IFERROR(VLOOKUP(F77,$AI$8:$AJ$14,2,TRUE),"")</f>
        <v>C</v>
      </c>
      <c r="G79" s="119" t="str">
        <f t="shared" si="68"/>
        <v>C</v>
      </c>
      <c r="H79" s="119" t="str">
        <f t="shared" si="68"/>
        <v>C</v>
      </c>
      <c r="I79" s="119" t="str">
        <f t="shared" si="68"/>
        <v>C</v>
      </c>
      <c r="J79" s="119" t="str">
        <f t="shared" si="68"/>
        <v>D</v>
      </c>
      <c r="K79" s="119" t="str">
        <f t="shared" si="68"/>
        <v>C</v>
      </c>
      <c r="L79" s="119" t="str">
        <f t="shared" si="68"/>
        <v>D</v>
      </c>
      <c r="M79" s="119" t="str">
        <f t="shared" si="68"/>
        <v>D</v>
      </c>
      <c r="N79" s="119" t="str">
        <f t="shared" si="68"/>
        <v>B</v>
      </c>
      <c r="O79" s="119" t="str">
        <f t="shared" si="68"/>
        <v>D</v>
      </c>
      <c r="P79" s="119" t="str">
        <f t="shared" si="68"/>
        <v>C</v>
      </c>
      <c r="Q79" s="119" t="str">
        <f t="shared" si="68"/>
        <v>C</v>
      </c>
      <c r="R79" s="119" t="str">
        <f t="shared" si="68"/>
        <v>C</v>
      </c>
      <c r="S79" s="119" t="str">
        <f t="shared" si="68"/>
        <v>A</v>
      </c>
      <c r="T79" s="119" t="str">
        <f t="shared" si="68"/>
        <v>D</v>
      </c>
      <c r="U79" s="119" t="str">
        <f t="shared" si="68"/>
        <v>D</v>
      </c>
      <c r="V79" s="120" t="str">
        <f t="shared" si="68"/>
        <v>B</v>
      </c>
      <c r="W79" s="508"/>
      <c r="X79" s="508"/>
      <c r="Y79" s="505"/>
      <c r="Z79" s="495"/>
      <c r="AA79" s="500"/>
      <c r="AB79" s="121" t="s">
        <v>36</v>
      </c>
      <c r="AC79" s="122" t="s">
        <v>36</v>
      </c>
      <c r="AD79" s="497"/>
      <c r="AE79" s="489"/>
      <c r="AF79" s="492"/>
      <c r="AG79" s="541"/>
    </row>
    <row r="80" spans="1:33" s="62" customFormat="1" ht="15">
      <c r="A80" s="527">
        <v>19</v>
      </c>
      <c r="B80" s="530" t="str">
        <f>VLOOKUP(A80,biononis,2,1)</f>
        <v>181910185</v>
      </c>
      <c r="C80" s="533" t="str">
        <f>VLOOKUP(A80,biononis,3,1)</f>
        <v>JIHAD AKBAR</v>
      </c>
      <c r="D80" s="100" t="str">
        <f>B80&amp;"A"</f>
        <v>181910185A</v>
      </c>
      <c r="E80" s="89" t="s">
        <v>262</v>
      </c>
      <c r="F80" s="123">
        <v>57</v>
      </c>
      <c r="G80" s="124">
        <v>65</v>
      </c>
      <c r="H80" s="124">
        <v>67</v>
      </c>
      <c r="I80" s="124">
        <v>48</v>
      </c>
      <c r="J80" s="124">
        <v>20</v>
      </c>
      <c r="K80" s="124">
        <v>40</v>
      </c>
      <c r="L80" s="124">
        <v>71</v>
      </c>
      <c r="M80" s="124">
        <v>77</v>
      </c>
      <c r="N80" s="124">
        <v>20</v>
      </c>
      <c r="O80" s="124">
        <v>45</v>
      </c>
      <c r="P80" s="124">
        <v>70</v>
      </c>
      <c r="Q80" s="124">
        <v>38</v>
      </c>
      <c r="R80" s="124">
        <v>60</v>
      </c>
      <c r="S80" s="124">
        <v>50</v>
      </c>
      <c r="T80" s="124">
        <v>59</v>
      </c>
      <c r="U80" s="124">
        <v>30</v>
      </c>
      <c r="V80" s="124">
        <v>75</v>
      </c>
      <c r="W80" s="506" t="s">
        <v>18</v>
      </c>
      <c r="X80" s="506" t="s">
        <v>6</v>
      </c>
      <c r="Y80" s="503">
        <v>0</v>
      </c>
      <c r="Z80" s="493"/>
      <c r="AA80" s="498"/>
      <c r="AB80" s="93" t="s">
        <v>180</v>
      </c>
      <c r="AC80" s="94" t="s">
        <v>36</v>
      </c>
      <c r="AD80" s="95">
        <f t="shared" ref="AD80:AD81" si="69">IFERROR(AVERAGE(F80:V80),"")</f>
        <v>52.470588235294116</v>
      </c>
      <c r="AE80" s="489">
        <f t="shared" ref="AE80" si="70">IFERROR((AD80+AD81)/2,"")</f>
        <v>54.705882352941174</v>
      </c>
      <c r="AF80" s="490">
        <f>IFERROR(RANK(AE80,$AE$8:$AE$167,0),"")</f>
        <v>26</v>
      </c>
      <c r="AG80" s="539" t="s">
        <v>285</v>
      </c>
    </row>
    <row r="81" spans="1:33" s="62" customFormat="1" ht="15">
      <c r="A81" s="528"/>
      <c r="B81" s="530"/>
      <c r="C81" s="533"/>
      <c r="D81" s="100" t="str">
        <f>B80&amp;"B"</f>
        <v>181910185B</v>
      </c>
      <c r="E81" s="101" t="s">
        <v>263</v>
      </c>
      <c r="F81" s="126">
        <v>70</v>
      </c>
      <c r="G81" s="102">
        <v>70</v>
      </c>
      <c r="H81" s="102">
        <v>68</v>
      </c>
      <c r="I81" s="102">
        <v>45</v>
      </c>
      <c r="J81" s="102">
        <v>25</v>
      </c>
      <c r="K81" s="102">
        <v>30</v>
      </c>
      <c r="L81" s="102">
        <v>53</v>
      </c>
      <c r="M81" s="102">
        <v>74</v>
      </c>
      <c r="N81" s="102">
        <v>79</v>
      </c>
      <c r="O81" s="102">
        <v>38</v>
      </c>
      <c r="P81" s="102">
        <v>70</v>
      </c>
      <c r="Q81" s="102">
        <v>75</v>
      </c>
      <c r="R81" s="102">
        <v>60</v>
      </c>
      <c r="S81" s="102">
        <v>52</v>
      </c>
      <c r="T81" s="102">
        <v>26</v>
      </c>
      <c r="U81" s="102">
        <v>60</v>
      </c>
      <c r="V81" s="102">
        <v>73</v>
      </c>
      <c r="W81" s="507"/>
      <c r="X81" s="507"/>
      <c r="Y81" s="504"/>
      <c r="Z81" s="494"/>
      <c r="AA81" s="499"/>
      <c r="AB81" s="104" t="s">
        <v>36</v>
      </c>
      <c r="AC81" s="105" t="s">
        <v>36</v>
      </c>
      <c r="AD81" s="106">
        <f t="shared" si="69"/>
        <v>56.941176470588232</v>
      </c>
      <c r="AE81" s="489"/>
      <c r="AF81" s="491"/>
      <c r="AG81" s="540"/>
    </row>
    <row r="82" spans="1:33" s="62" customFormat="1" ht="15">
      <c r="A82" s="528"/>
      <c r="B82" s="530"/>
      <c r="C82" s="533"/>
      <c r="D82" s="100" t="str">
        <f>B80&amp;"C"</f>
        <v>181910185C</v>
      </c>
      <c r="E82" s="111" t="s">
        <v>151</v>
      </c>
      <c r="F82" s="112" t="str">
        <f t="shared" ref="F82:V82" si="71">IFERROR(VLOOKUP(F80,$AI$8:$AJ$14,2,TRUE),"")</f>
        <v>D</v>
      </c>
      <c r="G82" s="113" t="str">
        <f t="shared" si="71"/>
        <v>D</v>
      </c>
      <c r="H82" s="113" t="str">
        <f t="shared" si="71"/>
        <v>D</v>
      </c>
      <c r="I82" s="113" t="str">
        <f t="shared" si="71"/>
        <v>D</v>
      </c>
      <c r="J82" s="113" t="str">
        <f t="shared" si="71"/>
        <v>D</v>
      </c>
      <c r="K82" s="113" t="str">
        <f t="shared" si="71"/>
        <v>D</v>
      </c>
      <c r="L82" s="113" t="str">
        <f t="shared" si="71"/>
        <v>C</v>
      </c>
      <c r="M82" s="113" t="str">
        <f t="shared" si="71"/>
        <v>C</v>
      </c>
      <c r="N82" s="113" t="str">
        <f t="shared" si="71"/>
        <v>D</v>
      </c>
      <c r="O82" s="113" t="str">
        <f t="shared" si="71"/>
        <v>D</v>
      </c>
      <c r="P82" s="113" t="str">
        <f t="shared" si="71"/>
        <v>C</v>
      </c>
      <c r="Q82" s="113" t="str">
        <f t="shared" si="71"/>
        <v>D</v>
      </c>
      <c r="R82" s="113" t="str">
        <f t="shared" si="71"/>
        <v>D</v>
      </c>
      <c r="S82" s="113" t="str">
        <f t="shared" si="71"/>
        <v>D</v>
      </c>
      <c r="T82" s="113" t="str">
        <f t="shared" si="71"/>
        <v>D</v>
      </c>
      <c r="U82" s="113" t="str">
        <f t="shared" si="71"/>
        <v>D</v>
      </c>
      <c r="V82" s="114" t="str">
        <f t="shared" si="71"/>
        <v>C</v>
      </c>
      <c r="W82" s="507"/>
      <c r="X82" s="507"/>
      <c r="Y82" s="504"/>
      <c r="Z82" s="494"/>
      <c r="AA82" s="499"/>
      <c r="AB82" s="104" t="s">
        <v>36</v>
      </c>
      <c r="AC82" s="105" t="s">
        <v>36</v>
      </c>
      <c r="AD82" s="496">
        <f>SUM(F80:V81)</f>
        <v>1860</v>
      </c>
      <c r="AE82" s="489"/>
      <c r="AF82" s="491"/>
      <c r="AG82" s="540"/>
    </row>
    <row r="83" spans="1:33" s="62" customFormat="1" ht="15">
      <c r="A83" s="529"/>
      <c r="B83" s="115"/>
      <c r="C83" s="116"/>
      <c r="D83" s="100" t="str">
        <f>B80&amp;"D"</f>
        <v>181910185D</v>
      </c>
      <c r="E83" s="117" t="s">
        <v>152</v>
      </c>
      <c r="F83" s="118" t="str">
        <f t="shared" ref="F83:V83" si="72">IFERROR(VLOOKUP(F81,$AI$8:$AJ$14,2,TRUE),"")</f>
        <v>C</v>
      </c>
      <c r="G83" s="119" t="str">
        <f t="shared" si="72"/>
        <v>C</v>
      </c>
      <c r="H83" s="119" t="str">
        <f t="shared" si="72"/>
        <v>D</v>
      </c>
      <c r="I83" s="119" t="str">
        <f t="shared" si="72"/>
        <v>D</v>
      </c>
      <c r="J83" s="119" t="str">
        <f t="shared" si="72"/>
        <v>D</v>
      </c>
      <c r="K83" s="119" t="str">
        <f t="shared" si="72"/>
        <v>D</v>
      </c>
      <c r="L83" s="119" t="str">
        <f t="shared" si="72"/>
        <v>D</v>
      </c>
      <c r="M83" s="119" t="str">
        <f t="shared" si="72"/>
        <v>C</v>
      </c>
      <c r="N83" s="119" t="str">
        <f t="shared" si="72"/>
        <v>C</v>
      </c>
      <c r="O83" s="119" t="str">
        <f t="shared" si="72"/>
        <v>D</v>
      </c>
      <c r="P83" s="119" t="str">
        <f t="shared" si="72"/>
        <v>C</v>
      </c>
      <c r="Q83" s="119" t="str">
        <f t="shared" si="72"/>
        <v>C</v>
      </c>
      <c r="R83" s="119" t="str">
        <f t="shared" si="72"/>
        <v>D</v>
      </c>
      <c r="S83" s="119" t="str">
        <f t="shared" si="72"/>
        <v>D</v>
      </c>
      <c r="T83" s="119" t="str">
        <f t="shared" si="72"/>
        <v>D</v>
      </c>
      <c r="U83" s="119" t="str">
        <f t="shared" si="72"/>
        <v>D</v>
      </c>
      <c r="V83" s="120" t="str">
        <f t="shared" si="72"/>
        <v>C</v>
      </c>
      <c r="W83" s="508"/>
      <c r="X83" s="508"/>
      <c r="Y83" s="505"/>
      <c r="Z83" s="495"/>
      <c r="AA83" s="500"/>
      <c r="AB83" s="121" t="s">
        <v>36</v>
      </c>
      <c r="AC83" s="122" t="s">
        <v>36</v>
      </c>
      <c r="AD83" s="497"/>
      <c r="AE83" s="489"/>
      <c r="AF83" s="492"/>
      <c r="AG83" s="541"/>
    </row>
    <row r="84" spans="1:33" s="62" customFormat="1" ht="15">
      <c r="A84" s="534">
        <v>20</v>
      </c>
      <c r="B84" s="531" t="str">
        <f>VLOOKUP(A84,biononis,2,1)</f>
        <v>181910226</v>
      </c>
      <c r="C84" s="532" t="str">
        <f>VLOOKUP(A84,biononis,3,1)</f>
        <v>MUHAMAD IZZAZUL FIKRIAN</v>
      </c>
      <c r="D84" s="100" t="str">
        <f>B84&amp;"A"</f>
        <v>181910226A</v>
      </c>
      <c r="E84" s="89" t="s">
        <v>262</v>
      </c>
      <c r="F84" s="123">
        <v>70</v>
      </c>
      <c r="G84" s="124">
        <v>72</v>
      </c>
      <c r="H84" s="124">
        <v>66</v>
      </c>
      <c r="I84" s="124">
        <v>65</v>
      </c>
      <c r="J84" s="124">
        <v>50</v>
      </c>
      <c r="K84" s="124">
        <v>73</v>
      </c>
      <c r="L84" s="124">
        <v>75</v>
      </c>
      <c r="M84" s="124">
        <v>80</v>
      </c>
      <c r="N84" s="124">
        <v>30</v>
      </c>
      <c r="O84" s="124">
        <v>46</v>
      </c>
      <c r="P84" s="124">
        <v>80</v>
      </c>
      <c r="Q84" s="124">
        <v>35</v>
      </c>
      <c r="R84" s="124">
        <v>72</v>
      </c>
      <c r="S84" s="124">
        <v>47</v>
      </c>
      <c r="T84" s="124">
        <v>61</v>
      </c>
      <c r="U84" s="124">
        <v>20</v>
      </c>
      <c r="V84" s="124">
        <v>83</v>
      </c>
      <c r="W84" s="506" t="s">
        <v>18</v>
      </c>
      <c r="X84" s="506" t="s">
        <v>6</v>
      </c>
      <c r="Y84" s="503">
        <v>8</v>
      </c>
      <c r="Z84" s="493"/>
      <c r="AA84" s="498"/>
      <c r="AB84" s="93" t="s">
        <v>180</v>
      </c>
      <c r="AC84" s="94" t="s">
        <v>36</v>
      </c>
      <c r="AD84" s="95">
        <f t="shared" ref="AD84:AD85" si="73">IFERROR(AVERAGE(F84:V84),"")</f>
        <v>60.294117647058826</v>
      </c>
      <c r="AE84" s="489">
        <f t="shared" ref="AE84" si="74">IFERROR((AD84+AD85)/2,"")</f>
        <v>63.088235294117645</v>
      </c>
      <c r="AF84" s="490">
        <f>IFERROR(RANK(AE84,$AE$8:$AE$167,0),"")</f>
        <v>19</v>
      </c>
      <c r="AG84" s="539" t="s">
        <v>282</v>
      </c>
    </row>
    <row r="85" spans="1:33" s="62" customFormat="1" ht="15">
      <c r="A85" s="528"/>
      <c r="B85" s="530"/>
      <c r="C85" s="533"/>
      <c r="D85" s="100" t="str">
        <f>B84&amp;"B"</f>
        <v>181910226B</v>
      </c>
      <c r="E85" s="101" t="s">
        <v>263</v>
      </c>
      <c r="F85" s="126">
        <v>75</v>
      </c>
      <c r="G85" s="102">
        <v>75</v>
      </c>
      <c r="H85" s="102">
        <v>66</v>
      </c>
      <c r="I85" s="102">
        <v>65</v>
      </c>
      <c r="J85" s="102">
        <v>60</v>
      </c>
      <c r="K85" s="102">
        <v>70</v>
      </c>
      <c r="L85" s="102">
        <v>75</v>
      </c>
      <c r="M85" s="102">
        <v>66</v>
      </c>
      <c r="N85" s="102">
        <v>30</v>
      </c>
      <c r="O85" s="102">
        <v>80</v>
      </c>
      <c r="P85" s="102">
        <v>80</v>
      </c>
      <c r="Q85" s="102">
        <v>70</v>
      </c>
      <c r="R85" s="102">
        <v>72</v>
      </c>
      <c r="S85" s="102">
        <v>80</v>
      </c>
      <c r="T85" s="102">
        <v>26</v>
      </c>
      <c r="U85" s="102">
        <v>50</v>
      </c>
      <c r="V85" s="102">
        <v>80</v>
      </c>
      <c r="W85" s="507"/>
      <c r="X85" s="507"/>
      <c r="Y85" s="504"/>
      <c r="Z85" s="494"/>
      <c r="AA85" s="499"/>
      <c r="AB85" s="104" t="s">
        <v>36</v>
      </c>
      <c r="AC85" s="105" t="s">
        <v>36</v>
      </c>
      <c r="AD85" s="106">
        <f t="shared" si="73"/>
        <v>65.882352941176464</v>
      </c>
      <c r="AE85" s="489"/>
      <c r="AF85" s="491"/>
      <c r="AG85" s="540"/>
    </row>
    <row r="86" spans="1:33" s="62" customFormat="1" ht="15">
      <c r="A86" s="528"/>
      <c r="B86" s="530"/>
      <c r="C86" s="533"/>
      <c r="D86" s="100" t="str">
        <f>B84&amp;"C"</f>
        <v>181910226C</v>
      </c>
      <c r="E86" s="111" t="s">
        <v>151</v>
      </c>
      <c r="F86" s="112" t="str">
        <f t="shared" ref="F86:V86" si="75">IFERROR(VLOOKUP(F84,$AI$8:$AJ$14,2,TRUE),"")</f>
        <v>C</v>
      </c>
      <c r="G86" s="113" t="str">
        <f t="shared" si="75"/>
        <v>C</v>
      </c>
      <c r="H86" s="113" t="str">
        <f t="shared" si="75"/>
        <v>D</v>
      </c>
      <c r="I86" s="113" t="str">
        <f t="shared" si="75"/>
        <v>D</v>
      </c>
      <c r="J86" s="113" t="str">
        <f t="shared" si="75"/>
        <v>D</v>
      </c>
      <c r="K86" s="113" t="str">
        <f t="shared" si="75"/>
        <v>C</v>
      </c>
      <c r="L86" s="113" t="str">
        <f t="shared" si="75"/>
        <v>C</v>
      </c>
      <c r="M86" s="113" t="str">
        <f t="shared" si="75"/>
        <v>B</v>
      </c>
      <c r="N86" s="113" t="str">
        <f t="shared" si="75"/>
        <v>D</v>
      </c>
      <c r="O86" s="113" t="str">
        <f t="shared" si="75"/>
        <v>D</v>
      </c>
      <c r="P86" s="113" t="str">
        <f t="shared" si="75"/>
        <v>B</v>
      </c>
      <c r="Q86" s="113" t="str">
        <f t="shared" si="75"/>
        <v>D</v>
      </c>
      <c r="R86" s="113" t="str">
        <f t="shared" si="75"/>
        <v>C</v>
      </c>
      <c r="S86" s="113" t="str">
        <f t="shared" si="75"/>
        <v>D</v>
      </c>
      <c r="T86" s="113" t="str">
        <f t="shared" si="75"/>
        <v>D</v>
      </c>
      <c r="U86" s="113" t="str">
        <f t="shared" si="75"/>
        <v>D</v>
      </c>
      <c r="V86" s="114" t="str">
        <f t="shared" si="75"/>
        <v>B</v>
      </c>
      <c r="W86" s="507"/>
      <c r="X86" s="507"/>
      <c r="Y86" s="504"/>
      <c r="Z86" s="494"/>
      <c r="AA86" s="499"/>
      <c r="AB86" s="104" t="s">
        <v>36</v>
      </c>
      <c r="AC86" s="105" t="s">
        <v>36</v>
      </c>
      <c r="AD86" s="496">
        <f>SUM(F84:V85)</f>
        <v>2145</v>
      </c>
      <c r="AE86" s="489"/>
      <c r="AF86" s="491"/>
      <c r="AG86" s="540"/>
    </row>
    <row r="87" spans="1:33" s="62" customFormat="1" ht="15">
      <c r="A87" s="535"/>
      <c r="B87" s="130"/>
      <c r="C87" s="131"/>
      <c r="D87" s="100" t="str">
        <f>B84&amp;"D"</f>
        <v>181910226D</v>
      </c>
      <c r="E87" s="117" t="s">
        <v>152</v>
      </c>
      <c r="F87" s="118" t="str">
        <f t="shared" ref="F87:V87" si="76">IFERROR(VLOOKUP(F85,$AI$8:$AJ$14,2,TRUE),"")</f>
        <v>C</v>
      </c>
      <c r="G87" s="119" t="str">
        <f t="shared" si="76"/>
        <v>C</v>
      </c>
      <c r="H87" s="119" t="str">
        <f t="shared" si="76"/>
        <v>D</v>
      </c>
      <c r="I87" s="119" t="str">
        <f t="shared" si="76"/>
        <v>D</v>
      </c>
      <c r="J87" s="119" t="str">
        <f t="shared" si="76"/>
        <v>D</v>
      </c>
      <c r="K87" s="119" t="str">
        <f t="shared" si="76"/>
        <v>C</v>
      </c>
      <c r="L87" s="119" t="str">
        <f t="shared" si="76"/>
        <v>C</v>
      </c>
      <c r="M87" s="119" t="str">
        <f t="shared" si="76"/>
        <v>D</v>
      </c>
      <c r="N87" s="119" t="str">
        <f t="shared" si="76"/>
        <v>D</v>
      </c>
      <c r="O87" s="119" t="str">
        <f t="shared" si="76"/>
        <v>B</v>
      </c>
      <c r="P87" s="119" t="str">
        <f t="shared" si="76"/>
        <v>B</v>
      </c>
      <c r="Q87" s="119" t="str">
        <f t="shared" si="76"/>
        <v>C</v>
      </c>
      <c r="R87" s="119" t="str">
        <f t="shared" si="76"/>
        <v>C</v>
      </c>
      <c r="S87" s="119" t="str">
        <f t="shared" si="76"/>
        <v>B</v>
      </c>
      <c r="T87" s="119" t="str">
        <f t="shared" si="76"/>
        <v>D</v>
      </c>
      <c r="U87" s="119" t="str">
        <f t="shared" si="76"/>
        <v>D</v>
      </c>
      <c r="V87" s="120" t="str">
        <f t="shared" si="76"/>
        <v>B</v>
      </c>
      <c r="W87" s="508"/>
      <c r="X87" s="508"/>
      <c r="Y87" s="505"/>
      <c r="Z87" s="495"/>
      <c r="AA87" s="500"/>
      <c r="AB87" s="121" t="s">
        <v>36</v>
      </c>
      <c r="AC87" s="122" t="s">
        <v>36</v>
      </c>
      <c r="AD87" s="497"/>
      <c r="AE87" s="489"/>
      <c r="AF87" s="492"/>
      <c r="AG87" s="541"/>
    </row>
    <row r="88" spans="1:33" s="62" customFormat="1" ht="15">
      <c r="A88" s="527">
        <v>21</v>
      </c>
      <c r="B88" s="530" t="str">
        <f>VLOOKUP(A88,biononis,2,1)</f>
        <v>181910240</v>
      </c>
      <c r="C88" s="533" t="str">
        <f>VLOOKUP(A88,biononis,3,1)</f>
        <v>NESHA RAUDHATUL ZANNAH</v>
      </c>
      <c r="D88" s="100" t="str">
        <f>B88&amp;"A"</f>
        <v>181910240A</v>
      </c>
      <c r="E88" s="89" t="s">
        <v>262</v>
      </c>
      <c r="F88" s="123">
        <v>60</v>
      </c>
      <c r="G88" s="124">
        <v>78</v>
      </c>
      <c r="H88" s="124">
        <v>80</v>
      </c>
      <c r="I88" s="124">
        <v>77</v>
      </c>
      <c r="J88" s="124">
        <v>77</v>
      </c>
      <c r="K88" s="124">
        <v>73</v>
      </c>
      <c r="L88" s="124">
        <v>74</v>
      </c>
      <c r="M88" s="124">
        <v>80</v>
      </c>
      <c r="N88" s="124">
        <v>79</v>
      </c>
      <c r="O88" s="124">
        <v>56</v>
      </c>
      <c r="P88" s="124">
        <v>80</v>
      </c>
      <c r="Q88" s="124">
        <v>70</v>
      </c>
      <c r="R88" s="124">
        <v>78</v>
      </c>
      <c r="S88" s="124">
        <v>53</v>
      </c>
      <c r="T88" s="124">
        <v>71</v>
      </c>
      <c r="U88" s="124">
        <v>35</v>
      </c>
      <c r="V88" s="124">
        <v>83</v>
      </c>
      <c r="W88" s="506" t="s">
        <v>6</v>
      </c>
      <c r="X88" s="506" t="s">
        <v>6</v>
      </c>
      <c r="Y88" s="503"/>
      <c r="Z88" s="493"/>
      <c r="AA88" s="498"/>
      <c r="AB88" s="93" t="s">
        <v>180</v>
      </c>
      <c r="AC88" s="94" t="s">
        <v>36</v>
      </c>
      <c r="AD88" s="95">
        <f t="shared" ref="AD88:AD89" si="77">IFERROR(AVERAGE(F88:V88),"")</f>
        <v>70.82352941176471</v>
      </c>
      <c r="AE88" s="489">
        <f t="shared" ref="AE88" si="78">IFERROR((AD88+AD89)/2,"")</f>
        <v>72.235294117647058</v>
      </c>
      <c r="AF88" s="490">
        <f>IFERROR(RANK(AE88,$AE$8:$AE$167,0),"")</f>
        <v>8</v>
      </c>
      <c r="AG88" s="539" t="s">
        <v>280</v>
      </c>
    </row>
    <row r="89" spans="1:33" s="62" customFormat="1" ht="15">
      <c r="A89" s="528"/>
      <c r="B89" s="530"/>
      <c r="C89" s="533"/>
      <c r="D89" s="100" t="str">
        <f>B88&amp;"B"</f>
        <v>181910240B</v>
      </c>
      <c r="E89" s="101" t="s">
        <v>263</v>
      </c>
      <c r="F89" s="126">
        <v>75</v>
      </c>
      <c r="G89" s="102">
        <v>80</v>
      </c>
      <c r="H89" s="102">
        <v>80</v>
      </c>
      <c r="I89" s="102">
        <v>74</v>
      </c>
      <c r="J89" s="102">
        <v>73</v>
      </c>
      <c r="K89" s="102">
        <v>75</v>
      </c>
      <c r="L89" s="102">
        <v>75</v>
      </c>
      <c r="M89" s="102">
        <v>82</v>
      </c>
      <c r="N89" s="102">
        <v>80</v>
      </c>
      <c r="O89" s="102">
        <v>85</v>
      </c>
      <c r="P89" s="102">
        <v>80</v>
      </c>
      <c r="Q89" s="102">
        <v>75</v>
      </c>
      <c r="R89" s="102">
        <v>75</v>
      </c>
      <c r="S89" s="102">
        <v>50</v>
      </c>
      <c r="T89" s="102">
        <v>53</v>
      </c>
      <c r="U89" s="102">
        <v>60</v>
      </c>
      <c r="V89" s="102">
        <v>80</v>
      </c>
      <c r="W89" s="507"/>
      <c r="X89" s="507"/>
      <c r="Y89" s="504"/>
      <c r="Z89" s="494"/>
      <c r="AA89" s="499"/>
      <c r="AB89" s="104" t="s">
        <v>36</v>
      </c>
      <c r="AC89" s="105" t="s">
        <v>36</v>
      </c>
      <c r="AD89" s="106">
        <f t="shared" si="77"/>
        <v>73.647058823529406</v>
      </c>
      <c r="AE89" s="489"/>
      <c r="AF89" s="491"/>
      <c r="AG89" s="540"/>
    </row>
    <row r="90" spans="1:33" s="62" customFormat="1" ht="15">
      <c r="A90" s="528"/>
      <c r="B90" s="530"/>
      <c r="C90" s="533"/>
      <c r="D90" s="100" t="str">
        <f>B88&amp;"C"</f>
        <v>181910240C</v>
      </c>
      <c r="E90" s="111" t="s">
        <v>151</v>
      </c>
      <c r="F90" s="112" t="str">
        <f t="shared" ref="F90:V90" si="79">IFERROR(VLOOKUP(F88,$AI$8:$AJ$14,2,TRUE),"")</f>
        <v>D</v>
      </c>
      <c r="G90" s="113" t="str">
        <f t="shared" si="79"/>
        <v>C</v>
      </c>
      <c r="H90" s="113" t="str">
        <f t="shared" si="79"/>
        <v>B</v>
      </c>
      <c r="I90" s="113" t="str">
        <f t="shared" si="79"/>
        <v>C</v>
      </c>
      <c r="J90" s="113" t="str">
        <f t="shared" si="79"/>
        <v>C</v>
      </c>
      <c r="K90" s="113" t="str">
        <f t="shared" si="79"/>
        <v>C</v>
      </c>
      <c r="L90" s="113" t="str">
        <f t="shared" si="79"/>
        <v>C</v>
      </c>
      <c r="M90" s="113" t="str">
        <f t="shared" si="79"/>
        <v>B</v>
      </c>
      <c r="N90" s="113" t="str">
        <f t="shared" si="79"/>
        <v>C</v>
      </c>
      <c r="O90" s="113" t="str">
        <f t="shared" si="79"/>
        <v>D</v>
      </c>
      <c r="P90" s="113" t="str">
        <f t="shared" si="79"/>
        <v>B</v>
      </c>
      <c r="Q90" s="113" t="str">
        <f t="shared" si="79"/>
        <v>C</v>
      </c>
      <c r="R90" s="113" t="str">
        <f t="shared" si="79"/>
        <v>C</v>
      </c>
      <c r="S90" s="113" t="str">
        <f t="shared" si="79"/>
        <v>D</v>
      </c>
      <c r="T90" s="113" t="str">
        <f t="shared" si="79"/>
        <v>C</v>
      </c>
      <c r="U90" s="113" t="str">
        <f t="shared" si="79"/>
        <v>D</v>
      </c>
      <c r="V90" s="114" t="str">
        <f t="shared" si="79"/>
        <v>B</v>
      </c>
      <c r="W90" s="507"/>
      <c r="X90" s="507"/>
      <c r="Y90" s="504"/>
      <c r="Z90" s="494"/>
      <c r="AA90" s="499"/>
      <c r="AB90" s="104" t="s">
        <v>36</v>
      </c>
      <c r="AC90" s="105" t="s">
        <v>36</v>
      </c>
      <c r="AD90" s="496">
        <f>SUM(F88:V89)</f>
        <v>2456</v>
      </c>
      <c r="AE90" s="489"/>
      <c r="AF90" s="491"/>
      <c r="AG90" s="540"/>
    </row>
    <row r="91" spans="1:33" s="62" customFormat="1" ht="15">
      <c r="A91" s="529"/>
      <c r="B91" s="115"/>
      <c r="C91" s="116"/>
      <c r="D91" s="100" t="str">
        <f>B88&amp;"D"</f>
        <v>181910240D</v>
      </c>
      <c r="E91" s="117" t="s">
        <v>152</v>
      </c>
      <c r="F91" s="118" t="str">
        <f t="shared" ref="F91:V91" si="80">IFERROR(VLOOKUP(F89,$AI$8:$AJ$14,2,TRUE),"")</f>
        <v>C</v>
      </c>
      <c r="G91" s="119" t="str">
        <f t="shared" si="80"/>
        <v>B</v>
      </c>
      <c r="H91" s="119" t="str">
        <f t="shared" si="80"/>
        <v>B</v>
      </c>
      <c r="I91" s="119" t="str">
        <f t="shared" si="80"/>
        <v>C</v>
      </c>
      <c r="J91" s="119" t="str">
        <f t="shared" si="80"/>
        <v>C</v>
      </c>
      <c r="K91" s="119" t="str">
        <f t="shared" si="80"/>
        <v>C</v>
      </c>
      <c r="L91" s="119" t="str">
        <f t="shared" si="80"/>
        <v>C</v>
      </c>
      <c r="M91" s="119" t="str">
        <f t="shared" si="80"/>
        <v>B</v>
      </c>
      <c r="N91" s="119" t="str">
        <f t="shared" si="80"/>
        <v>B</v>
      </c>
      <c r="O91" s="119" t="str">
        <f t="shared" si="80"/>
        <v>B</v>
      </c>
      <c r="P91" s="119" t="str">
        <f t="shared" si="80"/>
        <v>B</v>
      </c>
      <c r="Q91" s="119" t="str">
        <f t="shared" si="80"/>
        <v>C</v>
      </c>
      <c r="R91" s="119" t="str">
        <f t="shared" si="80"/>
        <v>C</v>
      </c>
      <c r="S91" s="119" t="str">
        <f t="shared" si="80"/>
        <v>D</v>
      </c>
      <c r="T91" s="119" t="str">
        <f t="shared" si="80"/>
        <v>D</v>
      </c>
      <c r="U91" s="119" t="str">
        <f t="shared" si="80"/>
        <v>D</v>
      </c>
      <c r="V91" s="120" t="str">
        <f t="shared" si="80"/>
        <v>B</v>
      </c>
      <c r="W91" s="508"/>
      <c r="X91" s="508"/>
      <c r="Y91" s="505"/>
      <c r="Z91" s="495"/>
      <c r="AA91" s="500"/>
      <c r="AB91" s="121" t="s">
        <v>36</v>
      </c>
      <c r="AC91" s="122" t="s">
        <v>36</v>
      </c>
      <c r="AD91" s="497"/>
      <c r="AE91" s="489"/>
      <c r="AF91" s="492"/>
      <c r="AG91" s="541"/>
    </row>
    <row r="92" spans="1:33" s="62" customFormat="1" ht="15">
      <c r="A92" s="534">
        <v>22</v>
      </c>
      <c r="B92" s="531" t="str">
        <f>VLOOKUP(A92,biononis,2,1)</f>
        <v>181910262</v>
      </c>
      <c r="C92" s="532" t="str">
        <f>VLOOKUP(A92,biononis,3,1)</f>
        <v>PUTRI ANGGRAENI</v>
      </c>
      <c r="D92" s="100" t="str">
        <f>B92&amp;"A"</f>
        <v>181910262A</v>
      </c>
      <c r="E92" s="89" t="s">
        <v>262</v>
      </c>
      <c r="F92" s="123">
        <v>57</v>
      </c>
      <c r="G92" s="124">
        <v>72</v>
      </c>
      <c r="H92" s="124">
        <v>72</v>
      </c>
      <c r="I92" s="124">
        <v>72</v>
      </c>
      <c r="J92" s="124">
        <v>78</v>
      </c>
      <c r="K92" s="124">
        <v>73</v>
      </c>
      <c r="L92" s="124">
        <v>74</v>
      </c>
      <c r="M92" s="124">
        <v>79</v>
      </c>
      <c r="N92" s="124">
        <v>64</v>
      </c>
      <c r="O92" s="124">
        <v>76</v>
      </c>
      <c r="P92" s="124">
        <v>79</v>
      </c>
      <c r="Q92" s="124">
        <v>58</v>
      </c>
      <c r="R92" s="124">
        <v>72</v>
      </c>
      <c r="S92" s="124">
        <v>54</v>
      </c>
      <c r="T92" s="124">
        <v>76</v>
      </c>
      <c r="U92" s="124">
        <v>72</v>
      </c>
      <c r="V92" s="124">
        <v>80</v>
      </c>
      <c r="W92" s="506" t="s">
        <v>18</v>
      </c>
      <c r="X92" s="506" t="s">
        <v>6</v>
      </c>
      <c r="Y92" s="503"/>
      <c r="Z92" s="493"/>
      <c r="AA92" s="498"/>
      <c r="AB92" s="93" t="s">
        <v>180</v>
      </c>
      <c r="AC92" s="94" t="s">
        <v>36</v>
      </c>
      <c r="AD92" s="95">
        <f t="shared" ref="AD92:AD93" si="81">IFERROR(AVERAGE(F92:V92),"")</f>
        <v>71.058823529411768</v>
      </c>
      <c r="AE92" s="489">
        <f t="shared" ref="AE92" si="82">IFERROR((AD92+AD93)/2,"")</f>
        <v>71.623161764705884</v>
      </c>
      <c r="AF92" s="490">
        <f>IFERROR(RANK(AE92,$AE$8:$AE$167,0),"")</f>
        <v>10</v>
      </c>
      <c r="AG92" s="539" t="s">
        <v>280</v>
      </c>
    </row>
    <row r="93" spans="1:33" s="62" customFormat="1" ht="15">
      <c r="A93" s="528"/>
      <c r="B93" s="530"/>
      <c r="C93" s="533"/>
      <c r="D93" s="100" t="str">
        <f>B92&amp;"B"</f>
        <v>181910262B</v>
      </c>
      <c r="E93" s="101" t="s">
        <v>263</v>
      </c>
      <c r="F93" s="126">
        <v>70</v>
      </c>
      <c r="G93" s="102">
        <v>78</v>
      </c>
      <c r="H93" s="102">
        <v>71</v>
      </c>
      <c r="I93" s="102">
        <v>71</v>
      </c>
      <c r="J93" s="102">
        <v>73</v>
      </c>
      <c r="K93" s="102">
        <v>75</v>
      </c>
      <c r="L93" s="102">
        <v>75</v>
      </c>
      <c r="M93" s="102">
        <v>65</v>
      </c>
      <c r="N93" s="102">
        <v>40</v>
      </c>
      <c r="O93" s="102">
        <v>73</v>
      </c>
      <c r="P93" s="102">
        <v>80</v>
      </c>
      <c r="Q93" s="102" t="s">
        <v>433</v>
      </c>
      <c r="R93" s="102">
        <v>70</v>
      </c>
      <c r="S93" s="102">
        <v>84</v>
      </c>
      <c r="T93" s="102">
        <v>80</v>
      </c>
      <c r="U93" s="102">
        <v>70</v>
      </c>
      <c r="V93" s="102">
        <v>80</v>
      </c>
      <c r="W93" s="507"/>
      <c r="X93" s="507"/>
      <c r="Y93" s="504"/>
      <c r="Z93" s="494"/>
      <c r="AA93" s="499"/>
      <c r="AB93" s="104" t="s">
        <v>36</v>
      </c>
      <c r="AC93" s="105" t="s">
        <v>36</v>
      </c>
      <c r="AD93" s="106">
        <f t="shared" si="81"/>
        <v>72.1875</v>
      </c>
      <c r="AE93" s="489"/>
      <c r="AF93" s="491"/>
      <c r="AG93" s="540"/>
    </row>
    <row r="94" spans="1:33" s="62" customFormat="1" ht="15">
      <c r="A94" s="528"/>
      <c r="B94" s="530"/>
      <c r="C94" s="533"/>
      <c r="D94" s="100" t="str">
        <f>B92&amp;"C"</f>
        <v>181910262C</v>
      </c>
      <c r="E94" s="111" t="s">
        <v>151</v>
      </c>
      <c r="F94" s="112" t="str">
        <f t="shared" ref="F94:V94" si="83">IFERROR(VLOOKUP(F92,$AI$8:$AJ$14,2,TRUE),"")</f>
        <v>D</v>
      </c>
      <c r="G94" s="113" t="str">
        <f t="shared" si="83"/>
        <v>C</v>
      </c>
      <c r="H94" s="113" t="str">
        <f t="shared" si="83"/>
        <v>C</v>
      </c>
      <c r="I94" s="113" t="str">
        <f t="shared" si="83"/>
        <v>C</v>
      </c>
      <c r="J94" s="113" t="str">
        <f t="shared" si="83"/>
        <v>C</v>
      </c>
      <c r="K94" s="113" t="str">
        <f t="shared" si="83"/>
        <v>C</v>
      </c>
      <c r="L94" s="113" t="str">
        <f t="shared" si="83"/>
        <v>C</v>
      </c>
      <c r="M94" s="113" t="str">
        <f t="shared" si="83"/>
        <v>C</v>
      </c>
      <c r="N94" s="113" t="str">
        <f t="shared" si="83"/>
        <v>D</v>
      </c>
      <c r="O94" s="113" t="str">
        <f t="shared" si="83"/>
        <v>C</v>
      </c>
      <c r="P94" s="113" t="str">
        <f t="shared" si="83"/>
        <v>C</v>
      </c>
      <c r="Q94" s="113" t="str">
        <f t="shared" si="83"/>
        <v>D</v>
      </c>
      <c r="R94" s="113" t="str">
        <f t="shared" si="83"/>
        <v>C</v>
      </c>
      <c r="S94" s="113" t="str">
        <f t="shared" si="83"/>
        <v>D</v>
      </c>
      <c r="T94" s="113" t="str">
        <f t="shared" si="83"/>
        <v>C</v>
      </c>
      <c r="U94" s="113" t="str">
        <f t="shared" si="83"/>
        <v>C</v>
      </c>
      <c r="V94" s="114" t="str">
        <f t="shared" si="83"/>
        <v>B</v>
      </c>
      <c r="W94" s="507"/>
      <c r="X94" s="507"/>
      <c r="Y94" s="504"/>
      <c r="Z94" s="494"/>
      <c r="AA94" s="499"/>
      <c r="AB94" s="104" t="s">
        <v>36</v>
      </c>
      <c r="AC94" s="105" t="s">
        <v>36</v>
      </c>
      <c r="AD94" s="496">
        <f>SUM(F92:V93)</f>
        <v>2363</v>
      </c>
      <c r="AE94" s="489"/>
      <c r="AF94" s="491"/>
      <c r="AG94" s="540"/>
    </row>
    <row r="95" spans="1:33" s="62" customFormat="1" ht="15">
      <c r="A95" s="535"/>
      <c r="B95" s="130"/>
      <c r="C95" s="131"/>
      <c r="D95" s="100" t="str">
        <f>B92&amp;"D"</f>
        <v>181910262D</v>
      </c>
      <c r="E95" s="117" t="s">
        <v>152</v>
      </c>
      <c r="F95" s="118" t="str">
        <f t="shared" ref="F95:V95" si="84">IFERROR(VLOOKUP(F93,$AI$8:$AJ$14,2,TRUE),"")</f>
        <v>C</v>
      </c>
      <c r="G95" s="119" t="str">
        <f t="shared" si="84"/>
        <v>C</v>
      </c>
      <c r="H95" s="119" t="str">
        <f t="shared" si="84"/>
        <v>C</v>
      </c>
      <c r="I95" s="119" t="str">
        <f t="shared" si="84"/>
        <v>C</v>
      </c>
      <c r="J95" s="119" t="str">
        <f t="shared" si="84"/>
        <v>C</v>
      </c>
      <c r="K95" s="119" t="str">
        <f t="shared" si="84"/>
        <v>C</v>
      </c>
      <c r="L95" s="119" t="str">
        <f t="shared" si="84"/>
        <v>C</v>
      </c>
      <c r="M95" s="119" t="str">
        <f t="shared" si="84"/>
        <v>D</v>
      </c>
      <c r="N95" s="119" t="str">
        <f t="shared" si="84"/>
        <v>D</v>
      </c>
      <c r="O95" s="119" t="str">
        <f t="shared" si="84"/>
        <v>C</v>
      </c>
      <c r="P95" s="119" t="str">
        <f t="shared" si="84"/>
        <v>B</v>
      </c>
      <c r="Q95" s="119" t="str">
        <f t="shared" si="84"/>
        <v>--</v>
      </c>
      <c r="R95" s="119" t="str">
        <f t="shared" si="84"/>
        <v>C</v>
      </c>
      <c r="S95" s="119" t="str">
        <f t="shared" si="84"/>
        <v>B</v>
      </c>
      <c r="T95" s="119" t="str">
        <f t="shared" si="84"/>
        <v>B</v>
      </c>
      <c r="U95" s="119" t="str">
        <f t="shared" si="84"/>
        <v>C</v>
      </c>
      <c r="V95" s="120" t="str">
        <f t="shared" si="84"/>
        <v>B</v>
      </c>
      <c r="W95" s="508"/>
      <c r="X95" s="508"/>
      <c r="Y95" s="505"/>
      <c r="Z95" s="495"/>
      <c r="AA95" s="500"/>
      <c r="AB95" s="121" t="s">
        <v>36</v>
      </c>
      <c r="AC95" s="122" t="s">
        <v>36</v>
      </c>
      <c r="AD95" s="497"/>
      <c r="AE95" s="489"/>
      <c r="AF95" s="492"/>
      <c r="AG95" s="541"/>
    </row>
    <row r="96" spans="1:33" s="62" customFormat="1" ht="15">
      <c r="A96" s="527">
        <v>23</v>
      </c>
      <c r="B96" s="530" t="str">
        <f>VLOOKUP(A96,biononis,2,1)</f>
        <v>181910266</v>
      </c>
      <c r="C96" s="533" t="str">
        <f>VLOOKUP(A96,biononis,3,1)</f>
        <v>PUTRI WULANDARI</v>
      </c>
      <c r="D96" s="100" t="str">
        <f>B96&amp;"A"</f>
        <v>181910266A</v>
      </c>
      <c r="E96" s="89" t="s">
        <v>262</v>
      </c>
      <c r="F96" s="123">
        <v>62</v>
      </c>
      <c r="G96" s="124">
        <v>72</v>
      </c>
      <c r="H96" s="124">
        <v>74</v>
      </c>
      <c r="I96" s="124">
        <v>76</v>
      </c>
      <c r="J96" s="124">
        <v>75</v>
      </c>
      <c r="K96" s="124">
        <v>73</v>
      </c>
      <c r="L96" s="124">
        <v>74</v>
      </c>
      <c r="M96" s="124">
        <v>80</v>
      </c>
      <c r="N96" s="124">
        <v>50</v>
      </c>
      <c r="O96" s="124">
        <v>72</v>
      </c>
      <c r="P96" s="124">
        <v>74</v>
      </c>
      <c r="Q96" s="124">
        <v>86</v>
      </c>
      <c r="R96" s="124">
        <v>72</v>
      </c>
      <c r="S96" s="124">
        <v>61</v>
      </c>
      <c r="T96" s="124">
        <v>79</v>
      </c>
      <c r="U96" s="124">
        <v>20</v>
      </c>
      <c r="V96" s="124">
        <v>83</v>
      </c>
      <c r="W96" s="506" t="s">
        <v>18</v>
      </c>
      <c r="X96" s="506" t="s">
        <v>6</v>
      </c>
      <c r="Y96" s="503"/>
      <c r="Z96" s="493">
        <v>0</v>
      </c>
      <c r="AA96" s="498">
        <v>0</v>
      </c>
      <c r="AB96" s="93" t="s">
        <v>180</v>
      </c>
      <c r="AC96" s="94" t="s">
        <v>36</v>
      </c>
      <c r="AD96" s="95">
        <f t="shared" ref="AD96:AD97" si="85">IFERROR(AVERAGE(F96:V96),"")</f>
        <v>69.588235294117652</v>
      </c>
      <c r="AE96" s="489">
        <f t="shared" ref="AE96" si="86">IFERROR((AD96+AD97)/2,"")</f>
        <v>69.176470588235304</v>
      </c>
      <c r="AF96" s="490">
        <f>IFERROR(RANK(AE96,$AE$8:$AE$167,0),"")</f>
        <v>13</v>
      </c>
      <c r="AG96" s="539" t="s">
        <v>282</v>
      </c>
    </row>
    <row r="97" spans="1:33" s="62" customFormat="1" ht="15">
      <c r="A97" s="528"/>
      <c r="B97" s="530"/>
      <c r="C97" s="533"/>
      <c r="D97" s="100" t="str">
        <f>B96&amp;"B"</f>
        <v>181910266B</v>
      </c>
      <c r="E97" s="101" t="s">
        <v>263</v>
      </c>
      <c r="F97" s="126">
        <v>70</v>
      </c>
      <c r="G97" s="102">
        <v>74</v>
      </c>
      <c r="H97" s="102">
        <v>73</v>
      </c>
      <c r="I97" s="102">
        <v>70</v>
      </c>
      <c r="J97" s="102">
        <v>73</v>
      </c>
      <c r="K97" s="102">
        <v>75</v>
      </c>
      <c r="L97" s="102">
        <v>75</v>
      </c>
      <c r="M97" s="102">
        <v>82</v>
      </c>
      <c r="N97" s="102">
        <v>45</v>
      </c>
      <c r="O97" s="102">
        <v>75</v>
      </c>
      <c r="P97" s="102">
        <v>78</v>
      </c>
      <c r="Q97" s="102">
        <v>80</v>
      </c>
      <c r="R97" s="102">
        <v>74</v>
      </c>
      <c r="S97" s="102">
        <v>50</v>
      </c>
      <c r="T97" s="102">
        <v>55</v>
      </c>
      <c r="U97" s="102">
        <v>40</v>
      </c>
      <c r="V97" s="102">
        <v>80</v>
      </c>
      <c r="W97" s="507"/>
      <c r="X97" s="507"/>
      <c r="Y97" s="504"/>
      <c r="Z97" s="494"/>
      <c r="AA97" s="499"/>
      <c r="AB97" s="104" t="s">
        <v>36</v>
      </c>
      <c r="AC97" s="105" t="s">
        <v>36</v>
      </c>
      <c r="AD97" s="106">
        <f t="shared" si="85"/>
        <v>68.764705882352942</v>
      </c>
      <c r="AE97" s="489"/>
      <c r="AF97" s="491"/>
      <c r="AG97" s="540"/>
    </row>
    <row r="98" spans="1:33" s="62" customFormat="1" ht="15">
      <c r="A98" s="528"/>
      <c r="B98" s="530"/>
      <c r="C98" s="533"/>
      <c r="D98" s="100" t="str">
        <f>B96&amp;"C"</f>
        <v>181910266C</v>
      </c>
      <c r="E98" s="111" t="s">
        <v>151</v>
      </c>
      <c r="F98" s="112" t="str">
        <f t="shared" ref="F98:V98" si="87">IFERROR(VLOOKUP(F96,$AI$8:$AJ$14,2,TRUE),"")</f>
        <v>D</v>
      </c>
      <c r="G98" s="113" t="str">
        <f t="shared" si="87"/>
        <v>C</v>
      </c>
      <c r="H98" s="113" t="str">
        <f t="shared" si="87"/>
        <v>C</v>
      </c>
      <c r="I98" s="113" t="str">
        <f t="shared" si="87"/>
        <v>C</v>
      </c>
      <c r="J98" s="113" t="str">
        <f t="shared" si="87"/>
        <v>C</v>
      </c>
      <c r="K98" s="113" t="str">
        <f t="shared" si="87"/>
        <v>C</v>
      </c>
      <c r="L98" s="113" t="str">
        <f t="shared" si="87"/>
        <v>C</v>
      </c>
      <c r="M98" s="113" t="str">
        <f t="shared" si="87"/>
        <v>B</v>
      </c>
      <c r="N98" s="113" t="str">
        <f t="shared" si="87"/>
        <v>D</v>
      </c>
      <c r="O98" s="113" t="str">
        <f t="shared" si="87"/>
        <v>C</v>
      </c>
      <c r="P98" s="113" t="str">
        <f t="shared" si="87"/>
        <v>C</v>
      </c>
      <c r="Q98" s="113" t="str">
        <f t="shared" si="87"/>
        <v>B</v>
      </c>
      <c r="R98" s="113" t="str">
        <f t="shared" si="87"/>
        <v>C</v>
      </c>
      <c r="S98" s="113" t="str">
        <f t="shared" si="87"/>
        <v>D</v>
      </c>
      <c r="T98" s="113" t="str">
        <f t="shared" si="87"/>
        <v>C</v>
      </c>
      <c r="U98" s="113" t="str">
        <f t="shared" si="87"/>
        <v>D</v>
      </c>
      <c r="V98" s="114" t="str">
        <f t="shared" si="87"/>
        <v>B</v>
      </c>
      <c r="W98" s="507"/>
      <c r="X98" s="507"/>
      <c r="Y98" s="504"/>
      <c r="Z98" s="494"/>
      <c r="AA98" s="499"/>
      <c r="AB98" s="104" t="s">
        <v>36</v>
      </c>
      <c r="AC98" s="105" t="s">
        <v>36</v>
      </c>
      <c r="AD98" s="496">
        <f>SUM(F96:V97)</f>
        <v>2352</v>
      </c>
      <c r="AE98" s="489"/>
      <c r="AF98" s="491"/>
      <c r="AG98" s="540"/>
    </row>
    <row r="99" spans="1:33" s="62" customFormat="1" ht="15">
      <c r="A99" s="529"/>
      <c r="B99" s="115"/>
      <c r="C99" s="116"/>
      <c r="D99" s="100" t="str">
        <f>B96&amp;"D"</f>
        <v>181910266D</v>
      </c>
      <c r="E99" s="117" t="s">
        <v>152</v>
      </c>
      <c r="F99" s="118" t="str">
        <f t="shared" ref="F99:V99" si="88">IFERROR(VLOOKUP(F97,$AI$8:$AJ$14,2,TRUE),"")</f>
        <v>C</v>
      </c>
      <c r="G99" s="119" t="str">
        <f t="shared" si="88"/>
        <v>C</v>
      </c>
      <c r="H99" s="119" t="str">
        <f t="shared" si="88"/>
        <v>C</v>
      </c>
      <c r="I99" s="119" t="str">
        <f t="shared" si="88"/>
        <v>C</v>
      </c>
      <c r="J99" s="119" t="str">
        <f t="shared" si="88"/>
        <v>C</v>
      </c>
      <c r="K99" s="119" t="str">
        <f t="shared" si="88"/>
        <v>C</v>
      </c>
      <c r="L99" s="119" t="str">
        <f t="shared" si="88"/>
        <v>C</v>
      </c>
      <c r="M99" s="119" t="str">
        <f t="shared" si="88"/>
        <v>B</v>
      </c>
      <c r="N99" s="119" t="str">
        <f t="shared" si="88"/>
        <v>D</v>
      </c>
      <c r="O99" s="119" t="str">
        <f t="shared" si="88"/>
        <v>C</v>
      </c>
      <c r="P99" s="119" t="str">
        <f t="shared" si="88"/>
        <v>C</v>
      </c>
      <c r="Q99" s="119" t="str">
        <f t="shared" si="88"/>
        <v>B</v>
      </c>
      <c r="R99" s="119" t="str">
        <f t="shared" si="88"/>
        <v>C</v>
      </c>
      <c r="S99" s="119" t="str">
        <f t="shared" si="88"/>
        <v>D</v>
      </c>
      <c r="T99" s="119" t="str">
        <f t="shared" si="88"/>
        <v>D</v>
      </c>
      <c r="U99" s="119" t="str">
        <f t="shared" si="88"/>
        <v>D</v>
      </c>
      <c r="V99" s="120" t="str">
        <f t="shared" si="88"/>
        <v>B</v>
      </c>
      <c r="W99" s="508"/>
      <c r="X99" s="508"/>
      <c r="Y99" s="505"/>
      <c r="Z99" s="495"/>
      <c r="AA99" s="500"/>
      <c r="AB99" s="121" t="s">
        <v>36</v>
      </c>
      <c r="AC99" s="122" t="s">
        <v>36</v>
      </c>
      <c r="AD99" s="497"/>
      <c r="AE99" s="489"/>
      <c r="AF99" s="492"/>
      <c r="AG99" s="541"/>
    </row>
    <row r="100" spans="1:33" s="62" customFormat="1" ht="15">
      <c r="A100" s="534">
        <v>24</v>
      </c>
      <c r="B100" s="531" t="str">
        <f>VLOOKUP(A100,biononis,2,1)</f>
        <v>181910272</v>
      </c>
      <c r="C100" s="532" t="str">
        <f>VLOOKUP(A100,biononis,3,1)</f>
        <v>RAFLY GYMNASTIAR</v>
      </c>
      <c r="D100" s="100" t="str">
        <f>B100&amp;"A"</f>
        <v>181910272A</v>
      </c>
      <c r="E100" s="89" t="s">
        <v>262</v>
      </c>
      <c r="F100" s="123">
        <v>50</v>
      </c>
      <c r="G100" s="124">
        <v>18</v>
      </c>
      <c r="H100" s="124">
        <v>70</v>
      </c>
      <c r="I100" s="124">
        <v>42</v>
      </c>
      <c r="J100" s="124">
        <v>25</v>
      </c>
      <c r="K100" s="124">
        <v>40</v>
      </c>
      <c r="L100" s="124">
        <v>72</v>
      </c>
      <c r="M100" s="124">
        <v>60</v>
      </c>
      <c r="N100" s="124">
        <v>20</v>
      </c>
      <c r="O100" s="124">
        <v>18</v>
      </c>
      <c r="P100" s="124">
        <v>60</v>
      </c>
      <c r="Q100" s="124">
        <v>10</v>
      </c>
      <c r="R100" s="124">
        <v>72</v>
      </c>
      <c r="S100" s="124">
        <v>51</v>
      </c>
      <c r="T100" s="124">
        <v>14</v>
      </c>
      <c r="U100" s="124">
        <v>30</v>
      </c>
      <c r="V100" s="124">
        <v>78</v>
      </c>
      <c r="W100" s="506" t="s">
        <v>18</v>
      </c>
      <c r="X100" s="506" t="s">
        <v>6</v>
      </c>
      <c r="Y100" s="503"/>
      <c r="Z100" s="493">
        <v>0</v>
      </c>
      <c r="AA100" s="498"/>
      <c r="AB100" s="93" t="s">
        <v>180</v>
      </c>
      <c r="AC100" s="94" t="s">
        <v>36</v>
      </c>
      <c r="AD100" s="95">
        <f t="shared" ref="AD100:AD101" si="89">IFERROR(AVERAGE(F100:V100),"")</f>
        <v>42.941176470588232</v>
      </c>
      <c r="AE100" s="489">
        <f t="shared" ref="AE100" si="90">IFERROR((AD100+AD101)/2,"")</f>
        <v>43.735294117647058</v>
      </c>
      <c r="AF100" s="490">
        <f>IFERROR(RANK(AE100,$AE$8:$AE$167,0),"")</f>
        <v>34</v>
      </c>
      <c r="AG100" s="539" t="s">
        <v>285</v>
      </c>
    </row>
    <row r="101" spans="1:33" s="62" customFormat="1" ht="15">
      <c r="A101" s="528"/>
      <c r="B101" s="530"/>
      <c r="C101" s="533"/>
      <c r="D101" s="100" t="str">
        <f>B100&amp;"B"</f>
        <v>181910272B</v>
      </c>
      <c r="E101" s="101" t="s">
        <v>263</v>
      </c>
      <c r="F101" s="126">
        <v>70</v>
      </c>
      <c r="G101" s="102">
        <v>20</v>
      </c>
      <c r="H101" s="102">
        <v>70</v>
      </c>
      <c r="I101" s="102">
        <v>45</v>
      </c>
      <c r="J101" s="102">
        <v>25</v>
      </c>
      <c r="K101" s="102">
        <v>30</v>
      </c>
      <c r="L101" s="102">
        <v>50</v>
      </c>
      <c r="M101" s="102">
        <v>55</v>
      </c>
      <c r="N101" s="102">
        <v>20</v>
      </c>
      <c r="O101" s="102">
        <v>0</v>
      </c>
      <c r="P101" s="102">
        <v>70</v>
      </c>
      <c r="Q101" s="102">
        <v>35</v>
      </c>
      <c r="R101" s="102">
        <v>72</v>
      </c>
      <c r="S101" s="102">
        <v>50</v>
      </c>
      <c r="T101" s="102">
        <v>10</v>
      </c>
      <c r="U101" s="102">
        <v>60</v>
      </c>
      <c r="V101" s="102">
        <v>75</v>
      </c>
      <c r="W101" s="507"/>
      <c r="X101" s="507"/>
      <c r="Y101" s="504"/>
      <c r="Z101" s="494"/>
      <c r="AA101" s="499"/>
      <c r="AB101" s="104" t="s">
        <v>36</v>
      </c>
      <c r="AC101" s="105" t="s">
        <v>36</v>
      </c>
      <c r="AD101" s="106">
        <f t="shared" si="89"/>
        <v>44.529411764705884</v>
      </c>
      <c r="AE101" s="489"/>
      <c r="AF101" s="491"/>
      <c r="AG101" s="540"/>
    </row>
    <row r="102" spans="1:33" s="62" customFormat="1" ht="15">
      <c r="A102" s="528"/>
      <c r="B102" s="530"/>
      <c r="C102" s="533"/>
      <c r="D102" s="100" t="str">
        <f>B100&amp;"C"</f>
        <v>181910272C</v>
      </c>
      <c r="E102" s="111" t="s">
        <v>151</v>
      </c>
      <c r="F102" s="112" t="str">
        <f t="shared" ref="F102:V102" si="91">IFERROR(VLOOKUP(F100,$AI$8:$AJ$14,2,TRUE),"")</f>
        <v>D</v>
      </c>
      <c r="G102" s="113" t="str">
        <f t="shared" si="91"/>
        <v>D</v>
      </c>
      <c r="H102" s="113" t="str">
        <f t="shared" si="91"/>
        <v>C</v>
      </c>
      <c r="I102" s="113" t="str">
        <f t="shared" si="91"/>
        <v>D</v>
      </c>
      <c r="J102" s="113" t="str">
        <f t="shared" si="91"/>
        <v>D</v>
      </c>
      <c r="K102" s="113" t="str">
        <f t="shared" si="91"/>
        <v>D</v>
      </c>
      <c r="L102" s="113" t="str">
        <f t="shared" si="91"/>
        <v>C</v>
      </c>
      <c r="M102" s="113" t="str">
        <f t="shared" si="91"/>
        <v>D</v>
      </c>
      <c r="N102" s="113" t="str">
        <f t="shared" si="91"/>
        <v>D</v>
      </c>
      <c r="O102" s="113" t="str">
        <f t="shared" si="91"/>
        <v>D</v>
      </c>
      <c r="P102" s="113" t="str">
        <f t="shared" si="91"/>
        <v>D</v>
      </c>
      <c r="Q102" s="113" t="str">
        <f t="shared" si="91"/>
        <v>D</v>
      </c>
      <c r="R102" s="113" t="str">
        <f t="shared" si="91"/>
        <v>C</v>
      </c>
      <c r="S102" s="113" t="str">
        <f t="shared" si="91"/>
        <v>D</v>
      </c>
      <c r="T102" s="113" t="str">
        <f t="shared" si="91"/>
        <v>D</v>
      </c>
      <c r="U102" s="113" t="str">
        <f t="shared" si="91"/>
        <v>D</v>
      </c>
      <c r="V102" s="114" t="str">
        <f t="shared" si="91"/>
        <v>C</v>
      </c>
      <c r="W102" s="507"/>
      <c r="X102" s="507"/>
      <c r="Y102" s="504"/>
      <c r="Z102" s="494"/>
      <c r="AA102" s="499"/>
      <c r="AB102" s="104" t="s">
        <v>36</v>
      </c>
      <c r="AC102" s="105" t="s">
        <v>36</v>
      </c>
      <c r="AD102" s="496">
        <f>SUM(F100:V101)</f>
        <v>1487</v>
      </c>
      <c r="AE102" s="489"/>
      <c r="AF102" s="491"/>
      <c r="AG102" s="540"/>
    </row>
    <row r="103" spans="1:33" s="62" customFormat="1" ht="15">
      <c r="A103" s="535"/>
      <c r="B103" s="130"/>
      <c r="C103" s="131"/>
      <c r="D103" s="100" t="str">
        <f>B100&amp;"D"</f>
        <v>181910272D</v>
      </c>
      <c r="E103" s="117" t="s">
        <v>152</v>
      </c>
      <c r="F103" s="118" t="str">
        <f t="shared" ref="F103:V103" si="92">IFERROR(VLOOKUP(F101,$AI$8:$AJ$14,2,TRUE),"")</f>
        <v>C</v>
      </c>
      <c r="G103" s="119" t="str">
        <f t="shared" si="92"/>
        <v>D</v>
      </c>
      <c r="H103" s="119" t="str">
        <f t="shared" si="92"/>
        <v>C</v>
      </c>
      <c r="I103" s="119" t="str">
        <f t="shared" si="92"/>
        <v>D</v>
      </c>
      <c r="J103" s="119" t="str">
        <f t="shared" si="92"/>
        <v>D</v>
      </c>
      <c r="K103" s="119" t="str">
        <f t="shared" si="92"/>
        <v>D</v>
      </c>
      <c r="L103" s="119" t="str">
        <f t="shared" si="92"/>
        <v>D</v>
      </c>
      <c r="M103" s="119" t="str">
        <f t="shared" si="92"/>
        <v>D</v>
      </c>
      <c r="N103" s="119" t="str">
        <f t="shared" si="92"/>
        <v>D</v>
      </c>
      <c r="O103" s="119" t="str">
        <f t="shared" si="92"/>
        <v/>
      </c>
      <c r="P103" s="119" t="str">
        <f t="shared" si="92"/>
        <v>C</v>
      </c>
      <c r="Q103" s="119" t="str">
        <f t="shared" si="92"/>
        <v>D</v>
      </c>
      <c r="R103" s="119" t="str">
        <f t="shared" si="92"/>
        <v>C</v>
      </c>
      <c r="S103" s="119" t="str">
        <f t="shared" si="92"/>
        <v>D</v>
      </c>
      <c r="T103" s="119" t="str">
        <f t="shared" si="92"/>
        <v>D</v>
      </c>
      <c r="U103" s="119" t="str">
        <f t="shared" si="92"/>
        <v>D</v>
      </c>
      <c r="V103" s="120" t="str">
        <f t="shared" si="92"/>
        <v>C</v>
      </c>
      <c r="W103" s="508"/>
      <c r="X103" s="508"/>
      <c r="Y103" s="505"/>
      <c r="Z103" s="495"/>
      <c r="AA103" s="500"/>
      <c r="AB103" s="121" t="s">
        <v>36</v>
      </c>
      <c r="AC103" s="122" t="s">
        <v>36</v>
      </c>
      <c r="AD103" s="497"/>
      <c r="AE103" s="489"/>
      <c r="AF103" s="492"/>
      <c r="AG103" s="541"/>
    </row>
    <row r="104" spans="1:33" s="62" customFormat="1" ht="15">
      <c r="A104" s="527">
        <v>25</v>
      </c>
      <c r="B104" s="530" t="str">
        <f>VLOOKUP(A104,biononis,2,1)</f>
        <v>181910280</v>
      </c>
      <c r="C104" s="533" t="str">
        <f>VLOOKUP(A104,biononis,3,1)</f>
        <v>REFIANA</v>
      </c>
      <c r="D104" s="100" t="str">
        <f>B104&amp;"A"</f>
        <v>181910280A</v>
      </c>
      <c r="E104" s="89" t="s">
        <v>262</v>
      </c>
      <c r="F104" s="123">
        <v>60</v>
      </c>
      <c r="G104" s="124">
        <v>70</v>
      </c>
      <c r="H104" s="124">
        <v>70</v>
      </c>
      <c r="I104" s="124">
        <v>71</v>
      </c>
      <c r="J104" s="124">
        <v>20</v>
      </c>
      <c r="K104" s="124">
        <v>0</v>
      </c>
      <c r="L104" s="124">
        <v>74</v>
      </c>
      <c r="M104" s="124">
        <v>77</v>
      </c>
      <c r="N104" s="124">
        <v>25</v>
      </c>
      <c r="O104" s="124">
        <v>45</v>
      </c>
      <c r="P104" s="124">
        <v>75</v>
      </c>
      <c r="Q104" s="124">
        <v>44</v>
      </c>
      <c r="R104" s="124">
        <v>74</v>
      </c>
      <c r="S104" s="124">
        <v>51</v>
      </c>
      <c r="T104" s="124">
        <v>29</v>
      </c>
      <c r="U104" s="124">
        <v>30</v>
      </c>
      <c r="V104" s="124">
        <v>83</v>
      </c>
      <c r="W104" s="506" t="s">
        <v>18</v>
      </c>
      <c r="X104" s="506" t="s">
        <v>6</v>
      </c>
      <c r="Y104" s="503">
        <v>0</v>
      </c>
      <c r="Z104" s="493"/>
      <c r="AA104" s="498"/>
      <c r="AB104" s="93" t="s">
        <v>180</v>
      </c>
      <c r="AC104" s="94" t="s">
        <v>36</v>
      </c>
      <c r="AD104" s="95">
        <f t="shared" ref="AD104:AD105" si="93">IFERROR(AVERAGE(F104:V104),"")</f>
        <v>52.823529411764703</v>
      </c>
      <c r="AE104" s="489">
        <f t="shared" ref="AE104" si="94">IFERROR((AD104+AD105)/2,"")</f>
        <v>53.443014705882348</v>
      </c>
      <c r="AF104" s="490">
        <f>IFERROR(RANK(AE104,$AE$8:$AE$167,0),"")</f>
        <v>27</v>
      </c>
      <c r="AG104" s="539" t="s">
        <v>285</v>
      </c>
    </row>
    <row r="105" spans="1:33" s="62" customFormat="1" ht="15">
      <c r="A105" s="528"/>
      <c r="B105" s="530"/>
      <c r="C105" s="533"/>
      <c r="D105" s="100" t="str">
        <f>B104&amp;"B"</f>
        <v>181910280B</v>
      </c>
      <c r="E105" s="101" t="s">
        <v>263</v>
      </c>
      <c r="F105" s="126">
        <v>70</v>
      </c>
      <c r="G105" s="102">
        <v>70</v>
      </c>
      <c r="H105" s="102">
        <v>70</v>
      </c>
      <c r="I105" s="102">
        <v>75</v>
      </c>
      <c r="J105" s="102">
        <v>20</v>
      </c>
      <c r="K105" s="102">
        <v>0</v>
      </c>
      <c r="L105" s="102">
        <v>55</v>
      </c>
      <c r="M105" s="102">
        <v>62</v>
      </c>
      <c r="N105" s="102">
        <v>35</v>
      </c>
      <c r="O105" s="102">
        <v>40</v>
      </c>
      <c r="P105" s="102">
        <v>80</v>
      </c>
      <c r="Q105" s="102" t="s">
        <v>435</v>
      </c>
      <c r="R105" s="102">
        <v>72</v>
      </c>
      <c r="S105" s="102">
        <v>50</v>
      </c>
      <c r="T105" s="102">
        <v>26</v>
      </c>
      <c r="U105" s="102">
        <v>60</v>
      </c>
      <c r="V105" s="102">
        <v>80</v>
      </c>
      <c r="W105" s="507"/>
      <c r="X105" s="507"/>
      <c r="Y105" s="504"/>
      <c r="Z105" s="494"/>
      <c r="AA105" s="499"/>
      <c r="AB105" s="104" t="s">
        <v>36</v>
      </c>
      <c r="AC105" s="105" t="s">
        <v>36</v>
      </c>
      <c r="AD105" s="106">
        <f t="shared" si="93"/>
        <v>54.0625</v>
      </c>
      <c r="AE105" s="489"/>
      <c r="AF105" s="491"/>
      <c r="AG105" s="540"/>
    </row>
    <row r="106" spans="1:33" s="62" customFormat="1" ht="15">
      <c r="A106" s="528"/>
      <c r="B106" s="530"/>
      <c r="C106" s="533"/>
      <c r="D106" s="100" t="str">
        <f>B104&amp;"C"</f>
        <v>181910280C</v>
      </c>
      <c r="E106" s="111" t="s">
        <v>151</v>
      </c>
      <c r="F106" s="112" t="str">
        <f t="shared" ref="F106:V106" si="95">IFERROR(VLOOKUP(F104,$AI$8:$AJ$14,2,TRUE),"")</f>
        <v>D</v>
      </c>
      <c r="G106" s="113" t="str">
        <f t="shared" si="95"/>
        <v>C</v>
      </c>
      <c r="H106" s="113" t="str">
        <f t="shared" si="95"/>
        <v>C</v>
      </c>
      <c r="I106" s="113" t="str">
        <f t="shared" si="95"/>
        <v>C</v>
      </c>
      <c r="J106" s="113" t="str">
        <f t="shared" si="95"/>
        <v>D</v>
      </c>
      <c r="K106" s="113" t="str">
        <f t="shared" si="95"/>
        <v/>
      </c>
      <c r="L106" s="113" t="str">
        <f t="shared" si="95"/>
        <v>C</v>
      </c>
      <c r="M106" s="113" t="str">
        <f t="shared" si="95"/>
        <v>C</v>
      </c>
      <c r="N106" s="113" t="str">
        <f t="shared" si="95"/>
        <v>D</v>
      </c>
      <c r="O106" s="113" t="str">
        <f t="shared" si="95"/>
        <v>D</v>
      </c>
      <c r="P106" s="113" t="str">
        <f t="shared" si="95"/>
        <v>C</v>
      </c>
      <c r="Q106" s="113" t="str">
        <f t="shared" si="95"/>
        <v>D</v>
      </c>
      <c r="R106" s="113" t="str">
        <f t="shared" si="95"/>
        <v>C</v>
      </c>
      <c r="S106" s="113" t="str">
        <f t="shared" si="95"/>
        <v>D</v>
      </c>
      <c r="T106" s="113" t="str">
        <f t="shared" si="95"/>
        <v>D</v>
      </c>
      <c r="U106" s="113" t="str">
        <f t="shared" si="95"/>
        <v>D</v>
      </c>
      <c r="V106" s="114" t="str">
        <f t="shared" si="95"/>
        <v>B</v>
      </c>
      <c r="W106" s="507"/>
      <c r="X106" s="507"/>
      <c r="Y106" s="504"/>
      <c r="Z106" s="494"/>
      <c r="AA106" s="499"/>
      <c r="AB106" s="104" t="s">
        <v>36</v>
      </c>
      <c r="AC106" s="105" t="s">
        <v>36</v>
      </c>
      <c r="AD106" s="496">
        <f>SUM(F104:V105)</f>
        <v>1763</v>
      </c>
      <c r="AE106" s="489"/>
      <c r="AF106" s="491"/>
      <c r="AG106" s="540"/>
    </row>
    <row r="107" spans="1:33" s="62" customFormat="1" ht="15">
      <c r="A107" s="529"/>
      <c r="B107" s="115"/>
      <c r="C107" s="116"/>
      <c r="D107" s="100" t="str">
        <f>B104&amp;"D"</f>
        <v>181910280D</v>
      </c>
      <c r="E107" s="117" t="s">
        <v>152</v>
      </c>
      <c r="F107" s="118" t="str">
        <f t="shared" ref="F107:V107" si="96">IFERROR(VLOOKUP(F105,$AI$8:$AJ$14,2,TRUE),"")</f>
        <v>C</v>
      </c>
      <c r="G107" s="119" t="str">
        <f t="shared" si="96"/>
        <v>C</v>
      </c>
      <c r="H107" s="119" t="str">
        <f t="shared" si="96"/>
        <v>C</v>
      </c>
      <c r="I107" s="119" t="str">
        <f t="shared" si="96"/>
        <v>C</v>
      </c>
      <c r="J107" s="119" t="str">
        <f t="shared" si="96"/>
        <v>D</v>
      </c>
      <c r="K107" s="119" t="str">
        <f t="shared" si="96"/>
        <v/>
      </c>
      <c r="L107" s="119" t="str">
        <f t="shared" si="96"/>
        <v>D</v>
      </c>
      <c r="M107" s="119" t="str">
        <f t="shared" si="96"/>
        <v>D</v>
      </c>
      <c r="N107" s="119" t="str">
        <f t="shared" si="96"/>
        <v>D</v>
      </c>
      <c r="O107" s="119" t="str">
        <f t="shared" si="96"/>
        <v>D</v>
      </c>
      <c r="P107" s="119" t="str">
        <f t="shared" si="96"/>
        <v>B</v>
      </c>
      <c r="Q107" s="119" t="str">
        <f t="shared" si="96"/>
        <v>--</v>
      </c>
      <c r="R107" s="119" t="str">
        <f t="shared" si="96"/>
        <v>C</v>
      </c>
      <c r="S107" s="119" t="str">
        <f t="shared" si="96"/>
        <v>D</v>
      </c>
      <c r="T107" s="119" t="str">
        <f t="shared" si="96"/>
        <v>D</v>
      </c>
      <c r="U107" s="119" t="str">
        <f t="shared" si="96"/>
        <v>D</v>
      </c>
      <c r="V107" s="120" t="str">
        <f t="shared" si="96"/>
        <v>B</v>
      </c>
      <c r="W107" s="508"/>
      <c r="X107" s="508"/>
      <c r="Y107" s="505"/>
      <c r="Z107" s="495"/>
      <c r="AA107" s="500"/>
      <c r="AB107" s="121" t="s">
        <v>36</v>
      </c>
      <c r="AC107" s="122" t="s">
        <v>36</v>
      </c>
      <c r="AD107" s="497"/>
      <c r="AE107" s="489"/>
      <c r="AF107" s="492"/>
      <c r="AG107" s="541"/>
    </row>
    <row r="108" spans="1:33" s="62" customFormat="1" ht="15">
      <c r="A108" s="534">
        <v>26</v>
      </c>
      <c r="B108" s="531" t="str">
        <f>VLOOKUP(A108,biononis,2,1)</f>
        <v>181910285</v>
      </c>
      <c r="C108" s="532" t="str">
        <f>VLOOKUP(A108,biononis,3,1)</f>
        <v>RENALDI PRIYATAMA</v>
      </c>
      <c r="D108" s="100" t="str">
        <f>B108&amp;"A"</f>
        <v>181910285A</v>
      </c>
      <c r="E108" s="89" t="s">
        <v>262</v>
      </c>
      <c r="F108" s="123">
        <v>55</v>
      </c>
      <c r="G108" s="124">
        <v>18</v>
      </c>
      <c r="H108" s="124">
        <v>80</v>
      </c>
      <c r="I108" s="124">
        <v>36</v>
      </c>
      <c r="J108" s="124">
        <v>0</v>
      </c>
      <c r="K108" s="124">
        <v>40</v>
      </c>
      <c r="L108" s="124">
        <v>76</v>
      </c>
      <c r="M108" s="124">
        <v>58</v>
      </c>
      <c r="N108" s="124">
        <v>15</v>
      </c>
      <c r="O108" s="124">
        <v>19</v>
      </c>
      <c r="P108" s="124">
        <v>58</v>
      </c>
      <c r="Q108" s="124">
        <v>30</v>
      </c>
      <c r="R108" s="124">
        <v>60</v>
      </c>
      <c r="S108" s="124">
        <v>53</v>
      </c>
      <c r="T108" s="124">
        <v>10</v>
      </c>
      <c r="U108" s="124">
        <v>72</v>
      </c>
      <c r="V108" s="124">
        <v>75</v>
      </c>
      <c r="W108" s="506" t="s">
        <v>18</v>
      </c>
      <c r="X108" s="506" t="s">
        <v>6</v>
      </c>
      <c r="Y108" s="503"/>
      <c r="Z108" s="493"/>
      <c r="AA108" s="498"/>
      <c r="AB108" s="93" t="s">
        <v>180</v>
      </c>
      <c r="AC108" s="94" t="s">
        <v>36</v>
      </c>
      <c r="AD108" s="95">
        <f t="shared" ref="AD108:AD109" si="97">IFERROR(AVERAGE(F108:V108),"")</f>
        <v>44.411764705882355</v>
      </c>
      <c r="AE108" s="489">
        <f t="shared" ref="AE108" si="98">IFERROR((AD108+AD109)/2,"")</f>
        <v>45.147058823529413</v>
      </c>
      <c r="AF108" s="490">
        <f>IFERROR(RANK(AE108,$AE$8:$AE$167,0),"")</f>
        <v>31</v>
      </c>
      <c r="AG108" s="539" t="s">
        <v>285</v>
      </c>
    </row>
    <row r="109" spans="1:33" s="62" customFormat="1" ht="15">
      <c r="A109" s="528"/>
      <c r="B109" s="530"/>
      <c r="C109" s="533"/>
      <c r="D109" s="100" t="str">
        <f>B108&amp;"B"</f>
        <v>181910285B</v>
      </c>
      <c r="E109" s="101" t="s">
        <v>263</v>
      </c>
      <c r="F109" s="126">
        <v>70</v>
      </c>
      <c r="G109" s="102">
        <v>20</v>
      </c>
      <c r="H109" s="102">
        <v>80</v>
      </c>
      <c r="I109" s="102">
        <v>45</v>
      </c>
      <c r="J109" s="102">
        <v>0</v>
      </c>
      <c r="K109" s="102">
        <v>30</v>
      </c>
      <c r="L109" s="102">
        <v>76</v>
      </c>
      <c r="M109" s="102">
        <v>47</v>
      </c>
      <c r="N109" s="102">
        <v>20</v>
      </c>
      <c r="O109" s="102">
        <v>0</v>
      </c>
      <c r="P109" s="102">
        <v>70</v>
      </c>
      <c r="Q109" s="102">
        <v>59</v>
      </c>
      <c r="R109" s="102">
        <v>60</v>
      </c>
      <c r="S109" s="102">
        <v>50</v>
      </c>
      <c r="T109" s="102">
        <v>10</v>
      </c>
      <c r="U109" s="102">
        <v>70</v>
      </c>
      <c r="V109" s="102">
        <v>73</v>
      </c>
      <c r="W109" s="507"/>
      <c r="X109" s="507"/>
      <c r="Y109" s="504"/>
      <c r="Z109" s="494"/>
      <c r="AA109" s="499"/>
      <c r="AB109" s="104" t="s">
        <v>36</v>
      </c>
      <c r="AC109" s="105" t="s">
        <v>36</v>
      </c>
      <c r="AD109" s="106">
        <f t="shared" si="97"/>
        <v>45.882352941176471</v>
      </c>
      <c r="AE109" s="489"/>
      <c r="AF109" s="491"/>
      <c r="AG109" s="540"/>
    </row>
    <row r="110" spans="1:33" s="62" customFormat="1" ht="15">
      <c r="A110" s="528"/>
      <c r="B110" s="530"/>
      <c r="C110" s="533"/>
      <c r="D110" s="100" t="str">
        <f>B108&amp;"C"</f>
        <v>181910285C</v>
      </c>
      <c r="E110" s="111" t="s">
        <v>151</v>
      </c>
      <c r="F110" s="112" t="str">
        <f t="shared" ref="F110:V110" si="99">IFERROR(VLOOKUP(F108,$AI$8:$AJ$14,2,TRUE),"")</f>
        <v>D</v>
      </c>
      <c r="G110" s="113" t="str">
        <f t="shared" si="99"/>
        <v>D</v>
      </c>
      <c r="H110" s="113" t="str">
        <f t="shared" si="99"/>
        <v>B</v>
      </c>
      <c r="I110" s="113" t="str">
        <f t="shared" si="99"/>
        <v>D</v>
      </c>
      <c r="J110" s="113" t="str">
        <f t="shared" si="99"/>
        <v/>
      </c>
      <c r="K110" s="113" t="str">
        <f t="shared" si="99"/>
        <v>D</v>
      </c>
      <c r="L110" s="113" t="str">
        <f t="shared" si="99"/>
        <v>C</v>
      </c>
      <c r="M110" s="113" t="str">
        <f t="shared" si="99"/>
        <v>D</v>
      </c>
      <c r="N110" s="113" t="str">
        <f t="shared" si="99"/>
        <v>D</v>
      </c>
      <c r="O110" s="113" t="str">
        <f t="shared" si="99"/>
        <v>D</v>
      </c>
      <c r="P110" s="113" t="str">
        <f t="shared" si="99"/>
        <v>D</v>
      </c>
      <c r="Q110" s="113" t="str">
        <f t="shared" si="99"/>
        <v>D</v>
      </c>
      <c r="R110" s="113" t="str">
        <f t="shared" si="99"/>
        <v>D</v>
      </c>
      <c r="S110" s="113" t="str">
        <f t="shared" si="99"/>
        <v>D</v>
      </c>
      <c r="T110" s="113" t="str">
        <f t="shared" si="99"/>
        <v>D</v>
      </c>
      <c r="U110" s="113" t="str">
        <f t="shared" si="99"/>
        <v>C</v>
      </c>
      <c r="V110" s="114" t="str">
        <f t="shared" si="99"/>
        <v>C</v>
      </c>
      <c r="W110" s="507"/>
      <c r="X110" s="507"/>
      <c r="Y110" s="504"/>
      <c r="Z110" s="494"/>
      <c r="AA110" s="499"/>
      <c r="AB110" s="104" t="s">
        <v>36</v>
      </c>
      <c r="AC110" s="105" t="s">
        <v>36</v>
      </c>
      <c r="AD110" s="496">
        <f>SUM(F108:V109)</f>
        <v>1535</v>
      </c>
      <c r="AE110" s="489"/>
      <c r="AF110" s="491"/>
      <c r="AG110" s="540"/>
    </row>
    <row r="111" spans="1:33" s="62" customFormat="1" ht="15">
      <c r="A111" s="535"/>
      <c r="B111" s="130"/>
      <c r="C111" s="131"/>
      <c r="D111" s="100" t="str">
        <f>B108&amp;"D"</f>
        <v>181910285D</v>
      </c>
      <c r="E111" s="117" t="s">
        <v>152</v>
      </c>
      <c r="F111" s="118" t="str">
        <f t="shared" ref="F111:V111" si="100">IFERROR(VLOOKUP(F109,$AI$8:$AJ$14,2,TRUE),"")</f>
        <v>C</v>
      </c>
      <c r="G111" s="119" t="str">
        <f t="shared" si="100"/>
        <v>D</v>
      </c>
      <c r="H111" s="119" t="str">
        <f t="shared" si="100"/>
        <v>B</v>
      </c>
      <c r="I111" s="119" t="str">
        <f t="shared" si="100"/>
        <v>D</v>
      </c>
      <c r="J111" s="119" t="str">
        <f t="shared" si="100"/>
        <v/>
      </c>
      <c r="K111" s="119" t="str">
        <f t="shared" si="100"/>
        <v>D</v>
      </c>
      <c r="L111" s="119" t="str">
        <f t="shared" si="100"/>
        <v>C</v>
      </c>
      <c r="M111" s="119" t="str">
        <f t="shared" si="100"/>
        <v>D</v>
      </c>
      <c r="N111" s="119" t="str">
        <f t="shared" si="100"/>
        <v>D</v>
      </c>
      <c r="O111" s="119" t="str">
        <f t="shared" si="100"/>
        <v/>
      </c>
      <c r="P111" s="119" t="str">
        <f t="shared" si="100"/>
        <v>C</v>
      </c>
      <c r="Q111" s="119" t="str">
        <f t="shared" si="100"/>
        <v>D</v>
      </c>
      <c r="R111" s="119" t="str">
        <f t="shared" si="100"/>
        <v>D</v>
      </c>
      <c r="S111" s="119" t="str">
        <f t="shared" si="100"/>
        <v>D</v>
      </c>
      <c r="T111" s="119" t="str">
        <f t="shared" si="100"/>
        <v>D</v>
      </c>
      <c r="U111" s="119" t="str">
        <f t="shared" si="100"/>
        <v>C</v>
      </c>
      <c r="V111" s="120" t="str">
        <f t="shared" si="100"/>
        <v>C</v>
      </c>
      <c r="W111" s="508"/>
      <c r="X111" s="508"/>
      <c r="Y111" s="505"/>
      <c r="Z111" s="495"/>
      <c r="AA111" s="500"/>
      <c r="AB111" s="121" t="s">
        <v>36</v>
      </c>
      <c r="AC111" s="122" t="s">
        <v>36</v>
      </c>
      <c r="AD111" s="497"/>
      <c r="AE111" s="489"/>
      <c r="AF111" s="492"/>
      <c r="AG111" s="541"/>
    </row>
    <row r="112" spans="1:33" s="62" customFormat="1" ht="15">
      <c r="A112" s="527">
        <v>27</v>
      </c>
      <c r="B112" s="530" t="str">
        <f>VLOOKUP(A112,biononis,2,1)</f>
        <v>181910286</v>
      </c>
      <c r="C112" s="533" t="str">
        <f>VLOOKUP(A112,biononis,3,1)</f>
        <v>RENATA</v>
      </c>
      <c r="D112" s="100" t="str">
        <f>B112&amp;"A"</f>
        <v>181910286A</v>
      </c>
      <c r="E112" s="89" t="s">
        <v>262</v>
      </c>
      <c r="F112" s="123">
        <v>0</v>
      </c>
      <c r="G112" s="124">
        <v>80</v>
      </c>
      <c r="H112" s="124">
        <v>80</v>
      </c>
      <c r="I112" s="124">
        <v>77</v>
      </c>
      <c r="J112" s="124">
        <v>80</v>
      </c>
      <c r="K112" s="124">
        <v>73</v>
      </c>
      <c r="L112" s="124">
        <v>75</v>
      </c>
      <c r="M112" s="124">
        <v>80</v>
      </c>
      <c r="N112" s="124">
        <v>73</v>
      </c>
      <c r="O112" s="124">
        <v>78</v>
      </c>
      <c r="P112" s="124">
        <v>82</v>
      </c>
      <c r="Q112" s="124">
        <v>81</v>
      </c>
      <c r="R112" s="124">
        <v>75</v>
      </c>
      <c r="S112" s="124">
        <v>50</v>
      </c>
      <c r="T112" s="124">
        <v>77</v>
      </c>
      <c r="U112" s="124">
        <v>75</v>
      </c>
      <c r="V112" s="124">
        <v>82</v>
      </c>
      <c r="W112" s="506" t="s">
        <v>18</v>
      </c>
      <c r="X112" s="506" t="s">
        <v>6</v>
      </c>
      <c r="Y112" s="503"/>
      <c r="Z112" s="493"/>
      <c r="AA112" s="498"/>
      <c r="AB112" s="93" t="s">
        <v>180</v>
      </c>
      <c r="AC112" s="94" t="s">
        <v>36</v>
      </c>
      <c r="AD112" s="95">
        <f t="shared" ref="AD112:AD113" si="101">IFERROR(AVERAGE(F112:V112),"")</f>
        <v>71.647058823529406</v>
      </c>
      <c r="AE112" s="489">
        <f t="shared" ref="AE112" si="102">IFERROR((AD112+AD113)/2,"")</f>
        <v>74.761029411764696</v>
      </c>
      <c r="AF112" s="490">
        <f>IFERROR(RANK(AE112,$AE$8:$AE$167,0),"")</f>
        <v>5</v>
      </c>
      <c r="AG112" s="539" t="s">
        <v>280</v>
      </c>
    </row>
    <row r="113" spans="1:33" s="62" customFormat="1" ht="15">
      <c r="A113" s="528"/>
      <c r="B113" s="530"/>
      <c r="C113" s="533"/>
      <c r="D113" s="100" t="str">
        <f>B112&amp;"B"</f>
        <v>181910286B</v>
      </c>
      <c r="E113" s="101" t="s">
        <v>263</v>
      </c>
      <c r="F113" s="126">
        <v>70</v>
      </c>
      <c r="G113" s="102">
        <v>82</v>
      </c>
      <c r="H113" s="102">
        <v>80</v>
      </c>
      <c r="I113" s="102">
        <v>78</v>
      </c>
      <c r="J113" s="102">
        <v>73</v>
      </c>
      <c r="K113" s="102">
        <v>75</v>
      </c>
      <c r="L113" s="102">
        <v>75</v>
      </c>
      <c r="M113" s="102">
        <v>82</v>
      </c>
      <c r="N113" s="102">
        <v>80</v>
      </c>
      <c r="O113" s="102">
        <v>78</v>
      </c>
      <c r="P113" s="102">
        <v>85</v>
      </c>
      <c r="Q113" s="102" t="s">
        <v>433</v>
      </c>
      <c r="R113" s="102">
        <v>72</v>
      </c>
      <c r="S113" s="102">
        <v>85</v>
      </c>
      <c r="T113" s="102">
        <v>81</v>
      </c>
      <c r="U113" s="102">
        <v>70</v>
      </c>
      <c r="V113" s="102">
        <v>80</v>
      </c>
      <c r="W113" s="507"/>
      <c r="X113" s="507"/>
      <c r="Y113" s="504"/>
      <c r="Z113" s="494"/>
      <c r="AA113" s="499"/>
      <c r="AB113" s="104" t="s">
        <v>36</v>
      </c>
      <c r="AC113" s="105" t="s">
        <v>36</v>
      </c>
      <c r="AD113" s="106">
        <f t="shared" si="101"/>
        <v>77.875</v>
      </c>
      <c r="AE113" s="489"/>
      <c r="AF113" s="491"/>
      <c r="AG113" s="540"/>
    </row>
    <row r="114" spans="1:33" s="62" customFormat="1" ht="15">
      <c r="A114" s="528"/>
      <c r="B114" s="530"/>
      <c r="C114" s="533"/>
      <c r="D114" s="100" t="str">
        <f>B112&amp;"C"</f>
        <v>181910286C</v>
      </c>
      <c r="E114" s="111" t="s">
        <v>151</v>
      </c>
      <c r="F114" s="112" t="str">
        <f t="shared" ref="F114:V114" si="103">IFERROR(VLOOKUP(F112,$AI$8:$AJ$14,2,TRUE),"")</f>
        <v/>
      </c>
      <c r="G114" s="113" t="str">
        <f t="shared" si="103"/>
        <v>B</v>
      </c>
      <c r="H114" s="113" t="str">
        <f t="shared" si="103"/>
        <v>B</v>
      </c>
      <c r="I114" s="113" t="str">
        <f t="shared" si="103"/>
        <v>C</v>
      </c>
      <c r="J114" s="113" t="str">
        <f t="shared" si="103"/>
        <v>B</v>
      </c>
      <c r="K114" s="113" t="str">
        <f t="shared" si="103"/>
        <v>C</v>
      </c>
      <c r="L114" s="113" t="str">
        <f t="shared" si="103"/>
        <v>C</v>
      </c>
      <c r="M114" s="113" t="str">
        <f t="shared" si="103"/>
        <v>B</v>
      </c>
      <c r="N114" s="113" t="str">
        <f t="shared" si="103"/>
        <v>C</v>
      </c>
      <c r="O114" s="113" t="str">
        <f t="shared" si="103"/>
        <v>C</v>
      </c>
      <c r="P114" s="113" t="str">
        <f t="shared" si="103"/>
        <v>B</v>
      </c>
      <c r="Q114" s="113" t="str">
        <f t="shared" si="103"/>
        <v>B</v>
      </c>
      <c r="R114" s="113" t="str">
        <f t="shared" si="103"/>
        <v>C</v>
      </c>
      <c r="S114" s="113" t="str">
        <f t="shared" si="103"/>
        <v>D</v>
      </c>
      <c r="T114" s="113" t="str">
        <f t="shared" si="103"/>
        <v>C</v>
      </c>
      <c r="U114" s="113" t="str">
        <f t="shared" si="103"/>
        <v>C</v>
      </c>
      <c r="V114" s="114" t="str">
        <f t="shared" si="103"/>
        <v>B</v>
      </c>
      <c r="W114" s="507"/>
      <c r="X114" s="507"/>
      <c r="Y114" s="504"/>
      <c r="Z114" s="494"/>
      <c r="AA114" s="499"/>
      <c r="AB114" s="104" t="s">
        <v>36</v>
      </c>
      <c r="AC114" s="105" t="s">
        <v>36</v>
      </c>
      <c r="AD114" s="496">
        <f>SUM(F112:V113)</f>
        <v>2464</v>
      </c>
      <c r="AE114" s="489"/>
      <c r="AF114" s="491"/>
      <c r="AG114" s="540"/>
    </row>
    <row r="115" spans="1:33" s="62" customFormat="1" ht="15">
      <c r="A115" s="529"/>
      <c r="B115" s="115"/>
      <c r="C115" s="116"/>
      <c r="D115" s="100" t="str">
        <f>B112&amp;"D"</f>
        <v>181910286D</v>
      </c>
      <c r="E115" s="117" t="s">
        <v>152</v>
      </c>
      <c r="F115" s="118" t="str">
        <f t="shared" ref="F115:V115" si="104">IFERROR(VLOOKUP(F113,$AI$8:$AJ$14,2,TRUE),"")</f>
        <v>C</v>
      </c>
      <c r="G115" s="119" t="str">
        <f t="shared" si="104"/>
        <v>B</v>
      </c>
      <c r="H115" s="119" t="str">
        <f t="shared" si="104"/>
        <v>B</v>
      </c>
      <c r="I115" s="119" t="str">
        <f t="shared" si="104"/>
        <v>C</v>
      </c>
      <c r="J115" s="119" t="str">
        <f t="shared" si="104"/>
        <v>C</v>
      </c>
      <c r="K115" s="119" t="str">
        <f t="shared" si="104"/>
        <v>C</v>
      </c>
      <c r="L115" s="119" t="str">
        <f t="shared" si="104"/>
        <v>C</v>
      </c>
      <c r="M115" s="119" t="str">
        <f t="shared" si="104"/>
        <v>B</v>
      </c>
      <c r="N115" s="119" t="str">
        <f t="shared" si="104"/>
        <v>B</v>
      </c>
      <c r="O115" s="119" t="str">
        <f t="shared" si="104"/>
        <v>C</v>
      </c>
      <c r="P115" s="119" t="str">
        <f t="shared" si="104"/>
        <v>B</v>
      </c>
      <c r="Q115" s="119" t="str">
        <f t="shared" si="104"/>
        <v>--</v>
      </c>
      <c r="R115" s="119" t="str">
        <f t="shared" si="104"/>
        <v>C</v>
      </c>
      <c r="S115" s="119" t="str">
        <f t="shared" si="104"/>
        <v>B</v>
      </c>
      <c r="T115" s="119" t="str">
        <f t="shared" si="104"/>
        <v>B</v>
      </c>
      <c r="U115" s="119" t="str">
        <f t="shared" si="104"/>
        <v>C</v>
      </c>
      <c r="V115" s="120" t="str">
        <f t="shared" si="104"/>
        <v>B</v>
      </c>
      <c r="W115" s="508"/>
      <c r="X115" s="508"/>
      <c r="Y115" s="505"/>
      <c r="Z115" s="495"/>
      <c r="AA115" s="500"/>
      <c r="AB115" s="121" t="s">
        <v>36</v>
      </c>
      <c r="AC115" s="122" t="s">
        <v>36</v>
      </c>
      <c r="AD115" s="497"/>
      <c r="AE115" s="489"/>
      <c r="AF115" s="492"/>
      <c r="AG115" s="541"/>
    </row>
    <row r="116" spans="1:33" s="62" customFormat="1" ht="15">
      <c r="A116" s="534">
        <v>28</v>
      </c>
      <c r="B116" s="531" t="str">
        <f>VLOOKUP(A116,biononis,2,1)</f>
        <v>181910293</v>
      </c>
      <c r="C116" s="532" t="str">
        <f>VLOOKUP(A116,biononis,3,1)</f>
        <v xml:space="preserve">REZA ERNANDA </v>
      </c>
      <c r="D116" s="100" t="str">
        <f>B116&amp;"A"</f>
        <v>181910293A</v>
      </c>
      <c r="E116" s="89" t="s">
        <v>262</v>
      </c>
      <c r="F116" s="123">
        <v>72</v>
      </c>
      <c r="G116" s="124">
        <v>25</v>
      </c>
      <c r="H116" s="124">
        <v>80</v>
      </c>
      <c r="I116" s="124">
        <v>77</v>
      </c>
      <c r="J116" s="124">
        <v>80</v>
      </c>
      <c r="K116" s="124">
        <v>73</v>
      </c>
      <c r="L116" s="124">
        <v>76</v>
      </c>
      <c r="M116" s="124">
        <v>55</v>
      </c>
      <c r="N116" s="124">
        <v>64</v>
      </c>
      <c r="O116" s="124">
        <v>78</v>
      </c>
      <c r="P116" s="124">
        <v>83</v>
      </c>
      <c r="Q116" s="124">
        <v>72</v>
      </c>
      <c r="R116" s="124">
        <v>74</v>
      </c>
      <c r="S116" s="124">
        <v>56</v>
      </c>
      <c r="T116" s="124">
        <v>76</v>
      </c>
      <c r="U116" s="124">
        <v>35</v>
      </c>
      <c r="V116" s="124">
        <v>80</v>
      </c>
      <c r="W116" s="506" t="s">
        <v>18</v>
      </c>
      <c r="X116" s="506" t="s">
        <v>6</v>
      </c>
      <c r="Y116" s="503"/>
      <c r="Z116" s="493"/>
      <c r="AA116" s="498"/>
      <c r="AB116" s="93" t="s">
        <v>180</v>
      </c>
      <c r="AC116" s="94" t="s">
        <v>36</v>
      </c>
      <c r="AD116" s="95">
        <f t="shared" ref="AD116:AD117" si="105">IFERROR(AVERAGE(F116:V116),"")</f>
        <v>68</v>
      </c>
      <c r="AE116" s="489">
        <f t="shared" ref="AE116" si="106">IFERROR((AD116+AD117)/2,"")</f>
        <v>68.96875</v>
      </c>
      <c r="AF116" s="490">
        <f>IFERROR(RANK(AE116,$AE$8:$AE$167,0),"")</f>
        <v>14</v>
      </c>
      <c r="AG116" s="539" t="s">
        <v>282</v>
      </c>
    </row>
    <row r="117" spans="1:33" s="62" customFormat="1" ht="15">
      <c r="A117" s="528"/>
      <c r="B117" s="530"/>
      <c r="C117" s="533"/>
      <c r="D117" s="100" t="str">
        <f>B116&amp;"B"</f>
        <v>181910293B</v>
      </c>
      <c r="E117" s="101" t="s">
        <v>263</v>
      </c>
      <c r="F117" s="126">
        <v>80</v>
      </c>
      <c r="G117" s="102">
        <v>20</v>
      </c>
      <c r="H117" s="102">
        <v>80</v>
      </c>
      <c r="I117" s="102">
        <v>77</v>
      </c>
      <c r="J117" s="102">
        <v>73</v>
      </c>
      <c r="K117" s="102">
        <v>75</v>
      </c>
      <c r="L117" s="102">
        <v>77</v>
      </c>
      <c r="M117" s="102">
        <v>80</v>
      </c>
      <c r="N117" s="102">
        <v>40</v>
      </c>
      <c r="O117" s="102">
        <v>78</v>
      </c>
      <c r="P117" s="102">
        <v>85</v>
      </c>
      <c r="Q117" s="102" t="s">
        <v>436</v>
      </c>
      <c r="R117" s="102">
        <v>72</v>
      </c>
      <c r="S117" s="102">
        <v>89</v>
      </c>
      <c r="T117" s="102">
        <v>53</v>
      </c>
      <c r="U117" s="102">
        <v>60</v>
      </c>
      <c r="V117" s="102">
        <v>80</v>
      </c>
      <c r="W117" s="507"/>
      <c r="X117" s="507"/>
      <c r="Y117" s="504"/>
      <c r="Z117" s="494"/>
      <c r="AA117" s="499"/>
      <c r="AB117" s="104" t="s">
        <v>36</v>
      </c>
      <c r="AC117" s="105" t="s">
        <v>36</v>
      </c>
      <c r="AD117" s="106">
        <f t="shared" si="105"/>
        <v>69.9375</v>
      </c>
      <c r="AE117" s="489"/>
      <c r="AF117" s="491"/>
      <c r="AG117" s="540"/>
    </row>
    <row r="118" spans="1:33" s="62" customFormat="1" ht="15">
      <c r="A118" s="528"/>
      <c r="B118" s="530"/>
      <c r="C118" s="533"/>
      <c r="D118" s="100" t="str">
        <f>B116&amp;"C"</f>
        <v>181910293C</v>
      </c>
      <c r="E118" s="111" t="s">
        <v>151</v>
      </c>
      <c r="F118" s="112" t="str">
        <f t="shared" ref="F118:V118" si="107">IFERROR(VLOOKUP(F116,$AI$8:$AJ$14,2,TRUE),"")</f>
        <v>C</v>
      </c>
      <c r="G118" s="113" t="str">
        <f t="shared" si="107"/>
        <v>D</v>
      </c>
      <c r="H118" s="113" t="str">
        <f t="shared" si="107"/>
        <v>B</v>
      </c>
      <c r="I118" s="113" t="str">
        <f t="shared" si="107"/>
        <v>C</v>
      </c>
      <c r="J118" s="113" t="str">
        <f t="shared" si="107"/>
        <v>B</v>
      </c>
      <c r="K118" s="113" t="str">
        <f t="shared" si="107"/>
        <v>C</v>
      </c>
      <c r="L118" s="113" t="str">
        <f t="shared" si="107"/>
        <v>C</v>
      </c>
      <c r="M118" s="113" t="str">
        <f t="shared" si="107"/>
        <v>D</v>
      </c>
      <c r="N118" s="113" t="str">
        <f t="shared" si="107"/>
        <v>D</v>
      </c>
      <c r="O118" s="113" t="str">
        <f t="shared" si="107"/>
        <v>C</v>
      </c>
      <c r="P118" s="113" t="str">
        <f t="shared" si="107"/>
        <v>B</v>
      </c>
      <c r="Q118" s="113" t="str">
        <f t="shared" si="107"/>
        <v>C</v>
      </c>
      <c r="R118" s="113" t="str">
        <f t="shared" si="107"/>
        <v>C</v>
      </c>
      <c r="S118" s="113" t="str">
        <f t="shared" si="107"/>
        <v>D</v>
      </c>
      <c r="T118" s="113" t="str">
        <f t="shared" si="107"/>
        <v>C</v>
      </c>
      <c r="U118" s="113" t="str">
        <f t="shared" si="107"/>
        <v>D</v>
      </c>
      <c r="V118" s="114" t="str">
        <f t="shared" si="107"/>
        <v>B</v>
      </c>
      <c r="W118" s="507"/>
      <c r="X118" s="507"/>
      <c r="Y118" s="504"/>
      <c r="Z118" s="494"/>
      <c r="AA118" s="499"/>
      <c r="AB118" s="104" t="s">
        <v>36</v>
      </c>
      <c r="AC118" s="105" t="s">
        <v>36</v>
      </c>
      <c r="AD118" s="496">
        <f>SUM(F116:V117)</f>
        <v>2275</v>
      </c>
      <c r="AE118" s="489"/>
      <c r="AF118" s="491"/>
      <c r="AG118" s="540"/>
    </row>
    <row r="119" spans="1:33" s="62" customFormat="1" ht="15">
      <c r="A119" s="535"/>
      <c r="B119" s="130"/>
      <c r="C119" s="131"/>
      <c r="D119" s="100" t="str">
        <f>B116&amp;"D"</f>
        <v>181910293D</v>
      </c>
      <c r="E119" s="117" t="s">
        <v>152</v>
      </c>
      <c r="F119" s="118" t="str">
        <f t="shared" ref="F119:V119" si="108">IFERROR(VLOOKUP(F117,$AI$8:$AJ$14,2,TRUE),"")</f>
        <v>B</v>
      </c>
      <c r="G119" s="119" t="str">
        <f t="shared" si="108"/>
        <v>D</v>
      </c>
      <c r="H119" s="119" t="str">
        <f t="shared" si="108"/>
        <v>B</v>
      </c>
      <c r="I119" s="119" t="str">
        <f t="shared" si="108"/>
        <v>C</v>
      </c>
      <c r="J119" s="119" t="str">
        <f t="shared" si="108"/>
        <v>C</v>
      </c>
      <c r="K119" s="119" t="str">
        <f t="shared" si="108"/>
        <v>C</v>
      </c>
      <c r="L119" s="119" t="str">
        <f t="shared" si="108"/>
        <v>C</v>
      </c>
      <c r="M119" s="119" t="str">
        <f t="shared" si="108"/>
        <v>B</v>
      </c>
      <c r="N119" s="119" t="str">
        <f t="shared" si="108"/>
        <v>D</v>
      </c>
      <c r="O119" s="119" t="str">
        <f t="shared" si="108"/>
        <v>C</v>
      </c>
      <c r="P119" s="119" t="str">
        <f t="shared" si="108"/>
        <v>B</v>
      </c>
      <c r="Q119" s="119" t="str">
        <f t="shared" si="108"/>
        <v>--</v>
      </c>
      <c r="R119" s="119" t="str">
        <f t="shared" si="108"/>
        <v>C</v>
      </c>
      <c r="S119" s="119" t="str">
        <f t="shared" si="108"/>
        <v>B</v>
      </c>
      <c r="T119" s="119" t="str">
        <f t="shared" si="108"/>
        <v>D</v>
      </c>
      <c r="U119" s="119" t="str">
        <f t="shared" si="108"/>
        <v>D</v>
      </c>
      <c r="V119" s="120" t="str">
        <f t="shared" si="108"/>
        <v>B</v>
      </c>
      <c r="W119" s="508"/>
      <c r="X119" s="508"/>
      <c r="Y119" s="505"/>
      <c r="Z119" s="495"/>
      <c r="AA119" s="500"/>
      <c r="AB119" s="121" t="s">
        <v>36</v>
      </c>
      <c r="AC119" s="122" t="s">
        <v>36</v>
      </c>
      <c r="AD119" s="497"/>
      <c r="AE119" s="489"/>
      <c r="AF119" s="492"/>
      <c r="AG119" s="541"/>
    </row>
    <row r="120" spans="1:33" s="62" customFormat="1" ht="15">
      <c r="A120" s="527">
        <v>29</v>
      </c>
      <c r="B120" s="530" t="str">
        <f>VLOOKUP(A120,biononis,2,1)</f>
        <v>181910300</v>
      </c>
      <c r="C120" s="533" t="str">
        <f>VLOOKUP(A120,biononis,3,1)</f>
        <v>RIFAN MUHAMAD RIZKI</v>
      </c>
      <c r="D120" s="100" t="str">
        <f>B120&amp;"A"</f>
        <v>181910300A</v>
      </c>
      <c r="E120" s="89" t="s">
        <v>262</v>
      </c>
      <c r="F120" s="123">
        <v>0</v>
      </c>
      <c r="G120" s="124">
        <v>80</v>
      </c>
      <c r="H120" s="124">
        <v>80</v>
      </c>
      <c r="I120" s="124">
        <v>33</v>
      </c>
      <c r="J120" s="124">
        <v>0</v>
      </c>
      <c r="K120" s="124">
        <v>0</v>
      </c>
      <c r="L120" s="124">
        <v>56</v>
      </c>
      <c r="M120" s="124">
        <v>0</v>
      </c>
      <c r="N120" s="124">
        <v>15</v>
      </c>
      <c r="O120" s="124">
        <v>20</v>
      </c>
      <c r="P120" s="124">
        <v>70</v>
      </c>
      <c r="Q120" s="124">
        <v>43</v>
      </c>
      <c r="R120" s="124">
        <v>0</v>
      </c>
      <c r="S120" s="124">
        <v>35</v>
      </c>
      <c r="T120" s="124">
        <v>35</v>
      </c>
      <c r="U120" s="124">
        <v>56</v>
      </c>
      <c r="V120" s="124">
        <v>75</v>
      </c>
      <c r="W120" s="506" t="s">
        <v>18</v>
      </c>
      <c r="X120" s="506" t="s">
        <v>6</v>
      </c>
      <c r="Y120" s="503"/>
      <c r="Z120" s="493">
        <v>0</v>
      </c>
      <c r="AA120" s="498"/>
      <c r="AB120" s="93" t="s">
        <v>180</v>
      </c>
      <c r="AC120" s="94" t="s">
        <v>36</v>
      </c>
      <c r="AD120" s="95">
        <f t="shared" ref="AD120:AD121" si="109">IFERROR(AVERAGE(F120:V120),"")</f>
        <v>35.176470588235297</v>
      </c>
      <c r="AE120" s="489">
        <f t="shared" ref="AE120" si="110">IFERROR((AD120+AD121)/2,"")</f>
        <v>37.441176470588232</v>
      </c>
      <c r="AF120" s="490">
        <f>IFERROR(RANK(AE120,$AE$8:$AE$167,0),"")</f>
        <v>36</v>
      </c>
      <c r="AG120" s="539" t="s">
        <v>285</v>
      </c>
    </row>
    <row r="121" spans="1:33" s="62" customFormat="1" ht="15">
      <c r="A121" s="528"/>
      <c r="B121" s="530"/>
      <c r="C121" s="533"/>
      <c r="D121" s="100" t="str">
        <f>B120&amp;"B"</f>
        <v>181910300B</v>
      </c>
      <c r="E121" s="101" t="s">
        <v>263</v>
      </c>
      <c r="F121" s="126">
        <v>70</v>
      </c>
      <c r="G121" s="102">
        <v>82</v>
      </c>
      <c r="H121" s="102">
        <v>80</v>
      </c>
      <c r="I121" s="102">
        <v>40</v>
      </c>
      <c r="J121" s="102">
        <v>0</v>
      </c>
      <c r="K121" s="102">
        <v>0</v>
      </c>
      <c r="L121" s="102">
        <v>50</v>
      </c>
      <c r="M121" s="102">
        <v>70</v>
      </c>
      <c r="N121" s="102">
        <v>20</v>
      </c>
      <c r="O121" s="102">
        <v>0</v>
      </c>
      <c r="P121" s="102">
        <v>70</v>
      </c>
      <c r="Q121" s="102">
        <v>0</v>
      </c>
      <c r="R121" s="102">
        <v>0</v>
      </c>
      <c r="S121" s="102">
        <v>50</v>
      </c>
      <c r="T121" s="102">
        <v>10</v>
      </c>
      <c r="U121" s="102">
        <v>60</v>
      </c>
      <c r="V121" s="102">
        <v>73</v>
      </c>
      <c r="W121" s="507"/>
      <c r="X121" s="507"/>
      <c r="Y121" s="504"/>
      <c r="Z121" s="494"/>
      <c r="AA121" s="499"/>
      <c r="AB121" s="104" t="s">
        <v>36</v>
      </c>
      <c r="AC121" s="105" t="s">
        <v>36</v>
      </c>
      <c r="AD121" s="106">
        <f t="shared" si="109"/>
        <v>39.705882352941174</v>
      </c>
      <c r="AE121" s="489"/>
      <c r="AF121" s="491"/>
      <c r="AG121" s="540"/>
    </row>
    <row r="122" spans="1:33" s="62" customFormat="1" ht="15">
      <c r="A122" s="528"/>
      <c r="B122" s="530"/>
      <c r="C122" s="533"/>
      <c r="D122" s="100" t="str">
        <f>B120&amp;"C"</f>
        <v>181910300C</v>
      </c>
      <c r="E122" s="111" t="s">
        <v>151</v>
      </c>
      <c r="F122" s="112" t="str">
        <f t="shared" ref="F122:V122" si="111">IFERROR(VLOOKUP(F120,$AI$8:$AJ$14,2,TRUE),"")</f>
        <v/>
      </c>
      <c r="G122" s="113" t="str">
        <f t="shared" si="111"/>
        <v>B</v>
      </c>
      <c r="H122" s="113" t="str">
        <f t="shared" si="111"/>
        <v>B</v>
      </c>
      <c r="I122" s="113" t="str">
        <f t="shared" si="111"/>
        <v>D</v>
      </c>
      <c r="J122" s="113" t="str">
        <f t="shared" si="111"/>
        <v/>
      </c>
      <c r="K122" s="113" t="str">
        <f t="shared" si="111"/>
        <v/>
      </c>
      <c r="L122" s="113" t="str">
        <f t="shared" si="111"/>
        <v>D</v>
      </c>
      <c r="M122" s="113" t="str">
        <f t="shared" si="111"/>
        <v/>
      </c>
      <c r="N122" s="113" t="str">
        <f t="shared" si="111"/>
        <v>D</v>
      </c>
      <c r="O122" s="113" t="str">
        <f t="shared" si="111"/>
        <v>D</v>
      </c>
      <c r="P122" s="113" t="str">
        <f t="shared" si="111"/>
        <v>C</v>
      </c>
      <c r="Q122" s="113" t="str">
        <f t="shared" si="111"/>
        <v>D</v>
      </c>
      <c r="R122" s="113" t="str">
        <f t="shared" si="111"/>
        <v/>
      </c>
      <c r="S122" s="113" t="str">
        <f t="shared" si="111"/>
        <v>D</v>
      </c>
      <c r="T122" s="113" t="str">
        <f t="shared" si="111"/>
        <v>D</v>
      </c>
      <c r="U122" s="113" t="str">
        <f t="shared" si="111"/>
        <v>D</v>
      </c>
      <c r="V122" s="114" t="str">
        <f t="shared" si="111"/>
        <v>C</v>
      </c>
      <c r="W122" s="507"/>
      <c r="X122" s="507"/>
      <c r="Y122" s="504"/>
      <c r="Z122" s="494"/>
      <c r="AA122" s="499"/>
      <c r="AB122" s="104" t="s">
        <v>36</v>
      </c>
      <c r="AC122" s="105" t="s">
        <v>36</v>
      </c>
      <c r="AD122" s="496">
        <f>SUM(F120:V121)</f>
        <v>1273</v>
      </c>
      <c r="AE122" s="489"/>
      <c r="AF122" s="491"/>
      <c r="AG122" s="540"/>
    </row>
    <row r="123" spans="1:33" s="62" customFormat="1" ht="15">
      <c r="A123" s="529"/>
      <c r="B123" s="115"/>
      <c r="C123" s="116"/>
      <c r="D123" s="100" t="str">
        <f>B120&amp;"D"</f>
        <v>181910300D</v>
      </c>
      <c r="E123" s="117" t="s">
        <v>152</v>
      </c>
      <c r="F123" s="118" t="str">
        <f t="shared" ref="F123:V123" si="112">IFERROR(VLOOKUP(F121,$AI$8:$AJ$14,2,TRUE),"")</f>
        <v>C</v>
      </c>
      <c r="G123" s="119" t="str">
        <f t="shared" si="112"/>
        <v>B</v>
      </c>
      <c r="H123" s="119" t="str">
        <f t="shared" si="112"/>
        <v>B</v>
      </c>
      <c r="I123" s="119" t="str">
        <f t="shared" si="112"/>
        <v>D</v>
      </c>
      <c r="J123" s="119" t="str">
        <f t="shared" si="112"/>
        <v/>
      </c>
      <c r="K123" s="119" t="str">
        <f t="shared" si="112"/>
        <v/>
      </c>
      <c r="L123" s="119" t="str">
        <f t="shared" si="112"/>
        <v>D</v>
      </c>
      <c r="M123" s="119" t="str">
        <f t="shared" si="112"/>
        <v>C</v>
      </c>
      <c r="N123" s="119" t="str">
        <f t="shared" si="112"/>
        <v>D</v>
      </c>
      <c r="O123" s="119" t="str">
        <f t="shared" si="112"/>
        <v/>
      </c>
      <c r="P123" s="119" t="str">
        <f t="shared" si="112"/>
        <v>C</v>
      </c>
      <c r="Q123" s="119" t="str">
        <f t="shared" si="112"/>
        <v/>
      </c>
      <c r="R123" s="119" t="str">
        <f t="shared" si="112"/>
        <v/>
      </c>
      <c r="S123" s="119" t="str">
        <f t="shared" si="112"/>
        <v>D</v>
      </c>
      <c r="T123" s="119" t="str">
        <f t="shared" si="112"/>
        <v>D</v>
      </c>
      <c r="U123" s="119" t="str">
        <f t="shared" si="112"/>
        <v>D</v>
      </c>
      <c r="V123" s="120" t="str">
        <f t="shared" si="112"/>
        <v>C</v>
      </c>
      <c r="W123" s="508"/>
      <c r="X123" s="508"/>
      <c r="Y123" s="505"/>
      <c r="Z123" s="495"/>
      <c r="AA123" s="500"/>
      <c r="AB123" s="121" t="s">
        <v>36</v>
      </c>
      <c r="AC123" s="122" t="s">
        <v>36</v>
      </c>
      <c r="AD123" s="497"/>
      <c r="AE123" s="489"/>
      <c r="AF123" s="492"/>
      <c r="AG123" s="541"/>
    </row>
    <row r="124" spans="1:33" s="62" customFormat="1" ht="15">
      <c r="A124" s="534">
        <v>30</v>
      </c>
      <c r="B124" s="531" t="str">
        <f>VLOOKUP(A124,biononis,2,1)</f>
        <v>181910318</v>
      </c>
      <c r="C124" s="532" t="str">
        <f>VLOOKUP(A124,biononis,3,1)</f>
        <v>RISMA SURYANI</v>
      </c>
      <c r="D124" s="100" t="str">
        <f>B124&amp;"A"</f>
        <v>181910318A</v>
      </c>
      <c r="E124" s="89" t="s">
        <v>262</v>
      </c>
      <c r="F124" s="123">
        <v>72</v>
      </c>
      <c r="G124" s="124">
        <v>85</v>
      </c>
      <c r="H124" s="124">
        <v>78</v>
      </c>
      <c r="I124" s="124">
        <v>77</v>
      </c>
      <c r="J124" s="124">
        <v>80</v>
      </c>
      <c r="K124" s="124">
        <v>74</v>
      </c>
      <c r="L124" s="124">
        <v>76</v>
      </c>
      <c r="M124" s="124">
        <v>72</v>
      </c>
      <c r="N124" s="124">
        <v>65</v>
      </c>
      <c r="O124" s="124">
        <v>85</v>
      </c>
      <c r="P124" s="124">
        <v>83</v>
      </c>
      <c r="Q124" s="124">
        <v>89</v>
      </c>
      <c r="R124" s="124">
        <v>80</v>
      </c>
      <c r="S124" s="124">
        <v>67</v>
      </c>
      <c r="T124" s="124">
        <v>79</v>
      </c>
      <c r="U124" s="124">
        <v>56</v>
      </c>
      <c r="V124" s="124">
        <v>83</v>
      </c>
      <c r="W124" s="506" t="s">
        <v>6</v>
      </c>
      <c r="X124" s="506" t="s">
        <v>6</v>
      </c>
      <c r="Y124" s="503"/>
      <c r="Z124" s="493"/>
      <c r="AA124" s="498"/>
      <c r="AB124" s="93" t="s">
        <v>180</v>
      </c>
      <c r="AC124" s="94" t="s">
        <v>36</v>
      </c>
      <c r="AD124" s="95">
        <f t="shared" ref="AD124:AD125" si="113">IFERROR(AVERAGE(F124:V124),"")</f>
        <v>76.529411764705884</v>
      </c>
      <c r="AE124" s="489">
        <f t="shared" ref="AE124" si="114">IFERROR((AD124+AD125)/2,"")</f>
        <v>77.264705882352942</v>
      </c>
      <c r="AF124" s="490">
        <f>IFERROR(RANK(AE124,$AE$8:$AE$167,0),"")</f>
        <v>3</v>
      </c>
      <c r="AG124" s="539" t="s">
        <v>280</v>
      </c>
    </row>
    <row r="125" spans="1:33" s="62" customFormat="1" ht="15">
      <c r="A125" s="528"/>
      <c r="B125" s="530"/>
      <c r="C125" s="533"/>
      <c r="D125" s="100" t="str">
        <f>B124&amp;"B"</f>
        <v>181910318B</v>
      </c>
      <c r="E125" s="101" t="s">
        <v>263</v>
      </c>
      <c r="F125" s="126">
        <v>80</v>
      </c>
      <c r="G125" s="102">
        <v>84</v>
      </c>
      <c r="H125" s="102">
        <v>80</v>
      </c>
      <c r="I125" s="102">
        <v>76</v>
      </c>
      <c r="J125" s="102">
        <v>74</v>
      </c>
      <c r="K125" s="102">
        <v>75</v>
      </c>
      <c r="L125" s="102">
        <v>76</v>
      </c>
      <c r="M125" s="102">
        <v>80</v>
      </c>
      <c r="N125" s="102">
        <v>79</v>
      </c>
      <c r="O125" s="102">
        <v>80</v>
      </c>
      <c r="P125" s="102">
        <v>85</v>
      </c>
      <c r="Q125" s="102">
        <v>75</v>
      </c>
      <c r="R125" s="102">
        <v>75</v>
      </c>
      <c r="S125" s="102">
        <v>86</v>
      </c>
      <c r="T125" s="102">
        <v>81</v>
      </c>
      <c r="U125" s="102">
        <v>60</v>
      </c>
      <c r="V125" s="102">
        <v>80</v>
      </c>
      <c r="W125" s="507"/>
      <c r="X125" s="507"/>
      <c r="Y125" s="504"/>
      <c r="Z125" s="494"/>
      <c r="AA125" s="499"/>
      <c r="AB125" s="104" t="s">
        <v>36</v>
      </c>
      <c r="AC125" s="105" t="s">
        <v>36</v>
      </c>
      <c r="AD125" s="106">
        <f t="shared" si="113"/>
        <v>78</v>
      </c>
      <c r="AE125" s="489"/>
      <c r="AF125" s="491"/>
      <c r="AG125" s="540"/>
    </row>
    <row r="126" spans="1:33" s="62" customFormat="1" ht="15">
      <c r="A126" s="528"/>
      <c r="B126" s="530"/>
      <c r="C126" s="533"/>
      <c r="D126" s="100" t="str">
        <f>B124&amp;"C"</f>
        <v>181910318C</v>
      </c>
      <c r="E126" s="111" t="s">
        <v>151</v>
      </c>
      <c r="F126" s="112" t="str">
        <f t="shared" ref="F126:V126" si="115">IFERROR(VLOOKUP(F124,$AI$8:$AJ$14,2,TRUE),"")</f>
        <v>C</v>
      </c>
      <c r="G126" s="113" t="str">
        <f t="shared" si="115"/>
        <v>B</v>
      </c>
      <c r="H126" s="113" t="str">
        <f t="shared" si="115"/>
        <v>C</v>
      </c>
      <c r="I126" s="113" t="str">
        <f t="shared" si="115"/>
        <v>C</v>
      </c>
      <c r="J126" s="113" t="str">
        <f t="shared" si="115"/>
        <v>B</v>
      </c>
      <c r="K126" s="113" t="str">
        <f t="shared" si="115"/>
        <v>C</v>
      </c>
      <c r="L126" s="113" t="str">
        <f t="shared" si="115"/>
        <v>C</v>
      </c>
      <c r="M126" s="113" t="str">
        <f t="shared" si="115"/>
        <v>C</v>
      </c>
      <c r="N126" s="113" t="str">
        <f t="shared" si="115"/>
        <v>D</v>
      </c>
      <c r="O126" s="113" t="str">
        <f t="shared" si="115"/>
        <v>B</v>
      </c>
      <c r="P126" s="113" t="str">
        <f t="shared" si="115"/>
        <v>B</v>
      </c>
      <c r="Q126" s="113" t="str">
        <f t="shared" si="115"/>
        <v>B</v>
      </c>
      <c r="R126" s="113" t="str">
        <f t="shared" si="115"/>
        <v>B</v>
      </c>
      <c r="S126" s="113" t="str">
        <f t="shared" si="115"/>
        <v>D</v>
      </c>
      <c r="T126" s="113" t="str">
        <f t="shared" si="115"/>
        <v>C</v>
      </c>
      <c r="U126" s="113" t="str">
        <f t="shared" si="115"/>
        <v>D</v>
      </c>
      <c r="V126" s="114" t="str">
        <f t="shared" si="115"/>
        <v>B</v>
      </c>
      <c r="W126" s="507"/>
      <c r="X126" s="507"/>
      <c r="Y126" s="504"/>
      <c r="Z126" s="494"/>
      <c r="AA126" s="499"/>
      <c r="AB126" s="104" t="s">
        <v>36</v>
      </c>
      <c r="AC126" s="105" t="s">
        <v>36</v>
      </c>
      <c r="AD126" s="496">
        <f>SUM(F124:V125)</f>
        <v>2627</v>
      </c>
      <c r="AE126" s="489"/>
      <c r="AF126" s="491"/>
      <c r="AG126" s="540"/>
    </row>
    <row r="127" spans="1:33" s="62" customFormat="1" ht="15">
      <c r="A127" s="535"/>
      <c r="B127" s="130"/>
      <c r="C127" s="131"/>
      <c r="D127" s="100" t="str">
        <f>B124&amp;"D"</f>
        <v>181910318D</v>
      </c>
      <c r="E127" s="117" t="s">
        <v>152</v>
      </c>
      <c r="F127" s="118" t="str">
        <f t="shared" ref="F127:V127" si="116">IFERROR(VLOOKUP(F125,$AI$8:$AJ$14,2,TRUE),"")</f>
        <v>B</v>
      </c>
      <c r="G127" s="119" t="str">
        <f t="shared" si="116"/>
        <v>B</v>
      </c>
      <c r="H127" s="119" t="str">
        <f t="shared" si="116"/>
        <v>B</v>
      </c>
      <c r="I127" s="119" t="str">
        <f t="shared" si="116"/>
        <v>C</v>
      </c>
      <c r="J127" s="119" t="str">
        <f t="shared" si="116"/>
        <v>C</v>
      </c>
      <c r="K127" s="119" t="str">
        <f t="shared" si="116"/>
        <v>C</v>
      </c>
      <c r="L127" s="119" t="str">
        <f t="shared" si="116"/>
        <v>C</v>
      </c>
      <c r="M127" s="119" t="str">
        <f t="shared" si="116"/>
        <v>B</v>
      </c>
      <c r="N127" s="119" t="str">
        <f t="shared" si="116"/>
        <v>C</v>
      </c>
      <c r="O127" s="119" t="str">
        <f t="shared" si="116"/>
        <v>B</v>
      </c>
      <c r="P127" s="119" t="str">
        <f t="shared" si="116"/>
        <v>B</v>
      </c>
      <c r="Q127" s="119" t="str">
        <f t="shared" si="116"/>
        <v>C</v>
      </c>
      <c r="R127" s="119" t="str">
        <f t="shared" si="116"/>
        <v>C</v>
      </c>
      <c r="S127" s="119" t="str">
        <f t="shared" si="116"/>
        <v>B</v>
      </c>
      <c r="T127" s="119" t="str">
        <f t="shared" si="116"/>
        <v>B</v>
      </c>
      <c r="U127" s="119" t="str">
        <f t="shared" si="116"/>
        <v>D</v>
      </c>
      <c r="V127" s="120" t="str">
        <f t="shared" si="116"/>
        <v>B</v>
      </c>
      <c r="W127" s="508"/>
      <c r="X127" s="508"/>
      <c r="Y127" s="505"/>
      <c r="Z127" s="495"/>
      <c r="AA127" s="500"/>
      <c r="AB127" s="121" t="s">
        <v>36</v>
      </c>
      <c r="AC127" s="122" t="s">
        <v>36</v>
      </c>
      <c r="AD127" s="497"/>
      <c r="AE127" s="489"/>
      <c r="AF127" s="492"/>
      <c r="AG127" s="541"/>
    </row>
    <row r="128" spans="1:33" s="62" customFormat="1" ht="15">
      <c r="A128" s="527">
        <v>31</v>
      </c>
      <c r="B128" s="530" t="str">
        <f>VLOOKUP(A128,biononis,2,1)</f>
        <v>181910320</v>
      </c>
      <c r="C128" s="533" t="str">
        <f>VLOOKUP(A128,biononis,3,1)</f>
        <v>RISNA TIRANI</v>
      </c>
      <c r="D128" s="100" t="str">
        <f>B128&amp;"A"</f>
        <v>181910320A</v>
      </c>
      <c r="E128" s="89" t="s">
        <v>262</v>
      </c>
      <c r="F128" s="123">
        <v>70</v>
      </c>
      <c r="G128" s="124">
        <v>60</v>
      </c>
      <c r="H128" s="124">
        <v>84</v>
      </c>
      <c r="I128" s="124">
        <v>81</v>
      </c>
      <c r="J128" s="124">
        <v>80</v>
      </c>
      <c r="K128" s="124">
        <v>74</v>
      </c>
      <c r="L128" s="124">
        <v>80</v>
      </c>
      <c r="M128" s="124">
        <v>70</v>
      </c>
      <c r="N128" s="124">
        <v>85</v>
      </c>
      <c r="O128" s="124">
        <v>85</v>
      </c>
      <c r="P128" s="124">
        <v>85</v>
      </c>
      <c r="Q128" s="124">
        <v>85</v>
      </c>
      <c r="R128" s="124">
        <v>80</v>
      </c>
      <c r="S128" s="124">
        <v>60</v>
      </c>
      <c r="T128" s="124">
        <v>79</v>
      </c>
      <c r="U128" s="124">
        <v>73</v>
      </c>
      <c r="V128" s="124">
        <v>87</v>
      </c>
      <c r="W128" s="506" t="s">
        <v>6</v>
      </c>
      <c r="X128" s="506" t="s">
        <v>6</v>
      </c>
      <c r="Y128" s="503" t="s">
        <v>36</v>
      </c>
      <c r="Z128" s="493" t="s">
        <v>36</v>
      </c>
      <c r="AA128" s="498" t="s">
        <v>36</v>
      </c>
      <c r="AB128" s="93" t="s">
        <v>180</v>
      </c>
      <c r="AC128" s="94" t="s">
        <v>36</v>
      </c>
      <c r="AD128" s="95">
        <f t="shared" ref="AD128:AD129" si="117">IFERROR(AVERAGE(F128:V128),"")</f>
        <v>77.529411764705884</v>
      </c>
      <c r="AE128" s="489">
        <f t="shared" ref="AE128" si="118">IFERROR((AD128+AD129)/2,"")</f>
        <v>78.235294117647058</v>
      </c>
      <c r="AF128" s="490">
        <f>IFERROR(RANK(AE128,$AE$8:$AE$167,0),"")</f>
        <v>2</v>
      </c>
      <c r="AG128" s="539" t="s">
        <v>280</v>
      </c>
    </row>
    <row r="129" spans="1:33" s="62" customFormat="1" ht="15">
      <c r="A129" s="528"/>
      <c r="B129" s="530"/>
      <c r="C129" s="533"/>
      <c r="D129" s="100" t="str">
        <f>B128&amp;"B"</f>
        <v>181910320B</v>
      </c>
      <c r="E129" s="101" t="s">
        <v>263</v>
      </c>
      <c r="F129" s="126">
        <v>80</v>
      </c>
      <c r="G129" s="102">
        <v>50</v>
      </c>
      <c r="H129" s="102">
        <v>86</v>
      </c>
      <c r="I129" s="102">
        <v>80</v>
      </c>
      <c r="J129" s="102">
        <v>76</v>
      </c>
      <c r="K129" s="102">
        <v>81</v>
      </c>
      <c r="L129" s="102">
        <v>80</v>
      </c>
      <c r="M129" s="102">
        <v>80</v>
      </c>
      <c r="N129" s="102">
        <v>80</v>
      </c>
      <c r="O129" s="102">
        <v>78</v>
      </c>
      <c r="P129" s="102">
        <v>86</v>
      </c>
      <c r="Q129" s="102">
        <v>84</v>
      </c>
      <c r="R129" s="102">
        <v>78</v>
      </c>
      <c r="S129" s="102">
        <v>86</v>
      </c>
      <c r="T129" s="102">
        <v>82</v>
      </c>
      <c r="U129" s="102">
        <v>70</v>
      </c>
      <c r="V129" s="102">
        <v>85</v>
      </c>
      <c r="W129" s="507"/>
      <c r="X129" s="507"/>
      <c r="Y129" s="504"/>
      <c r="Z129" s="494"/>
      <c r="AA129" s="499"/>
      <c r="AB129" s="104" t="s">
        <v>36</v>
      </c>
      <c r="AC129" s="105" t="s">
        <v>36</v>
      </c>
      <c r="AD129" s="106">
        <f t="shared" si="117"/>
        <v>78.941176470588232</v>
      </c>
      <c r="AE129" s="489"/>
      <c r="AF129" s="491"/>
      <c r="AG129" s="540"/>
    </row>
    <row r="130" spans="1:33" s="62" customFormat="1" ht="15">
      <c r="A130" s="528"/>
      <c r="B130" s="530"/>
      <c r="C130" s="533"/>
      <c r="D130" s="100" t="str">
        <f>B128&amp;"C"</f>
        <v>181910320C</v>
      </c>
      <c r="E130" s="111" t="s">
        <v>151</v>
      </c>
      <c r="F130" s="112" t="str">
        <f t="shared" ref="F130:V130" si="119">IFERROR(VLOOKUP(F128,$AI$8:$AJ$14,2,TRUE),"")</f>
        <v>C</v>
      </c>
      <c r="G130" s="113" t="str">
        <f t="shared" si="119"/>
        <v>D</v>
      </c>
      <c r="H130" s="113" t="str">
        <f t="shared" si="119"/>
        <v>B</v>
      </c>
      <c r="I130" s="113" t="str">
        <f t="shared" si="119"/>
        <v>B</v>
      </c>
      <c r="J130" s="113" t="str">
        <f t="shared" si="119"/>
        <v>B</v>
      </c>
      <c r="K130" s="113" t="str">
        <f t="shared" si="119"/>
        <v>C</v>
      </c>
      <c r="L130" s="113" t="str">
        <f t="shared" si="119"/>
        <v>B</v>
      </c>
      <c r="M130" s="113" t="str">
        <f t="shared" si="119"/>
        <v>C</v>
      </c>
      <c r="N130" s="113" t="str">
        <f t="shared" si="119"/>
        <v>B</v>
      </c>
      <c r="O130" s="113" t="str">
        <f t="shared" si="119"/>
        <v>B</v>
      </c>
      <c r="P130" s="113" t="str">
        <f t="shared" si="119"/>
        <v>B</v>
      </c>
      <c r="Q130" s="113" t="str">
        <f t="shared" si="119"/>
        <v>B</v>
      </c>
      <c r="R130" s="113" t="str">
        <f t="shared" si="119"/>
        <v>B</v>
      </c>
      <c r="S130" s="113" t="str">
        <f t="shared" si="119"/>
        <v>D</v>
      </c>
      <c r="T130" s="113" t="str">
        <f t="shared" si="119"/>
        <v>C</v>
      </c>
      <c r="U130" s="113" t="str">
        <f t="shared" si="119"/>
        <v>C</v>
      </c>
      <c r="V130" s="114" t="str">
        <f t="shared" si="119"/>
        <v>B</v>
      </c>
      <c r="W130" s="507"/>
      <c r="X130" s="507"/>
      <c r="Y130" s="504"/>
      <c r="Z130" s="494"/>
      <c r="AA130" s="499"/>
      <c r="AB130" s="104" t="s">
        <v>36</v>
      </c>
      <c r="AC130" s="105" t="s">
        <v>36</v>
      </c>
      <c r="AD130" s="496">
        <f>SUM(F128:V129)</f>
        <v>2660</v>
      </c>
      <c r="AE130" s="489"/>
      <c r="AF130" s="491"/>
      <c r="AG130" s="540"/>
    </row>
    <row r="131" spans="1:33" s="62" customFormat="1" ht="15">
      <c r="A131" s="529"/>
      <c r="B131" s="115"/>
      <c r="C131" s="116"/>
      <c r="D131" s="100" t="str">
        <f>B128&amp;"D"</f>
        <v>181910320D</v>
      </c>
      <c r="E131" s="117" t="s">
        <v>152</v>
      </c>
      <c r="F131" s="118" t="str">
        <f t="shared" ref="F131:V131" si="120">IFERROR(VLOOKUP(F129,$AI$8:$AJ$14,2,TRUE),"")</f>
        <v>B</v>
      </c>
      <c r="G131" s="119" t="str">
        <f t="shared" si="120"/>
        <v>D</v>
      </c>
      <c r="H131" s="119" t="str">
        <f t="shared" si="120"/>
        <v>B</v>
      </c>
      <c r="I131" s="119" t="str">
        <f t="shared" si="120"/>
        <v>B</v>
      </c>
      <c r="J131" s="119" t="str">
        <f t="shared" si="120"/>
        <v>C</v>
      </c>
      <c r="K131" s="119" t="str">
        <f t="shared" si="120"/>
        <v>B</v>
      </c>
      <c r="L131" s="119" t="str">
        <f t="shared" si="120"/>
        <v>B</v>
      </c>
      <c r="M131" s="119" t="str">
        <f t="shared" si="120"/>
        <v>B</v>
      </c>
      <c r="N131" s="119" t="str">
        <f t="shared" si="120"/>
        <v>B</v>
      </c>
      <c r="O131" s="119" t="str">
        <f t="shared" si="120"/>
        <v>C</v>
      </c>
      <c r="P131" s="119" t="str">
        <f t="shared" si="120"/>
        <v>B</v>
      </c>
      <c r="Q131" s="119" t="str">
        <f t="shared" si="120"/>
        <v>B</v>
      </c>
      <c r="R131" s="119" t="str">
        <f t="shared" si="120"/>
        <v>C</v>
      </c>
      <c r="S131" s="119" t="str">
        <f t="shared" si="120"/>
        <v>B</v>
      </c>
      <c r="T131" s="119" t="str">
        <f t="shared" si="120"/>
        <v>B</v>
      </c>
      <c r="U131" s="119" t="str">
        <f t="shared" si="120"/>
        <v>C</v>
      </c>
      <c r="V131" s="120" t="str">
        <f t="shared" si="120"/>
        <v>B</v>
      </c>
      <c r="W131" s="508"/>
      <c r="X131" s="508"/>
      <c r="Y131" s="505"/>
      <c r="Z131" s="495"/>
      <c r="AA131" s="500"/>
      <c r="AB131" s="121" t="s">
        <v>36</v>
      </c>
      <c r="AC131" s="122" t="s">
        <v>36</v>
      </c>
      <c r="AD131" s="497"/>
      <c r="AE131" s="489"/>
      <c r="AF131" s="492"/>
      <c r="AG131" s="541"/>
    </row>
    <row r="132" spans="1:33" s="62" customFormat="1" ht="15">
      <c r="A132" s="534">
        <v>32</v>
      </c>
      <c r="B132" s="531" t="str">
        <f>VLOOKUP(A132,biononis,2,1)</f>
        <v>181910331</v>
      </c>
      <c r="C132" s="532" t="str">
        <f>VLOOKUP(A132,biononis,3,1)</f>
        <v>RULLY PRATAMA S.</v>
      </c>
      <c r="D132" s="100" t="str">
        <f>B132&amp;"A"</f>
        <v>181910331A</v>
      </c>
      <c r="E132" s="89" t="s">
        <v>262</v>
      </c>
      <c r="F132" s="123">
        <v>65</v>
      </c>
      <c r="G132" s="124">
        <v>60</v>
      </c>
      <c r="H132" s="124">
        <v>78</v>
      </c>
      <c r="I132" s="124">
        <v>63</v>
      </c>
      <c r="J132" s="124">
        <v>20</v>
      </c>
      <c r="K132" s="124">
        <v>73</v>
      </c>
      <c r="L132" s="124">
        <v>75</v>
      </c>
      <c r="M132" s="124">
        <v>65</v>
      </c>
      <c r="N132" s="124">
        <v>15</v>
      </c>
      <c r="O132" s="124">
        <v>52</v>
      </c>
      <c r="P132" s="124">
        <v>73</v>
      </c>
      <c r="Q132" s="124">
        <v>35</v>
      </c>
      <c r="R132" s="124">
        <v>74</v>
      </c>
      <c r="S132" s="124">
        <v>51</v>
      </c>
      <c r="T132" s="124">
        <v>23</v>
      </c>
      <c r="U132" s="124">
        <v>65</v>
      </c>
      <c r="V132" s="124">
        <v>83</v>
      </c>
      <c r="W132" s="506" t="s">
        <v>18</v>
      </c>
      <c r="X132" s="506" t="s">
        <v>6</v>
      </c>
      <c r="Y132" s="503" t="s">
        <v>36</v>
      </c>
      <c r="Z132" s="493" t="s">
        <v>36</v>
      </c>
      <c r="AA132" s="498" t="s">
        <v>36</v>
      </c>
      <c r="AB132" s="93" t="s">
        <v>180</v>
      </c>
      <c r="AC132" s="94" t="s">
        <v>36</v>
      </c>
      <c r="AD132" s="95">
        <f t="shared" ref="AD132:AD133" si="121">IFERROR(AVERAGE(F132:V132),"")</f>
        <v>57.058823529411768</v>
      </c>
      <c r="AE132" s="489">
        <f t="shared" ref="AE132" si="122">IFERROR((AD132+AD133)/2,"")</f>
        <v>61</v>
      </c>
      <c r="AF132" s="490">
        <f>IFERROR(RANK(AE132,$AE$8:$AE$167,0),"")</f>
        <v>21</v>
      </c>
      <c r="AG132" s="539" t="s">
        <v>285</v>
      </c>
    </row>
    <row r="133" spans="1:33" s="62" customFormat="1" ht="15">
      <c r="A133" s="528"/>
      <c r="B133" s="530"/>
      <c r="C133" s="533"/>
      <c r="D133" s="100" t="str">
        <f>B132&amp;"B"</f>
        <v>181910331B</v>
      </c>
      <c r="E133" s="101" t="s">
        <v>263</v>
      </c>
      <c r="F133" s="126">
        <v>70</v>
      </c>
      <c r="G133" s="102">
        <v>50</v>
      </c>
      <c r="H133" s="102">
        <v>78</v>
      </c>
      <c r="I133" s="102">
        <v>65</v>
      </c>
      <c r="J133" s="102">
        <v>20</v>
      </c>
      <c r="K133" s="102">
        <v>75</v>
      </c>
      <c r="L133" s="102">
        <v>80</v>
      </c>
      <c r="M133" s="102">
        <v>70</v>
      </c>
      <c r="N133" s="102">
        <v>79</v>
      </c>
      <c r="O133" s="102">
        <v>75</v>
      </c>
      <c r="P133" s="102">
        <v>78</v>
      </c>
      <c r="Q133" s="102">
        <v>75</v>
      </c>
      <c r="R133" s="102">
        <v>72</v>
      </c>
      <c r="S133" s="102">
        <v>50</v>
      </c>
      <c r="T133" s="102">
        <v>27</v>
      </c>
      <c r="U133" s="102">
        <v>60</v>
      </c>
      <c r="V133" s="102">
        <v>80</v>
      </c>
      <c r="W133" s="507"/>
      <c r="X133" s="507"/>
      <c r="Y133" s="504"/>
      <c r="Z133" s="494"/>
      <c r="AA133" s="499"/>
      <c r="AB133" s="104" t="s">
        <v>36</v>
      </c>
      <c r="AC133" s="105" t="s">
        <v>36</v>
      </c>
      <c r="AD133" s="106">
        <f t="shared" si="121"/>
        <v>64.941176470588232</v>
      </c>
      <c r="AE133" s="489"/>
      <c r="AF133" s="491"/>
      <c r="AG133" s="540"/>
    </row>
    <row r="134" spans="1:33" s="62" customFormat="1" ht="15">
      <c r="A134" s="528"/>
      <c r="B134" s="530"/>
      <c r="C134" s="533"/>
      <c r="D134" s="100" t="str">
        <f>B132&amp;"C"</f>
        <v>181910331C</v>
      </c>
      <c r="E134" s="111" t="s">
        <v>151</v>
      </c>
      <c r="F134" s="112" t="str">
        <f t="shared" ref="F134:V134" si="123">IFERROR(VLOOKUP(F132,$AI$8:$AJ$14,2,TRUE),"")</f>
        <v>D</v>
      </c>
      <c r="G134" s="113" t="str">
        <f t="shared" si="123"/>
        <v>D</v>
      </c>
      <c r="H134" s="113" t="str">
        <f t="shared" si="123"/>
        <v>C</v>
      </c>
      <c r="I134" s="113" t="str">
        <f t="shared" si="123"/>
        <v>D</v>
      </c>
      <c r="J134" s="113" t="str">
        <f t="shared" si="123"/>
        <v>D</v>
      </c>
      <c r="K134" s="113" t="str">
        <f t="shared" si="123"/>
        <v>C</v>
      </c>
      <c r="L134" s="113" t="str">
        <f t="shared" si="123"/>
        <v>C</v>
      </c>
      <c r="M134" s="113" t="str">
        <f t="shared" si="123"/>
        <v>D</v>
      </c>
      <c r="N134" s="113" t="str">
        <f t="shared" si="123"/>
        <v>D</v>
      </c>
      <c r="O134" s="113" t="str">
        <f t="shared" si="123"/>
        <v>D</v>
      </c>
      <c r="P134" s="113" t="str">
        <f t="shared" si="123"/>
        <v>C</v>
      </c>
      <c r="Q134" s="113" t="str">
        <f t="shared" si="123"/>
        <v>D</v>
      </c>
      <c r="R134" s="113" t="str">
        <f t="shared" si="123"/>
        <v>C</v>
      </c>
      <c r="S134" s="113" t="str">
        <f t="shared" si="123"/>
        <v>D</v>
      </c>
      <c r="T134" s="113" t="str">
        <f t="shared" si="123"/>
        <v>D</v>
      </c>
      <c r="U134" s="113" t="str">
        <f t="shared" si="123"/>
        <v>D</v>
      </c>
      <c r="V134" s="114" t="str">
        <f t="shared" si="123"/>
        <v>B</v>
      </c>
      <c r="W134" s="507"/>
      <c r="X134" s="507"/>
      <c r="Y134" s="504"/>
      <c r="Z134" s="494"/>
      <c r="AA134" s="499"/>
      <c r="AB134" s="104" t="s">
        <v>36</v>
      </c>
      <c r="AC134" s="105" t="s">
        <v>36</v>
      </c>
      <c r="AD134" s="496">
        <f>SUM(F132:V133)</f>
        <v>2074</v>
      </c>
      <c r="AE134" s="489"/>
      <c r="AF134" s="491"/>
      <c r="AG134" s="540"/>
    </row>
    <row r="135" spans="1:33" s="62" customFormat="1" ht="15">
      <c r="A135" s="535"/>
      <c r="B135" s="130"/>
      <c r="C135" s="131"/>
      <c r="D135" s="100" t="str">
        <f>B132&amp;"D"</f>
        <v>181910331D</v>
      </c>
      <c r="E135" s="117" t="s">
        <v>152</v>
      </c>
      <c r="F135" s="118" t="str">
        <f t="shared" ref="F135:V135" si="124">IFERROR(VLOOKUP(F133,$AI$8:$AJ$14,2,TRUE),"")</f>
        <v>C</v>
      </c>
      <c r="G135" s="119" t="str">
        <f t="shared" si="124"/>
        <v>D</v>
      </c>
      <c r="H135" s="119" t="str">
        <f t="shared" si="124"/>
        <v>C</v>
      </c>
      <c r="I135" s="119" t="str">
        <f t="shared" si="124"/>
        <v>D</v>
      </c>
      <c r="J135" s="119" t="str">
        <f t="shared" si="124"/>
        <v>D</v>
      </c>
      <c r="K135" s="119" t="str">
        <f t="shared" si="124"/>
        <v>C</v>
      </c>
      <c r="L135" s="119" t="str">
        <f t="shared" si="124"/>
        <v>B</v>
      </c>
      <c r="M135" s="119" t="str">
        <f t="shared" si="124"/>
        <v>C</v>
      </c>
      <c r="N135" s="119" t="str">
        <f t="shared" si="124"/>
        <v>C</v>
      </c>
      <c r="O135" s="119" t="str">
        <f t="shared" si="124"/>
        <v>C</v>
      </c>
      <c r="P135" s="119" t="str">
        <f t="shared" si="124"/>
        <v>C</v>
      </c>
      <c r="Q135" s="119" t="str">
        <f t="shared" si="124"/>
        <v>C</v>
      </c>
      <c r="R135" s="119" t="str">
        <f t="shared" si="124"/>
        <v>C</v>
      </c>
      <c r="S135" s="119" t="str">
        <f t="shared" si="124"/>
        <v>D</v>
      </c>
      <c r="T135" s="119" t="str">
        <f t="shared" si="124"/>
        <v>D</v>
      </c>
      <c r="U135" s="119" t="str">
        <f t="shared" si="124"/>
        <v>D</v>
      </c>
      <c r="V135" s="120" t="str">
        <f t="shared" si="124"/>
        <v>B</v>
      </c>
      <c r="W135" s="508"/>
      <c r="X135" s="508"/>
      <c r="Y135" s="505"/>
      <c r="Z135" s="495"/>
      <c r="AA135" s="500"/>
      <c r="AB135" s="121" t="s">
        <v>36</v>
      </c>
      <c r="AC135" s="122" t="s">
        <v>36</v>
      </c>
      <c r="AD135" s="497"/>
      <c r="AE135" s="489"/>
      <c r="AF135" s="492"/>
      <c r="AG135" s="541"/>
    </row>
    <row r="136" spans="1:33" s="62" customFormat="1" ht="15">
      <c r="A136" s="527">
        <v>33</v>
      </c>
      <c r="B136" s="530" t="str">
        <f>VLOOKUP(A136,biononis,2,1)</f>
        <v>181910335</v>
      </c>
      <c r="C136" s="533" t="str">
        <f>VLOOKUP(A136,biononis,3,1)</f>
        <v>SALSA ASYKIYA</v>
      </c>
      <c r="D136" s="100" t="str">
        <f>B136&amp;"A"</f>
        <v>181910335A</v>
      </c>
      <c r="E136" s="89" t="s">
        <v>262</v>
      </c>
      <c r="F136" s="123">
        <v>80</v>
      </c>
      <c r="G136" s="124">
        <v>82</v>
      </c>
      <c r="H136" s="124">
        <v>73</v>
      </c>
      <c r="I136" s="124">
        <v>86</v>
      </c>
      <c r="J136" s="124">
        <v>83</v>
      </c>
      <c r="K136" s="124">
        <v>75</v>
      </c>
      <c r="L136" s="124">
        <v>78</v>
      </c>
      <c r="M136" s="124">
        <v>80</v>
      </c>
      <c r="N136" s="124">
        <v>85</v>
      </c>
      <c r="O136" s="124">
        <v>84</v>
      </c>
      <c r="P136" s="124">
        <v>85</v>
      </c>
      <c r="Q136" s="124">
        <v>92</v>
      </c>
      <c r="R136" s="124">
        <v>80</v>
      </c>
      <c r="S136" s="124">
        <v>53</v>
      </c>
      <c r="T136" s="124">
        <v>78</v>
      </c>
      <c r="U136" s="124">
        <v>74</v>
      </c>
      <c r="V136" s="124">
        <v>85</v>
      </c>
      <c r="W136" s="506" t="s">
        <v>288</v>
      </c>
      <c r="X136" s="506" t="s">
        <v>288</v>
      </c>
      <c r="Y136" s="503" t="s">
        <v>36</v>
      </c>
      <c r="Z136" s="493" t="s">
        <v>36</v>
      </c>
      <c r="AA136" s="498" t="s">
        <v>36</v>
      </c>
      <c r="AB136" s="93" t="s">
        <v>180</v>
      </c>
      <c r="AC136" s="94" t="s">
        <v>36</v>
      </c>
      <c r="AD136" s="95">
        <f t="shared" ref="AD136:AD137" si="125">IFERROR(AVERAGE(F136:V136),"")</f>
        <v>79.588235294117652</v>
      </c>
      <c r="AE136" s="489">
        <f t="shared" ref="AE136" si="126">IFERROR((AD136+AD137)/2,"")</f>
        <v>79.794117647058826</v>
      </c>
      <c r="AF136" s="490">
        <f>IFERROR(RANK(AE136,$AE$8:$AE$167,0),"")</f>
        <v>1</v>
      </c>
      <c r="AG136" s="539" t="s">
        <v>281</v>
      </c>
    </row>
    <row r="137" spans="1:33" s="62" customFormat="1" ht="15">
      <c r="A137" s="528"/>
      <c r="B137" s="530"/>
      <c r="C137" s="533"/>
      <c r="D137" s="100" t="str">
        <f>B136&amp;"B"</f>
        <v>181910335B</v>
      </c>
      <c r="E137" s="101" t="s">
        <v>263</v>
      </c>
      <c r="F137" s="126">
        <v>80</v>
      </c>
      <c r="G137" s="102">
        <v>82</v>
      </c>
      <c r="H137" s="102">
        <v>71</v>
      </c>
      <c r="I137" s="102">
        <v>85</v>
      </c>
      <c r="J137" s="102">
        <v>77</v>
      </c>
      <c r="K137" s="102">
        <v>75</v>
      </c>
      <c r="L137" s="102">
        <v>78</v>
      </c>
      <c r="M137" s="102">
        <v>80</v>
      </c>
      <c r="N137" s="102">
        <v>80</v>
      </c>
      <c r="O137" s="102">
        <v>83</v>
      </c>
      <c r="P137" s="102">
        <v>86</v>
      </c>
      <c r="Q137" s="102">
        <v>85</v>
      </c>
      <c r="R137" s="102">
        <v>76</v>
      </c>
      <c r="S137" s="102">
        <v>86</v>
      </c>
      <c r="T137" s="102">
        <v>83</v>
      </c>
      <c r="U137" s="102">
        <v>70</v>
      </c>
      <c r="V137" s="102">
        <v>83</v>
      </c>
      <c r="W137" s="507"/>
      <c r="X137" s="507"/>
      <c r="Y137" s="504"/>
      <c r="Z137" s="494"/>
      <c r="AA137" s="499"/>
      <c r="AB137" s="104" t="s">
        <v>36</v>
      </c>
      <c r="AC137" s="105" t="s">
        <v>36</v>
      </c>
      <c r="AD137" s="106">
        <f t="shared" si="125"/>
        <v>80</v>
      </c>
      <c r="AE137" s="489"/>
      <c r="AF137" s="491"/>
      <c r="AG137" s="540"/>
    </row>
    <row r="138" spans="1:33" s="62" customFormat="1" ht="15">
      <c r="A138" s="528"/>
      <c r="B138" s="530"/>
      <c r="C138" s="533"/>
      <c r="D138" s="100" t="str">
        <f>B136&amp;"C"</f>
        <v>181910335C</v>
      </c>
      <c r="E138" s="111" t="s">
        <v>151</v>
      </c>
      <c r="F138" s="112" t="str">
        <f t="shared" ref="F138:V138" si="127">IFERROR(VLOOKUP(F136,$AI$8:$AJ$14,2,TRUE),"")</f>
        <v>B</v>
      </c>
      <c r="G138" s="113" t="str">
        <f t="shared" si="127"/>
        <v>B</v>
      </c>
      <c r="H138" s="113" t="str">
        <f t="shared" si="127"/>
        <v>C</v>
      </c>
      <c r="I138" s="113" t="str">
        <f t="shared" si="127"/>
        <v>B</v>
      </c>
      <c r="J138" s="113" t="str">
        <f t="shared" si="127"/>
        <v>B</v>
      </c>
      <c r="K138" s="113" t="str">
        <f t="shared" si="127"/>
        <v>C</v>
      </c>
      <c r="L138" s="113" t="str">
        <f t="shared" si="127"/>
        <v>C</v>
      </c>
      <c r="M138" s="113" t="str">
        <f t="shared" si="127"/>
        <v>B</v>
      </c>
      <c r="N138" s="113" t="str">
        <f t="shared" si="127"/>
        <v>B</v>
      </c>
      <c r="O138" s="113" t="str">
        <f t="shared" si="127"/>
        <v>B</v>
      </c>
      <c r="P138" s="113" t="str">
        <f t="shared" si="127"/>
        <v>B</v>
      </c>
      <c r="Q138" s="113" t="str">
        <f t="shared" si="127"/>
        <v>A</v>
      </c>
      <c r="R138" s="113" t="str">
        <f t="shared" si="127"/>
        <v>B</v>
      </c>
      <c r="S138" s="113" t="str">
        <f t="shared" si="127"/>
        <v>D</v>
      </c>
      <c r="T138" s="113" t="str">
        <f t="shared" si="127"/>
        <v>C</v>
      </c>
      <c r="U138" s="113" t="str">
        <f t="shared" si="127"/>
        <v>C</v>
      </c>
      <c r="V138" s="114" t="str">
        <f t="shared" si="127"/>
        <v>B</v>
      </c>
      <c r="W138" s="507"/>
      <c r="X138" s="507"/>
      <c r="Y138" s="504"/>
      <c r="Z138" s="494"/>
      <c r="AA138" s="499"/>
      <c r="AB138" s="104" t="s">
        <v>36</v>
      </c>
      <c r="AC138" s="105" t="s">
        <v>36</v>
      </c>
      <c r="AD138" s="496">
        <f>SUM(F136:V137)</f>
        <v>2713</v>
      </c>
      <c r="AE138" s="489"/>
      <c r="AF138" s="491"/>
      <c r="AG138" s="540"/>
    </row>
    <row r="139" spans="1:33" s="62" customFormat="1" ht="15">
      <c r="A139" s="529"/>
      <c r="B139" s="115"/>
      <c r="C139" s="116"/>
      <c r="D139" s="100" t="str">
        <f>B136&amp;"D"</f>
        <v>181910335D</v>
      </c>
      <c r="E139" s="117" t="s">
        <v>152</v>
      </c>
      <c r="F139" s="118" t="str">
        <f t="shared" ref="F139:V139" si="128">IFERROR(VLOOKUP(F137,$AI$8:$AJ$14,2,TRUE),"")</f>
        <v>B</v>
      </c>
      <c r="G139" s="119" t="str">
        <f t="shared" si="128"/>
        <v>B</v>
      </c>
      <c r="H139" s="119" t="str">
        <f t="shared" si="128"/>
        <v>C</v>
      </c>
      <c r="I139" s="119" t="str">
        <f t="shared" si="128"/>
        <v>B</v>
      </c>
      <c r="J139" s="119" t="str">
        <f t="shared" si="128"/>
        <v>C</v>
      </c>
      <c r="K139" s="119" t="str">
        <f t="shared" si="128"/>
        <v>C</v>
      </c>
      <c r="L139" s="119" t="str">
        <f t="shared" si="128"/>
        <v>C</v>
      </c>
      <c r="M139" s="119" t="str">
        <f t="shared" si="128"/>
        <v>B</v>
      </c>
      <c r="N139" s="119" t="str">
        <f t="shared" si="128"/>
        <v>B</v>
      </c>
      <c r="O139" s="119" t="str">
        <f t="shared" si="128"/>
        <v>B</v>
      </c>
      <c r="P139" s="119" t="str">
        <f t="shared" si="128"/>
        <v>B</v>
      </c>
      <c r="Q139" s="119" t="str">
        <f t="shared" si="128"/>
        <v>B</v>
      </c>
      <c r="R139" s="119" t="str">
        <f t="shared" si="128"/>
        <v>C</v>
      </c>
      <c r="S139" s="119" t="str">
        <f t="shared" si="128"/>
        <v>B</v>
      </c>
      <c r="T139" s="119" t="str">
        <f t="shared" si="128"/>
        <v>B</v>
      </c>
      <c r="U139" s="119" t="str">
        <f t="shared" si="128"/>
        <v>C</v>
      </c>
      <c r="V139" s="120" t="str">
        <f t="shared" si="128"/>
        <v>B</v>
      </c>
      <c r="W139" s="508"/>
      <c r="X139" s="508"/>
      <c r="Y139" s="505"/>
      <c r="Z139" s="495"/>
      <c r="AA139" s="500"/>
      <c r="AB139" s="121" t="s">
        <v>36</v>
      </c>
      <c r="AC139" s="122" t="s">
        <v>36</v>
      </c>
      <c r="AD139" s="497"/>
      <c r="AE139" s="489"/>
      <c r="AF139" s="492"/>
      <c r="AG139" s="541"/>
    </row>
    <row r="140" spans="1:33" s="62" customFormat="1" ht="15">
      <c r="A140" s="534">
        <v>34</v>
      </c>
      <c r="B140" s="531" t="str">
        <f>VLOOKUP(A140,biononis,2,1)</f>
        <v>181910353</v>
      </c>
      <c r="C140" s="532" t="str">
        <f>VLOOKUP(A140,biononis,3,1)</f>
        <v>SILFI HAMIDAH</v>
      </c>
      <c r="D140" s="100" t="str">
        <f>B140&amp;"A"</f>
        <v>181910353A</v>
      </c>
      <c r="E140" s="89" t="s">
        <v>262</v>
      </c>
      <c r="F140" s="123">
        <v>65</v>
      </c>
      <c r="G140" s="124">
        <v>78</v>
      </c>
      <c r="H140" s="124">
        <v>71</v>
      </c>
      <c r="I140" s="124">
        <v>78</v>
      </c>
      <c r="J140" s="124">
        <v>81</v>
      </c>
      <c r="K140" s="124">
        <v>70</v>
      </c>
      <c r="L140" s="124">
        <v>76</v>
      </c>
      <c r="M140" s="124">
        <v>65</v>
      </c>
      <c r="N140" s="124">
        <v>83</v>
      </c>
      <c r="O140" s="124">
        <v>71</v>
      </c>
      <c r="P140" s="124">
        <v>84</v>
      </c>
      <c r="Q140" s="124">
        <v>79</v>
      </c>
      <c r="R140" s="124">
        <v>78</v>
      </c>
      <c r="S140" s="124">
        <v>51</v>
      </c>
      <c r="T140" s="124">
        <v>78</v>
      </c>
      <c r="U140" s="124">
        <v>76</v>
      </c>
      <c r="V140" s="124">
        <v>80</v>
      </c>
      <c r="W140" s="506" t="s">
        <v>6</v>
      </c>
      <c r="X140" s="506" t="s">
        <v>6</v>
      </c>
      <c r="Y140" s="503" t="s">
        <v>36</v>
      </c>
      <c r="Z140" s="493" t="s">
        <v>36</v>
      </c>
      <c r="AA140" s="498" t="s">
        <v>36</v>
      </c>
      <c r="AB140" s="93" t="s">
        <v>180</v>
      </c>
      <c r="AC140" s="94" t="s">
        <v>36</v>
      </c>
      <c r="AD140" s="95">
        <f t="shared" ref="AD140:AD141" si="129">IFERROR(AVERAGE(F140:V140),"")</f>
        <v>74.352941176470594</v>
      </c>
      <c r="AE140" s="489">
        <f t="shared" ref="AE140" si="130">IFERROR((AD140+AD141)/2,"")</f>
        <v>75.332720588235304</v>
      </c>
      <c r="AF140" s="490">
        <f>IFERROR(RANK(AE140,$AE$8:$AE$167,0),"")</f>
        <v>4</v>
      </c>
      <c r="AG140" s="539" t="s">
        <v>280</v>
      </c>
    </row>
    <row r="141" spans="1:33" s="62" customFormat="1" ht="15">
      <c r="A141" s="528"/>
      <c r="B141" s="530"/>
      <c r="C141" s="533"/>
      <c r="D141" s="100" t="str">
        <f>B140&amp;"B"</f>
        <v>181910353B</v>
      </c>
      <c r="E141" s="101" t="s">
        <v>263</v>
      </c>
      <c r="F141" s="126">
        <v>80</v>
      </c>
      <c r="G141" s="102">
        <v>80</v>
      </c>
      <c r="H141" s="102">
        <v>70</v>
      </c>
      <c r="I141" s="102">
        <v>76</v>
      </c>
      <c r="J141" s="102">
        <v>76</v>
      </c>
      <c r="K141" s="102">
        <v>75</v>
      </c>
      <c r="L141" s="102">
        <v>77</v>
      </c>
      <c r="M141" s="102">
        <v>80</v>
      </c>
      <c r="N141" s="102">
        <v>80</v>
      </c>
      <c r="O141" s="102">
        <v>85</v>
      </c>
      <c r="P141" s="102">
        <v>85</v>
      </c>
      <c r="Q141" s="102" t="s">
        <v>430</v>
      </c>
      <c r="R141" s="102">
        <v>76</v>
      </c>
      <c r="S141" s="102">
        <v>50</v>
      </c>
      <c r="T141" s="102">
        <v>81</v>
      </c>
      <c r="U141" s="102">
        <v>70</v>
      </c>
      <c r="V141" s="102">
        <v>80</v>
      </c>
      <c r="W141" s="507"/>
      <c r="X141" s="507"/>
      <c r="Y141" s="504"/>
      <c r="Z141" s="494"/>
      <c r="AA141" s="499"/>
      <c r="AB141" s="104" t="s">
        <v>36</v>
      </c>
      <c r="AC141" s="105" t="s">
        <v>36</v>
      </c>
      <c r="AD141" s="106">
        <f t="shared" si="129"/>
        <v>76.3125</v>
      </c>
      <c r="AE141" s="489"/>
      <c r="AF141" s="491"/>
      <c r="AG141" s="540"/>
    </row>
    <row r="142" spans="1:33" s="62" customFormat="1" ht="15">
      <c r="A142" s="528"/>
      <c r="B142" s="530"/>
      <c r="C142" s="533"/>
      <c r="D142" s="100" t="str">
        <f>B140&amp;"C"</f>
        <v>181910353C</v>
      </c>
      <c r="E142" s="111" t="s">
        <v>151</v>
      </c>
      <c r="F142" s="112" t="str">
        <f t="shared" ref="F142:V142" si="131">IFERROR(VLOOKUP(F140,$AI$8:$AJ$14,2,TRUE),"")</f>
        <v>D</v>
      </c>
      <c r="G142" s="113" t="str">
        <f t="shared" si="131"/>
        <v>C</v>
      </c>
      <c r="H142" s="113" t="str">
        <f t="shared" si="131"/>
        <v>C</v>
      </c>
      <c r="I142" s="113" t="str">
        <f t="shared" si="131"/>
        <v>C</v>
      </c>
      <c r="J142" s="113" t="str">
        <f t="shared" si="131"/>
        <v>B</v>
      </c>
      <c r="K142" s="113" t="str">
        <f t="shared" si="131"/>
        <v>C</v>
      </c>
      <c r="L142" s="113" t="str">
        <f t="shared" si="131"/>
        <v>C</v>
      </c>
      <c r="M142" s="113" t="str">
        <f t="shared" si="131"/>
        <v>D</v>
      </c>
      <c r="N142" s="113" t="str">
        <f t="shared" si="131"/>
        <v>B</v>
      </c>
      <c r="O142" s="113" t="str">
        <f t="shared" si="131"/>
        <v>C</v>
      </c>
      <c r="P142" s="113" t="str">
        <f t="shared" si="131"/>
        <v>B</v>
      </c>
      <c r="Q142" s="113" t="str">
        <f t="shared" si="131"/>
        <v>C</v>
      </c>
      <c r="R142" s="113" t="str">
        <f t="shared" si="131"/>
        <v>C</v>
      </c>
      <c r="S142" s="113" t="str">
        <f t="shared" si="131"/>
        <v>D</v>
      </c>
      <c r="T142" s="113" t="str">
        <f t="shared" si="131"/>
        <v>C</v>
      </c>
      <c r="U142" s="113" t="str">
        <f t="shared" si="131"/>
        <v>C</v>
      </c>
      <c r="V142" s="114" t="str">
        <f t="shared" si="131"/>
        <v>B</v>
      </c>
      <c r="W142" s="507"/>
      <c r="X142" s="507"/>
      <c r="Y142" s="504"/>
      <c r="Z142" s="494"/>
      <c r="AA142" s="499"/>
      <c r="AB142" s="104" t="s">
        <v>36</v>
      </c>
      <c r="AC142" s="105" t="s">
        <v>36</v>
      </c>
      <c r="AD142" s="496">
        <f>SUM(F140:V141)</f>
        <v>2485</v>
      </c>
      <c r="AE142" s="489"/>
      <c r="AF142" s="491"/>
      <c r="AG142" s="540"/>
    </row>
    <row r="143" spans="1:33" s="62" customFormat="1" ht="15">
      <c r="A143" s="535"/>
      <c r="B143" s="130"/>
      <c r="C143" s="131"/>
      <c r="D143" s="100" t="str">
        <f>B140&amp;"D"</f>
        <v>181910353D</v>
      </c>
      <c r="E143" s="117" t="s">
        <v>152</v>
      </c>
      <c r="F143" s="118" t="str">
        <f t="shared" ref="F143:V143" si="132">IFERROR(VLOOKUP(F141,$AI$8:$AJ$14,2,TRUE),"")</f>
        <v>B</v>
      </c>
      <c r="G143" s="119" t="str">
        <f t="shared" si="132"/>
        <v>B</v>
      </c>
      <c r="H143" s="119" t="str">
        <f t="shared" si="132"/>
        <v>C</v>
      </c>
      <c r="I143" s="119" t="str">
        <f t="shared" si="132"/>
        <v>C</v>
      </c>
      <c r="J143" s="119" t="str">
        <f t="shared" si="132"/>
        <v>C</v>
      </c>
      <c r="K143" s="119" t="str">
        <f t="shared" si="132"/>
        <v>C</v>
      </c>
      <c r="L143" s="119" t="str">
        <f t="shared" si="132"/>
        <v>C</v>
      </c>
      <c r="M143" s="119" t="str">
        <f t="shared" si="132"/>
        <v>B</v>
      </c>
      <c r="N143" s="119" t="str">
        <f t="shared" si="132"/>
        <v>B</v>
      </c>
      <c r="O143" s="119" t="str">
        <f t="shared" si="132"/>
        <v>B</v>
      </c>
      <c r="P143" s="119" t="str">
        <f t="shared" si="132"/>
        <v>B</v>
      </c>
      <c r="Q143" s="119" t="str">
        <f t="shared" si="132"/>
        <v>--</v>
      </c>
      <c r="R143" s="119" t="str">
        <f t="shared" si="132"/>
        <v>C</v>
      </c>
      <c r="S143" s="119" t="str">
        <f t="shared" si="132"/>
        <v>D</v>
      </c>
      <c r="T143" s="119" t="str">
        <f t="shared" si="132"/>
        <v>B</v>
      </c>
      <c r="U143" s="119" t="str">
        <f t="shared" si="132"/>
        <v>C</v>
      </c>
      <c r="V143" s="120" t="str">
        <f t="shared" si="132"/>
        <v>B</v>
      </c>
      <c r="W143" s="508"/>
      <c r="X143" s="508"/>
      <c r="Y143" s="505"/>
      <c r="Z143" s="495"/>
      <c r="AA143" s="500"/>
      <c r="AB143" s="121" t="s">
        <v>36</v>
      </c>
      <c r="AC143" s="122" t="s">
        <v>36</v>
      </c>
      <c r="AD143" s="497"/>
      <c r="AE143" s="489"/>
      <c r="AF143" s="492"/>
      <c r="AG143" s="541"/>
    </row>
    <row r="144" spans="1:33" s="62" customFormat="1" ht="15">
      <c r="A144" s="527">
        <v>35</v>
      </c>
      <c r="B144" s="530" t="str">
        <f>VLOOKUP(A144,biononis,2,1)</f>
        <v>181910408</v>
      </c>
      <c r="C144" s="533" t="str">
        <f>VLOOKUP(A144,biononis,3,1)</f>
        <v>YESHA RAHAYU</v>
      </c>
      <c r="D144" s="100" t="str">
        <f>B144&amp;"A"</f>
        <v>181910408A</v>
      </c>
      <c r="E144" s="89" t="s">
        <v>262</v>
      </c>
      <c r="F144" s="123">
        <v>55</v>
      </c>
      <c r="G144" s="124">
        <v>70</v>
      </c>
      <c r="H144" s="124"/>
      <c r="I144" s="124">
        <v>76</v>
      </c>
      <c r="J144" s="124">
        <v>40</v>
      </c>
      <c r="K144" s="124">
        <v>73</v>
      </c>
      <c r="L144" s="124">
        <v>75</v>
      </c>
      <c r="M144" s="124">
        <v>55</v>
      </c>
      <c r="N144" s="124">
        <v>35</v>
      </c>
      <c r="O144" s="124">
        <v>70</v>
      </c>
      <c r="P144" s="124">
        <v>77</v>
      </c>
      <c r="Q144" s="124">
        <v>49</v>
      </c>
      <c r="R144" s="124">
        <v>72</v>
      </c>
      <c r="S144" s="124">
        <v>47</v>
      </c>
      <c r="T144" s="124">
        <v>49</v>
      </c>
      <c r="U144" s="124">
        <v>20</v>
      </c>
      <c r="V144" s="124">
        <v>78</v>
      </c>
      <c r="W144" s="506" t="s">
        <v>6</v>
      </c>
      <c r="X144" s="506" t="s">
        <v>6</v>
      </c>
      <c r="Y144" s="503" t="s">
        <v>36</v>
      </c>
      <c r="Z144" s="493" t="s">
        <v>36</v>
      </c>
      <c r="AA144" s="498" t="s">
        <v>36</v>
      </c>
      <c r="AB144" s="93" t="s">
        <v>180</v>
      </c>
      <c r="AC144" s="94" t="s">
        <v>36</v>
      </c>
      <c r="AD144" s="95">
        <f t="shared" ref="AD144:AD145" si="133">IFERROR(AVERAGE(F144:V144),"")</f>
        <v>58.8125</v>
      </c>
      <c r="AE144" s="489">
        <f t="shared" ref="AE144" si="134">IFERROR((AD144+AD145)/2,"")</f>
        <v>61.75</v>
      </c>
      <c r="AF144" s="490">
        <f>IFERROR(RANK(AE144,$AE$8:$AE$167,0),"")</f>
        <v>20</v>
      </c>
      <c r="AG144" s="539" t="s">
        <v>282</v>
      </c>
    </row>
    <row r="145" spans="1:33" s="62" customFormat="1" ht="15">
      <c r="A145" s="528"/>
      <c r="B145" s="530"/>
      <c r="C145" s="533"/>
      <c r="D145" s="100" t="str">
        <f>B144&amp;"B"</f>
        <v>181910408B</v>
      </c>
      <c r="E145" s="101" t="s">
        <v>263</v>
      </c>
      <c r="F145" s="126">
        <v>80</v>
      </c>
      <c r="G145" s="102">
        <v>70</v>
      </c>
      <c r="H145" s="102"/>
      <c r="I145" s="102">
        <v>76</v>
      </c>
      <c r="J145" s="102">
        <v>40</v>
      </c>
      <c r="K145" s="102">
        <v>75</v>
      </c>
      <c r="L145" s="102">
        <v>75</v>
      </c>
      <c r="M145" s="102">
        <v>80</v>
      </c>
      <c r="N145" s="102">
        <v>35</v>
      </c>
      <c r="O145" s="102">
        <v>73</v>
      </c>
      <c r="P145" s="102">
        <v>80</v>
      </c>
      <c r="Q145" s="102">
        <v>41</v>
      </c>
      <c r="R145" s="102">
        <v>72</v>
      </c>
      <c r="S145" s="102">
        <v>50</v>
      </c>
      <c r="T145" s="102">
        <v>53</v>
      </c>
      <c r="U145" s="102">
        <v>60</v>
      </c>
      <c r="V145" s="102">
        <v>75</v>
      </c>
      <c r="W145" s="507"/>
      <c r="X145" s="507"/>
      <c r="Y145" s="504"/>
      <c r="Z145" s="494"/>
      <c r="AA145" s="499"/>
      <c r="AB145" s="104" t="s">
        <v>36</v>
      </c>
      <c r="AC145" s="105" t="s">
        <v>36</v>
      </c>
      <c r="AD145" s="106">
        <f t="shared" si="133"/>
        <v>64.6875</v>
      </c>
      <c r="AE145" s="489"/>
      <c r="AF145" s="491"/>
      <c r="AG145" s="540"/>
    </row>
    <row r="146" spans="1:33" s="62" customFormat="1" ht="15">
      <c r="A146" s="528"/>
      <c r="B146" s="530"/>
      <c r="C146" s="533"/>
      <c r="D146" s="100" t="str">
        <f>B144&amp;"C"</f>
        <v>181910408C</v>
      </c>
      <c r="E146" s="111" t="s">
        <v>151</v>
      </c>
      <c r="F146" s="112" t="str">
        <f t="shared" ref="F146:V146" si="135">IFERROR(VLOOKUP(F144,$AI$8:$AJ$14,2,TRUE),"")</f>
        <v>D</v>
      </c>
      <c r="G146" s="113" t="str">
        <f t="shared" si="135"/>
        <v>C</v>
      </c>
      <c r="H146" s="113" t="str">
        <f t="shared" si="135"/>
        <v/>
      </c>
      <c r="I146" s="113" t="str">
        <f t="shared" si="135"/>
        <v>C</v>
      </c>
      <c r="J146" s="113" t="str">
        <f t="shared" si="135"/>
        <v>D</v>
      </c>
      <c r="K146" s="113" t="str">
        <f t="shared" si="135"/>
        <v>C</v>
      </c>
      <c r="L146" s="113" t="str">
        <f t="shared" si="135"/>
        <v>C</v>
      </c>
      <c r="M146" s="113" t="str">
        <f t="shared" si="135"/>
        <v>D</v>
      </c>
      <c r="N146" s="113" t="str">
        <f t="shared" si="135"/>
        <v>D</v>
      </c>
      <c r="O146" s="113" t="str">
        <f t="shared" si="135"/>
        <v>C</v>
      </c>
      <c r="P146" s="113" t="str">
        <f t="shared" si="135"/>
        <v>C</v>
      </c>
      <c r="Q146" s="113" t="str">
        <f t="shared" si="135"/>
        <v>D</v>
      </c>
      <c r="R146" s="113" t="str">
        <f t="shared" si="135"/>
        <v>C</v>
      </c>
      <c r="S146" s="113" t="str">
        <f t="shared" si="135"/>
        <v>D</v>
      </c>
      <c r="T146" s="113" t="str">
        <f t="shared" si="135"/>
        <v>D</v>
      </c>
      <c r="U146" s="113" t="str">
        <f t="shared" si="135"/>
        <v>D</v>
      </c>
      <c r="V146" s="114" t="str">
        <f t="shared" si="135"/>
        <v>C</v>
      </c>
      <c r="W146" s="507"/>
      <c r="X146" s="507"/>
      <c r="Y146" s="504"/>
      <c r="Z146" s="494"/>
      <c r="AA146" s="499"/>
      <c r="AB146" s="104" t="s">
        <v>36</v>
      </c>
      <c r="AC146" s="105" t="s">
        <v>36</v>
      </c>
      <c r="AD146" s="496">
        <f>SUM(F144:V145)</f>
        <v>1976</v>
      </c>
      <c r="AE146" s="489"/>
      <c r="AF146" s="491"/>
      <c r="AG146" s="540"/>
    </row>
    <row r="147" spans="1:33" s="62" customFormat="1" ht="15">
      <c r="A147" s="529"/>
      <c r="B147" s="115"/>
      <c r="C147" s="116"/>
      <c r="D147" s="100" t="str">
        <f>B144&amp;"D"</f>
        <v>181910408D</v>
      </c>
      <c r="E147" s="117" t="s">
        <v>152</v>
      </c>
      <c r="F147" s="118" t="str">
        <f t="shared" ref="F147:V147" si="136">IFERROR(VLOOKUP(F145,$AI$8:$AJ$14,2,TRUE),"")</f>
        <v>B</v>
      </c>
      <c r="G147" s="119" t="str">
        <f t="shared" si="136"/>
        <v>C</v>
      </c>
      <c r="H147" s="119" t="str">
        <f t="shared" si="136"/>
        <v/>
      </c>
      <c r="I147" s="119" t="str">
        <f t="shared" si="136"/>
        <v>C</v>
      </c>
      <c r="J147" s="119" t="str">
        <f t="shared" si="136"/>
        <v>D</v>
      </c>
      <c r="K147" s="119" t="str">
        <f t="shared" si="136"/>
        <v>C</v>
      </c>
      <c r="L147" s="119" t="str">
        <f t="shared" si="136"/>
        <v>C</v>
      </c>
      <c r="M147" s="119" t="str">
        <f t="shared" si="136"/>
        <v>B</v>
      </c>
      <c r="N147" s="119" t="str">
        <f t="shared" si="136"/>
        <v>D</v>
      </c>
      <c r="O147" s="119" t="str">
        <f t="shared" si="136"/>
        <v>C</v>
      </c>
      <c r="P147" s="119" t="str">
        <f t="shared" si="136"/>
        <v>B</v>
      </c>
      <c r="Q147" s="119" t="str">
        <f t="shared" si="136"/>
        <v>D</v>
      </c>
      <c r="R147" s="119" t="str">
        <f t="shared" si="136"/>
        <v>C</v>
      </c>
      <c r="S147" s="119" t="str">
        <f t="shared" si="136"/>
        <v>D</v>
      </c>
      <c r="T147" s="119" t="str">
        <f t="shared" si="136"/>
        <v>D</v>
      </c>
      <c r="U147" s="119" t="str">
        <f t="shared" si="136"/>
        <v>D</v>
      </c>
      <c r="V147" s="120" t="str">
        <f t="shared" si="136"/>
        <v>C</v>
      </c>
      <c r="W147" s="508"/>
      <c r="X147" s="508"/>
      <c r="Y147" s="505"/>
      <c r="Z147" s="495"/>
      <c r="AA147" s="500"/>
      <c r="AB147" s="121" t="s">
        <v>36</v>
      </c>
      <c r="AC147" s="122" t="s">
        <v>36</v>
      </c>
      <c r="AD147" s="497"/>
      <c r="AE147" s="489"/>
      <c r="AF147" s="492"/>
      <c r="AG147" s="541"/>
    </row>
    <row r="148" spans="1:33" s="62" customFormat="1" ht="15">
      <c r="A148" s="534">
        <v>36</v>
      </c>
      <c r="B148" s="531" t="str">
        <f>VLOOKUP(A148,biononis,2,1)</f>
        <v>181910433</v>
      </c>
      <c r="C148" s="532" t="str">
        <f>VLOOKUP(A148,biononis,3,1)</f>
        <v>MUHAMAD RIZAL</v>
      </c>
      <c r="D148" s="100" t="str">
        <f>B148&amp;"A"</f>
        <v>181910433A</v>
      </c>
      <c r="E148" s="89" t="s">
        <v>262</v>
      </c>
      <c r="F148" s="123">
        <v>65</v>
      </c>
      <c r="G148" s="124">
        <v>10</v>
      </c>
      <c r="H148" s="124"/>
      <c r="I148" s="124">
        <v>52</v>
      </c>
      <c r="J148" s="124">
        <v>10</v>
      </c>
      <c r="K148" s="124">
        <v>72</v>
      </c>
      <c r="L148" s="124">
        <v>73</v>
      </c>
      <c r="M148" s="124">
        <v>65</v>
      </c>
      <c r="N148" s="124">
        <v>25</v>
      </c>
      <c r="O148" s="124">
        <v>10</v>
      </c>
      <c r="P148" s="124">
        <v>50</v>
      </c>
      <c r="Q148" s="124">
        <v>0</v>
      </c>
      <c r="R148" s="124">
        <v>70</v>
      </c>
      <c r="S148" s="124">
        <v>51</v>
      </c>
      <c r="T148" s="124">
        <v>40</v>
      </c>
      <c r="U148" s="124">
        <v>10</v>
      </c>
      <c r="V148" s="124">
        <v>75</v>
      </c>
      <c r="W148" s="506" t="s">
        <v>6</v>
      </c>
      <c r="X148" s="506" t="s">
        <v>6</v>
      </c>
      <c r="Y148" s="503" t="s">
        <v>36</v>
      </c>
      <c r="Z148" s="493" t="s">
        <v>36</v>
      </c>
      <c r="AA148" s="498" t="s">
        <v>36</v>
      </c>
      <c r="AB148" s="93" t="s">
        <v>180</v>
      </c>
      <c r="AC148" s="94" t="s">
        <v>36</v>
      </c>
      <c r="AD148" s="95">
        <f t="shared" ref="AD148:AD149" si="137">IFERROR(AVERAGE(F148:V148),"")</f>
        <v>42.375</v>
      </c>
      <c r="AE148" s="489">
        <f t="shared" ref="AE148" si="138">IFERROR((AD148+AD149)/2,"")</f>
        <v>44.53125</v>
      </c>
      <c r="AF148" s="490">
        <f>IFERROR(RANK(AE148,$AE$8:$AE$167,0),"")</f>
        <v>33</v>
      </c>
      <c r="AG148" s="539" t="s">
        <v>285</v>
      </c>
    </row>
    <row r="149" spans="1:33" s="62" customFormat="1" ht="15">
      <c r="A149" s="528"/>
      <c r="B149" s="530"/>
      <c r="C149" s="533"/>
      <c r="D149" s="100" t="str">
        <f>B148&amp;"B"</f>
        <v>181910433B</v>
      </c>
      <c r="E149" s="101" t="s">
        <v>263</v>
      </c>
      <c r="F149" s="126">
        <v>80</v>
      </c>
      <c r="G149" s="102">
        <v>10</v>
      </c>
      <c r="H149" s="102"/>
      <c r="I149" s="102">
        <v>45</v>
      </c>
      <c r="J149" s="102">
        <v>20</v>
      </c>
      <c r="K149" s="102">
        <v>75</v>
      </c>
      <c r="L149" s="102">
        <v>74</v>
      </c>
      <c r="M149" s="102">
        <v>80</v>
      </c>
      <c r="N149" s="102">
        <v>30</v>
      </c>
      <c r="O149" s="102">
        <v>0</v>
      </c>
      <c r="P149" s="102">
        <v>70</v>
      </c>
      <c r="Q149" s="102">
        <v>0</v>
      </c>
      <c r="R149" s="102">
        <v>70</v>
      </c>
      <c r="S149" s="102">
        <v>50</v>
      </c>
      <c r="T149" s="102">
        <v>50</v>
      </c>
      <c r="U149" s="102">
        <v>20</v>
      </c>
      <c r="V149" s="102">
        <v>73</v>
      </c>
      <c r="W149" s="507"/>
      <c r="X149" s="507"/>
      <c r="Y149" s="504"/>
      <c r="Z149" s="494"/>
      <c r="AA149" s="499"/>
      <c r="AB149" s="104" t="s">
        <v>36</v>
      </c>
      <c r="AC149" s="105" t="s">
        <v>36</v>
      </c>
      <c r="AD149" s="106">
        <f t="shared" si="137"/>
        <v>46.6875</v>
      </c>
      <c r="AE149" s="489"/>
      <c r="AF149" s="491"/>
      <c r="AG149" s="540"/>
    </row>
    <row r="150" spans="1:33" s="62" customFormat="1" ht="15">
      <c r="A150" s="528"/>
      <c r="B150" s="530"/>
      <c r="C150" s="533"/>
      <c r="D150" s="100" t="str">
        <f>B148&amp;"C"</f>
        <v>181910433C</v>
      </c>
      <c r="E150" s="111" t="s">
        <v>151</v>
      </c>
      <c r="F150" s="112" t="str">
        <f t="shared" ref="F150:V150" si="139">IFERROR(VLOOKUP(F148,$AI$8:$AJ$14,2,TRUE),"")</f>
        <v>D</v>
      </c>
      <c r="G150" s="113" t="str">
        <f t="shared" si="139"/>
        <v>D</v>
      </c>
      <c r="H150" s="113" t="str">
        <f t="shared" si="139"/>
        <v/>
      </c>
      <c r="I150" s="113" t="str">
        <f t="shared" si="139"/>
        <v>D</v>
      </c>
      <c r="J150" s="113" t="str">
        <f t="shared" si="139"/>
        <v>D</v>
      </c>
      <c r="K150" s="113" t="str">
        <f t="shared" si="139"/>
        <v>C</v>
      </c>
      <c r="L150" s="113" t="str">
        <f t="shared" si="139"/>
        <v>C</v>
      </c>
      <c r="M150" s="113" t="str">
        <f t="shared" si="139"/>
        <v>D</v>
      </c>
      <c r="N150" s="113" t="str">
        <f t="shared" si="139"/>
        <v>D</v>
      </c>
      <c r="O150" s="113" t="str">
        <f t="shared" si="139"/>
        <v>D</v>
      </c>
      <c r="P150" s="113" t="str">
        <f t="shared" si="139"/>
        <v>D</v>
      </c>
      <c r="Q150" s="113" t="str">
        <f t="shared" si="139"/>
        <v/>
      </c>
      <c r="R150" s="113" t="str">
        <f t="shared" si="139"/>
        <v>C</v>
      </c>
      <c r="S150" s="113" t="str">
        <f t="shared" si="139"/>
        <v>D</v>
      </c>
      <c r="T150" s="113" t="str">
        <f t="shared" si="139"/>
        <v>D</v>
      </c>
      <c r="U150" s="113" t="str">
        <f t="shared" si="139"/>
        <v>D</v>
      </c>
      <c r="V150" s="114" t="str">
        <f t="shared" si="139"/>
        <v>C</v>
      </c>
      <c r="W150" s="507"/>
      <c r="X150" s="507"/>
      <c r="Y150" s="504"/>
      <c r="Z150" s="494"/>
      <c r="AA150" s="499"/>
      <c r="AB150" s="104" t="s">
        <v>36</v>
      </c>
      <c r="AC150" s="105" t="s">
        <v>36</v>
      </c>
      <c r="AD150" s="496">
        <f>SUM(F148:V149)</f>
        <v>1425</v>
      </c>
      <c r="AE150" s="489"/>
      <c r="AF150" s="491"/>
      <c r="AG150" s="540"/>
    </row>
    <row r="151" spans="1:33" s="62" customFormat="1" ht="15">
      <c r="A151" s="535"/>
      <c r="B151" s="130"/>
      <c r="C151" s="131"/>
      <c r="D151" s="100" t="str">
        <f>B148&amp;"D"</f>
        <v>181910433D</v>
      </c>
      <c r="E151" s="117" t="s">
        <v>152</v>
      </c>
      <c r="F151" s="118" t="str">
        <f t="shared" ref="F151:V151" si="140">IFERROR(VLOOKUP(F149,$AI$8:$AJ$14,2,TRUE),"")</f>
        <v>B</v>
      </c>
      <c r="G151" s="119" t="str">
        <f t="shared" si="140"/>
        <v>D</v>
      </c>
      <c r="H151" s="119" t="str">
        <f t="shared" si="140"/>
        <v/>
      </c>
      <c r="I151" s="119" t="str">
        <f t="shared" si="140"/>
        <v>D</v>
      </c>
      <c r="J151" s="119" t="str">
        <f t="shared" si="140"/>
        <v>D</v>
      </c>
      <c r="K151" s="119" t="str">
        <f t="shared" si="140"/>
        <v>C</v>
      </c>
      <c r="L151" s="119" t="str">
        <f t="shared" si="140"/>
        <v>C</v>
      </c>
      <c r="M151" s="119" t="str">
        <f t="shared" si="140"/>
        <v>B</v>
      </c>
      <c r="N151" s="119" t="str">
        <f t="shared" si="140"/>
        <v>D</v>
      </c>
      <c r="O151" s="119" t="str">
        <f t="shared" si="140"/>
        <v/>
      </c>
      <c r="P151" s="119" t="str">
        <f t="shared" si="140"/>
        <v>C</v>
      </c>
      <c r="Q151" s="119" t="str">
        <f t="shared" si="140"/>
        <v/>
      </c>
      <c r="R151" s="119" t="str">
        <f t="shared" si="140"/>
        <v>C</v>
      </c>
      <c r="S151" s="119" t="str">
        <f t="shared" si="140"/>
        <v>D</v>
      </c>
      <c r="T151" s="119" t="str">
        <f t="shared" si="140"/>
        <v>D</v>
      </c>
      <c r="U151" s="119" t="str">
        <f t="shared" si="140"/>
        <v>D</v>
      </c>
      <c r="V151" s="120" t="str">
        <f t="shared" si="140"/>
        <v>C</v>
      </c>
      <c r="W151" s="508"/>
      <c r="X151" s="508"/>
      <c r="Y151" s="505"/>
      <c r="Z151" s="495"/>
      <c r="AA151" s="500"/>
      <c r="AB151" s="121" t="s">
        <v>36</v>
      </c>
      <c r="AC151" s="122" t="s">
        <v>36</v>
      </c>
      <c r="AD151" s="497"/>
      <c r="AE151" s="489"/>
      <c r="AF151" s="492"/>
      <c r="AG151" s="541"/>
    </row>
    <row r="152" spans="1:33" s="62" customFormat="1" ht="15">
      <c r="A152" s="527">
        <v>37</v>
      </c>
      <c r="B152" s="530" t="str">
        <f>VLOOKUP(A152,biononis,2,1)</f>
        <v>037</v>
      </c>
      <c r="C152" s="533" t="str">
        <f>VLOOKUP(A152,biononis,3,1)</f>
        <v>A37</v>
      </c>
      <c r="D152" s="100" t="str">
        <f>B152&amp;"A"</f>
        <v>037A</v>
      </c>
      <c r="E152" s="89" t="s">
        <v>262</v>
      </c>
      <c r="F152" s="123"/>
      <c r="G152" s="124"/>
      <c r="H152" s="124"/>
      <c r="I152" s="124"/>
      <c r="J152" s="124"/>
      <c r="K152" s="124"/>
      <c r="L152" s="124"/>
      <c r="M152" s="124"/>
      <c r="N152" s="124"/>
      <c r="O152" s="124"/>
      <c r="P152" s="124"/>
      <c r="Q152" s="124"/>
      <c r="R152" s="124"/>
      <c r="S152" s="124"/>
      <c r="T152" s="124"/>
      <c r="U152" s="124"/>
      <c r="V152" s="124"/>
      <c r="W152" s="506" t="s">
        <v>36</v>
      </c>
      <c r="X152" s="506" t="s">
        <v>36</v>
      </c>
      <c r="Y152" s="503" t="s">
        <v>36</v>
      </c>
      <c r="Z152" s="493" t="s">
        <v>36</v>
      </c>
      <c r="AA152" s="498" t="s">
        <v>36</v>
      </c>
      <c r="AB152" s="93" t="s">
        <v>180</v>
      </c>
      <c r="AC152" s="94" t="s">
        <v>36</v>
      </c>
      <c r="AD152" s="95" t="str">
        <f t="shared" ref="AD152:AD153" si="141">IFERROR(AVERAGE(F152:V152),"")</f>
        <v/>
      </c>
      <c r="AE152" s="489" t="str">
        <f t="shared" ref="AE152" si="142">IFERROR((AD152+AD153)/2,"")</f>
        <v/>
      </c>
      <c r="AF152" s="490" t="str">
        <f>IFERROR(RANK(AE152,$AE$8:$AE$167,0),"")</f>
        <v/>
      </c>
      <c r="AG152" s="539" t="s">
        <v>179</v>
      </c>
    </row>
    <row r="153" spans="1:33" s="62" customFormat="1" ht="15">
      <c r="A153" s="528"/>
      <c r="B153" s="530"/>
      <c r="C153" s="533"/>
      <c r="D153" s="100" t="str">
        <f>B152&amp;"B"</f>
        <v>037B</v>
      </c>
      <c r="E153" s="101" t="s">
        <v>263</v>
      </c>
      <c r="F153" s="126"/>
      <c r="G153" s="102"/>
      <c r="H153" s="102"/>
      <c r="I153" s="102"/>
      <c r="J153" s="102"/>
      <c r="K153" s="102"/>
      <c r="L153" s="102"/>
      <c r="M153" s="102"/>
      <c r="N153" s="102"/>
      <c r="O153" s="102"/>
      <c r="P153" s="102"/>
      <c r="Q153" s="102"/>
      <c r="R153" s="102"/>
      <c r="S153" s="102"/>
      <c r="T153" s="102"/>
      <c r="U153" s="102"/>
      <c r="V153" s="102"/>
      <c r="W153" s="507"/>
      <c r="X153" s="507"/>
      <c r="Y153" s="504"/>
      <c r="Z153" s="494"/>
      <c r="AA153" s="499"/>
      <c r="AB153" s="104" t="s">
        <v>36</v>
      </c>
      <c r="AC153" s="105" t="s">
        <v>36</v>
      </c>
      <c r="AD153" s="106" t="str">
        <f t="shared" si="141"/>
        <v/>
      </c>
      <c r="AE153" s="489"/>
      <c r="AF153" s="491"/>
      <c r="AG153" s="540"/>
    </row>
    <row r="154" spans="1:33" s="62" customFormat="1" ht="15">
      <c r="A154" s="528"/>
      <c r="B154" s="530"/>
      <c r="C154" s="533"/>
      <c r="D154" s="100" t="str">
        <f>B152&amp;"C"</f>
        <v>037C</v>
      </c>
      <c r="E154" s="111" t="s">
        <v>151</v>
      </c>
      <c r="F154" s="112" t="str">
        <f t="shared" ref="F154:V154" si="143">IFERROR(VLOOKUP(F152,$AI$8:$AJ$14,2,TRUE),"")</f>
        <v/>
      </c>
      <c r="G154" s="113" t="str">
        <f t="shared" si="143"/>
        <v/>
      </c>
      <c r="H154" s="113" t="str">
        <f t="shared" si="143"/>
        <v/>
      </c>
      <c r="I154" s="113" t="str">
        <f t="shared" si="143"/>
        <v/>
      </c>
      <c r="J154" s="113" t="str">
        <f t="shared" si="143"/>
        <v/>
      </c>
      <c r="K154" s="113" t="str">
        <f t="shared" si="143"/>
        <v/>
      </c>
      <c r="L154" s="113" t="str">
        <f t="shared" si="143"/>
        <v/>
      </c>
      <c r="M154" s="113" t="str">
        <f t="shared" si="143"/>
        <v/>
      </c>
      <c r="N154" s="113" t="str">
        <f t="shared" si="143"/>
        <v/>
      </c>
      <c r="O154" s="113" t="str">
        <f t="shared" si="143"/>
        <v/>
      </c>
      <c r="P154" s="113" t="str">
        <f t="shared" si="143"/>
        <v/>
      </c>
      <c r="Q154" s="113" t="str">
        <f t="shared" si="143"/>
        <v/>
      </c>
      <c r="R154" s="113" t="str">
        <f t="shared" si="143"/>
        <v/>
      </c>
      <c r="S154" s="113" t="str">
        <f t="shared" si="143"/>
        <v/>
      </c>
      <c r="T154" s="113" t="str">
        <f t="shared" si="143"/>
        <v/>
      </c>
      <c r="U154" s="113" t="str">
        <f t="shared" si="143"/>
        <v/>
      </c>
      <c r="V154" s="114" t="str">
        <f t="shared" si="143"/>
        <v/>
      </c>
      <c r="W154" s="507"/>
      <c r="X154" s="507"/>
      <c r="Y154" s="504"/>
      <c r="Z154" s="494"/>
      <c r="AA154" s="499"/>
      <c r="AB154" s="104" t="s">
        <v>36</v>
      </c>
      <c r="AC154" s="105" t="s">
        <v>36</v>
      </c>
      <c r="AD154" s="496">
        <f>SUM(F152:V153)</f>
        <v>0</v>
      </c>
      <c r="AE154" s="489"/>
      <c r="AF154" s="491"/>
      <c r="AG154" s="540"/>
    </row>
    <row r="155" spans="1:33" s="62" customFormat="1" ht="15">
      <c r="A155" s="529"/>
      <c r="B155" s="115"/>
      <c r="C155" s="116"/>
      <c r="D155" s="100" t="str">
        <f>B152&amp;"D"</f>
        <v>037D</v>
      </c>
      <c r="E155" s="117" t="s">
        <v>152</v>
      </c>
      <c r="F155" s="118" t="str">
        <f t="shared" ref="F155:V155" si="144">IFERROR(VLOOKUP(F153,$AI$8:$AJ$14,2,TRUE),"")</f>
        <v/>
      </c>
      <c r="G155" s="119" t="str">
        <f t="shared" si="144"/>
        <v/>
      </c>
      <c r="H155" s="119" t="str">
        <f t="shared" si="144"/>
        <v/>
      </c>
      <c r="I155" s="119" t="str">
        <f t="shared" si="144"/>
        <v/>
      </c>
      <c r="J155" s="119" t="str">
        <f t="shared" si="144"/>
        <v/>
      </c>
      <c r="K155" s="119" t="str">
        <f t="shared" si="144"/>
        <v/>
      </c>
      <c r="L155" s="119" t="str">
        <f t="shared" si="144"/>
        <v/>
      </c>
      <c r="M155" s="119" t="str">
        <f t="shared" si="144"/>
        <v/>
      </c>
      <c r="N155" s="119" t="str">
        <f t="shared" si="144"/>
        <v/>
      </c>
      <c r="O155" s="119" t="str">
        <f t="shared" si="144"/>
        <v/>
      </c>
      <c r="P155" s="119" t="str">
        <f t="shared" si="144"/>
        <v/>
      </c>
      <c r="Q155" s="119" t="str">
        <f t="shared" si="144"/>
        <v/>
      </c>
      <c r="R155" s="119" t="str">
        <f t="shared" si="144"/>
        <v/>
      </c>
      <c r="S155" s="119" t="str">
        <f t="shared" si="144"/>
        <v/>
      </c>
      <c r="T155" s="119" t="str">
        <f t="shared" si="144"/>
        <v/>
      </c>
      <c r="U155" s="119" t="str">
        <f t="shared" si="144"/>
        <v/>
      </c>
      <c r="V155" s="120" t="str">
        <f t="shared" si="144"/>
        <v/>
      </c>
      <c r="W155" s="508"/>
      <c r="X155" s="508"/>
      <c r="Y155" s="505"/>
      <c r="Z155" s="495"/>
      <c r="AA155" s="500"/>
      <c r="AB155" s="121" t="s">
        <v>36</v>
      </c>
      <c r="AC155" s="122" t="s">
        <v>36</v>
      </c>
      <c r="AD155" s="497"/>
      <c r="AE155" s="489"/>
      <c r="AF155" s="492"/>
      <c r="AG155" s="541"/>
    </row>
    <row r="156" spans="1:33" s="62" customFormat="1" ht="15">
      <c r="A156" s="534">
        <v>38</v>
      </c>
      <c r="B156" s="531" t="str">
        <f>VLOOKUP(A156,biononis,2,1)</f>
        <v>038</v>
      </c>
      <c r="C156" s="532" t="str">
        <f>VLOOKUP(A156,biononis,3,1)</f>
        <v>A38</v>
      </c>
      <c r="D156" s="100" t="str">
        <f>B156&amp;"A"</f>
        <v>038A</v>
      </c>
      <c r="E156" s="89" t="s">
        <v>262</v>
      </c>
      <c r="F156" s="123"/>
      <c r="G156" s="124"/>
      <c r="H156" s="124"/>
      <c r="I156" s="124"/>
      <c r="J156" s="124"/>
      <c r="K156" s="124"/>
      <c r="L156" s="124"/>
      <c r="M156" s="124"/>
      <c r="N156" s="124"/>
      <c r="O156" s="124"/>
      <c r="P156" s="124"/>
      <c r="Q156" s="124"/>
      <c r="R156" s="124"/>
      <c r="S156" s="124"/>
      <c r="T156" s="124"/>
      <c r="U156" s="124"/>
      <c r="V156" s="124"/>
      <c r="W156" s="506" t="s">
        <v>36</v>
      </c>
      <c r="X156" s="506" t="s">
        <v>36</v>
      </c>
      <c r="Y156" s="503" t="s">
        <v>36</v>
      </c>
      <c r="Z156" s="493" t="s">
        <v>36</v>
      </c>
      <c r="AA156" s="498" t="s">
        <v>36</v>
      </c>
      <c r="AB156" s="93" t="s">
        <v>180</v>
      </c>
      <c r="AC156" s="94" t="s">
        <v>36</v>
      </c>
      <c r="AD156" s="95" t="str">
        <f t="shared" ref="AD156:AD157" si="145">IFERROR(AVERAGE(F156:V156),"")</f>
        <v/>
      </c>
      <c r="AE156" s="489" t="str">
        <f t="shared" ref="AE156" si="146">IFERROR((AD156+AD157)/2,"")</f>
        <v/>
      </c>
      <c r="AF156" s="490" t="str">
        <f>IFERROR(RANK(AE156,$AE$8:$AE$167,0),"")</f>
        <v/>
      </c>
      <c r="AG156" s="539" t="s">
        <v>179</v>
      </c>
    </row>
    <row r="157" spans="1:33" s="62" customFormat="1" ht="15">
      <c r="A157" s="528"/>
      <c r="B157" s="530"/>
      <c r="C157" s="533"/>
      <c r="D157" s="100" t="str">
        <f>B156&amp;"B"</f>
        <v>038B</v>
      </c>
      <c r="E157" s="101" t="s">
        <v>263</v>
      </c>
      <c r="F157" s="126"/>
      <c r="G157" s="102"/>
      <c r="H157" s="102"/>
      <c r="I157" s="102"/>
      <c r="J157" s="102"/>
      <c r="K157" s="102"/>
      <c r="L157" s="102"/>
      <c r="M157" s="102"/>
      <c r="N157" s="102"/>
      <c r="O157" s="102"/>
      <c r="P157" s="102"/>
      <c r="Q157" s="102"/>
      <c r="R157" s="102"/>
      <c r="S157" s="102"/>
      <c r="T157" s="102"/>
      <c r="U157" s="102"/>
      <c r="V157" s="102"/>
      <c r="W157" s="507"/>
      <c r="X157" s="507"/>
      <c r="Y157" s="504"/>
      <c r="Z157" s="494"/>
      <c r="AA157" s="499"/>
      <c r="AB157" s="104" t="s">
        <v>36</v>
      </c>
      <c r="AC157" s="105" t="s">
        <v>36</v>
      </c>
      <c r="AD157" s="106" t="str">
        <f t="shared" si="145"/>
        <v/>
      </c>
      <c r="AE157" s="489"/>
      <c r="AF157" s="491"/>
      <c r="AG157" s="540"/>
    </row>
    <row r="158" spans="1:33" s="62" customFormat="1" ht="15">
      <c r="A158" s="528"/>
      <c r="B158" s="530"/>
      <c r="C158" s="533"/>
      <c r="D158" s="100" t="str">
        <f>B156&amp;"C"</f>
        <v>038C</v>
      </c>
      <c r="E158" s="111" t="s">
        <v>151</v>
      </c>
      <c r="F158" s="112" t="str">
        <f t="shared" ref="F158:V158" si="147">IFERROR(VLOOKUP(F156,$AI$8:$AJ$14,2,TRUE),"")</f>
        <v/>
      </c>
      <c r="G158" s="113" t="str">
        <f t="shared" si="147"/>
        <v/>
      </c>
      <c r="H158" s="113" t="str">
        <f t="shared" si="147"/>
        <v/>
      </c>
      <c r="I158" s="113" t="str">
        <f t="shared" si="147"/>
        <v/>
      </c>
      <c r="J158" s="113" t="str">
        <f t="shared" si="147"/>
        <v/>
      </c>
      <c r="K158" s="113" t="str">
        <f t="shared" si="147"/>
        <v/>
      </c>
      <c r="L158" s="113" t="str">
        <f t="shared" si="147"/>
        <v/>
      </c>
      <c r="M158" s="113" t="str">
        <f t="shared" si="147"/>
        <v/>
      </c>
      <c r="N158" s="113" t="str">
        <f t="shared" si="147"/>
        <v/>
      </c>
      <c r="O158" s="113" t="str">
        <f t="shared" si="147"/>
        <v/>
      </c>
      <c r="P158" s="113" t="str">
        <f t="shared" si="147"/>
        <v/>
      </c>
      <c r="Q158" s="113" t="str">
        <f t="shared" si="147"/>
        <v/>
      </c>
      <c r="R158" s="113" t="str">
        <f t="shared" si="147"/>
        <v/>
      </c>
      <c r="S158" s="113" t="str">
        <f t="shared" si="147"/>
        <v/>
      </c>
      <c r="T158" s="113" t="str">
        <f t="shared" si="147"/>
        <v/>
      </c>
      <c r="U158" s="113" t="str">
        <f t="shared" si="147"/>
        <v/>
      </c>
      <c r="V158" s="114" t="str">
        <f t="shared" si="147"/>
        <v/>
      </c>
      <c r="W158" s="507"/>
      <c r="X158" s="507"/>
      <c r="Y158" s="504"/>
      <c r="Z158" s="494"/>
      <c r="AA158" s="499"/>
      <c r="AB158" s="104" t="s">
        <v>36</v>
      </c>
      <c r="AC158" s="105" t="s">
        <v>36</v>
      </c>
      <c r="AD158" s="496">
        <f>SUM(F156:V157)</f>
        <v>0</v>
      </c>
      <c r="AE158" s="489"/>
      <c r="AF158" s="491"/>
      <c r="AG158" s="540"/>
    </row>
    <row r="159" spans="1:33" s="62" customFormat="1" ht="15">
      <c r="A159" s="535"/>
      <c r="B159" s="130"/>
      <c r="C159" s="131"/>
      <c r="D159" s="100" t="str">
        <f>B156&amp;"D"</f>
        <v>038D</v>
      </c>
      <c r="E159" s="117" t="s">
        <v>152</v>
      </c>
      <c r="F159" s="118" t="str">
        <f t="shared" ref="F159:V159" si="148">IFERROR(VLOOKUP(F157,$AI$8:$AJ$14,2,TRUE),"")</f>
        <v/>
      </c>
      <c r="G159" s="119" t="str">
        <f t="shared" si="148"/>
        <v/>
      </c>
      <c r="H159" s="119" t="str">
        <f t="shared" si="148"/>
        <v/>
      </c>
      <c r="I159" s="119" t="str">
        <f t="shared" si="148"/>
        <v/>
      </c>
      <c r="J159" s="119" t="str">
        <f t="shared" si="148"/>
        <v/>
      </c>
      <c r="K159" s="119" t="str">
        <f t="shared" si="148"/>
        <v/>
      </c>
      <c r="L159" s="119" t="str">
        <f t="shared" si="148"/>
        <v/>
      </c>
      <c r="M159" s="119" t="str">
        <f t="shared" si="148"/>
        <v/>
      </c>
      <c r="N159" s="119" t="str">
        <f t="shared" si="148"/>
        <v/>
      </c>
      <c r="O159" s="119" t="str">
        <f t="shared" si="148"/>
        <v/>
      </c>
      <c r="P159" s="119" t="str">
        <f t="shared" si="148"/>
        <v/>
      </c>
      <c r="Q159" s="119" t="str">
        <f t="shared" si="148"/>
        <v/>
      </c>
      <c r="R159" s="119" t="str">
        <f t="shared" si="148"/>
        <v/>
      </c>
      <c r="S159" s="119" t="str">
        <f t="shared" si="148"/>
        <v/>
      </c>
      <c r="T159" s="119" t="str">
        <f t="shared" si="148"/>
        <v/>
      </c>
      <c r="U159" s="119" t="str">
        <f t="shared" si="148"/>
        <v/>
      </c>
      <c r="V159" s="120" t="str">
        <f t="shared" si="148"/>
        <v/>
      </c>
      <c r="W159" s="508"/>
      <c r="X159" s="508"/>
      <c r="Y159" s="505"/>
      <c r="Z159" s="495"/>
      <c r="AA159" s="500"/>
      <c r="AB159" s="121" t="s">
        <v>36</v>
      </c>
      <c r="AC159" s="122" t="s">
        <v>36</v>
      </c>
      <c r="AD159" s="497"/>
      <c r="AE159" s="489"/>
      <c r="AF159" s="492"/>
      <c r="AG159" s="541"/>
    </row>
    <row r="160" spans="1:33" s="62" customFormat="1" ht="15">
      <c r="A160" s="527">
        <v>39</v>
      </c>
      <c r="B160" s="530" t="str">
        <f>VLOOKUP(A160,biononis,2,1)</f>
        <v>039</v>
      </c>
      <c r="C160" s="533" t="str">
        <f>VLOOKUP(A160,biononis,3,1)</f>
        <v>A39</v>
      </c>
      <c r="D160" s="100" t="str">
        <f>B160&amp;"A"</f>
        <v>039A</v>
      </c>
      <c r="E160" s="89" t="s">
        <v>262</v>
      </c>
      <c r="F160" s="123"/>
      <c r="G160" s="124"/>
      <c r="H160" s="124"/>
      <c r="I160" s="124"/>
      <c r="J160" s="124"/>
      <c r="K160" s="124"/>
      <c r="L160" s="124"/>
      <c r="M160" s="124"/>
      <c r="N160" s="124"/>
      <c r="O160" s="124"/>
      <c r="P160" s="124"/>
      <c r="Q160" s="124"/>
      <c r="R160" s="124"/>
      <c r="S160" s="124"/>
      <c r="T160" s="124"/>
      <c r="U160" s="124"/>
      <c r="V160" s="124"/>
      <c r="W160" s="506" t="s">
        <v>36</v>
      </c>
      <c r="X160" s="506" t="s">
        <v>36</v>
      </c>
      <c r="Y160" s="503" t="s">
        <v>36</v>
      </c>
      <c r="Z160" s="493" t="s">
        <v>36</v>
      </c>
      <c r="AA160" s="498" t="s">
        <v>36</v>
      </c>
      <c r="AB160" s="93" t="s">
        <v>180</v>
      </c>
      <c r="AC160" s="94" t="s">
        <v>36</v>
      </c>
      <c r="AD160" s="95" t="str">
        <f t="shared" ref="AD160:AD161" si="149">IFERROR(AVERAGE(F160:V160),"")</f>
        <v/>
      </c>
      <c r="AE160" s="489" t="str">
        <f t="shared" ref="AE160" si="150">IFERROR((AD160+AD161)/2,"")</f>
        <v/>
      </c>
      <c r="AF160" s="490" t="str">
        <f>IFERROR(RANK(AE160,$AE$8:$AE$167,0),"")</f>
        <v/>
      </c>
      <c r="AG160" s="539" t="s">
        <v>179</v>
      </c>
    </row>
    <row r="161" spans="1:33" s="62" customFormat="1" ht="15">
      <c r="A161" s="528"/>
      <c r="B161" s="530"/>
      <c r="C161" s="533"/>
      <c r="D161" s="100" t="str">
        <f>B160&amp;"B"</f>
        <v>039B</v>
      </c>
      <c r="E161" s="101" t="s">
        <v>263</v>
      </c>
      <c r="F161" s="126"/>
      <c r="G161" s="102"/>
      <c r="H161" s="102"/>
      <c r="I161" s="102"/>
      <c r="J161" s="102"/>
      <c r="K161" s="102"/>
      <c r="L161" s="102"/>
      <c r="M161" s="102"/>
      <c r="N161" s="102"/>
      <c r="O161" s="102"/>
      <c r="P161" s="102"/>
      <c r="Q161" s="102"/>
      <c r="R161" s="102"/>
      <c r="S161" s="102"/>
      <c r="T161" s="102"/>
      <c r="U161" s="102"/>
      <c r="V161" s="102"/>
      <c r="W161" s="507"/>
      <c r="X161" s="507"/>
      <c r="Y161" s="504"/>
      <c r="Z161" s="494"/>
      <c r="AA161" s="499"/>
      <c r="AB161" s="104" t="s">
        <v>36</v>
      </c>
      <c r="AC161" s="105" t="s">
        <v>36</v>
      </c>
      <c r="AD161" s="106" t="str">
        <f t="shared" si="149"/>
        <v/>
      </c>
      <c r="AE161" s="489"/>
      <c r="AF161" s="491"/>
      <c r="AG161" s="540"/>
    </row>
    <row r="162" spans="1:33" s="62" customFormat="1" ht="15">
      <c r="A162" s="528"/>
      <c r="B162" s="530"/>
      <c r="C162" s="533"/>
      <c r="D162" s="100" t="str">
        <f>B160&amp;"C"</f>
        <v>039C</v>
      </c>
      <c r="E162" s="111" t="s">
        <v>151</v>
      </c>
      <c r="F162" s="112" t="str">
        <f t="shared" ref="F162:V162" si="151">IFERROR(VLOOKUP(F160,$AI$8:$AJ$14,2,TRUE),"")</f>
        <v/>
      </c>
      <c r="G162" s="113" t="str">
        <f t="shared" si="151"/>
        <v/>
      </c>
      <c r="H162" s="113" t="str">
        <f t="shared" si="151"/>
        <v/>
      </c>
      <c r="I162" s="113" t="str">
        <f t="shared" si="151"/>
        <v/>
      </c>
      <c r="J162" s="113" t="str">
        <f t="shared" si="151"/>
        <v/>
      </c>
      <c r="K162" s="113" t="str">
        <f t="shared" si="151"/>
        <v/>
      </c>
      <c r="L162" s="113" t="str">
        <f t="shared" si="151"/>
        <v/>
      </c>
      <c r="M162" s="113" t="str">
        <f t="shared" si="151"/>
        <v/>
      </c>
      <c r="N162" s="113" t="str">
        <f t="shared" si="151"/>
        <v/>
      </c>
      <c r="O162" s="113" t="str">
        <f t="shared" si="151"/>
        <v/>
      </c>
      <c r="P162" s="113" t="str">
        <f t="shared" si="151"/>
        <v/>
      </c>
      <c r="Q162" s="113" t="str">
        <f t="shared" si="151"/>
        <v/>
      </c>
      <c r="R162" s="113" t="str">
        <f t="shared" si="151"/>
        <v/>
      </c>
      <c r="S162" s="113" t="str">
        <f t="shared" si="151"/>
        <v/>
      </c>
      <c r="T162" s="113" t="str">
        <f t="shared" si="151"/>
        <v/>
      </c>
      <c r="U162" s="113" t="str">
        <f t="shared" si="151"/>
        <v/>
      </c>
      <c r="V162" s="114" t="str">
        <f t="shared" si="151"/>
        <v/>
      </c>
      <c r="W162" s="507"/>
      <c r="X162" s="507"/>
      <c r="Y162" s="504"/>
      <c r="Z162" s="494"/>
      <c r="AA162" s="499"/>
      <c r="AB162" s="104" t="s">
        <v>36</v>
      </c>
      <c r="AC162" s="105" t="s">
        <v>36</v>
      </c>
      <c r="AD162" s="496">
        <f>SUM(F160:V161)</f>
        <v>0</v>
      </c>
      <c r="AE162" s="489"/>
      <c r="AF162" s="491"/>
      <c r="AG162" s="540"/>
    </row>
    <row r="163" spans="1:33" s="62" customFormat="1" ht="15">
      <c r="A163" s="529"/>
      <c r="B163" s="115"/>
      <c r="C163" s="116"/>
      <c r="D163" s="100" t="str">
        <f>B160&amp;"D"</f>
        <v>039D</v>
      </c>
      <c r="E163" s="117" t="s">
        <v>152</v>
      </c>
      <c r="F163" s="118" t="str">
        <f t="shared" ref="F163:V163" si="152">IFERROR(VLOOKUP(F161,$AI$8:$AJ$14,2,TRUE),"")</f>
        <v/>
      </c>
      <c r="G163" s="119" t="str">
        <f t="shared" si="152"/>
        <v/>
      </c>
      <c r="H163" s="119" t="str">
        <f t="shared" si="152"/>
        <v/>
      </c>
      <c r="I163" s="119" t="str">
        <f t="shared" si="152"/>
        <v/>
      </c>
      <c r="J163" s="119" t="str">
        <f t="shared" si="152"/>
        <v/>
      </c>
      <c r="K163" s="119" t="str">
        <f t="shared" si="152"/>
        <v/>
      </c>
      <c r="L163" s="119" t="str">
        <f t="shared" si="152"/>
        <v/>
      </c>
      <c r="M163" s="119" t="str">
        <f t="shared" si="152"/>
        <v/>
      </c>
      <c r="N163" s="119" t="str">
        <f t="shared" si="152"/>
        <v/>
      </c>
      <c r="O163" s="119" t="str">
        <f t="shared" si="152"/>
        <v/>
      </c>
      <c r="P163" s="119" t="str">
        <f t="shared" si="152"/>
        <v/>
      </c>
      <c r="Q163" s="119" t="str">
        <f t="shared" si="152"/>
        <v/>
      </c>
      <c r="R163" s="119" t="str">
        <f t="shared" si="152"/>
        <v/>
      </c>
      <c r="S163" s="119" t="str">
        <f t="shared" si="152"/>
        <v/>
      </c>
      <c r="T163" s="119" t="str">
        <f t="shared" si="152"/>
        <v/>
      </c>
      <c r="U163" s="119" t="str">
        <f t="shared" si="152"/>
        <v/>
      </c>
      <c r="V163" s="120" t="str">
        <f t="shared" si="152"/>
        <v/>
      </c>
      <c r="W163" s="508"/>
      <c r="X163" s="508"/>
      <c r="Y163" s="505"/>
      <c r="Z163" s="495"/>
      <c r="AA163" s="500"/>
      <c r="AB163" s="121" t="s">
        <v>36</v>
      </c>
      <c r="AC163" s="122" t="s">
        <v>36</v>
      </c>
      <c r="AD163" s="497"/>
      <c r="AE163" s="489"/>
      <c r="AF163" s="492"/>
      <c r="AG163" s="541"/>
    </row>
    <row r="164" spans="1:33" s="62" customFormat="1" ht="15">
      <c r="A164" s="534">
        <v>40</v>
      </c>
      <c r="B164" s="531" t="str">
        <f>VLOOKUP(A164,biononis,2,1)</f>
        <v>040</v>
      </c>
      <c r="C164" s="532" t="str">
        <f>VLOOKUP(A164,biononis,3,1)</f>
        <v>A40</v>
      </c>
      <c r="D164" s="100" t="str">
        <f>B164&amp;"A"</f>
        <v>040A</v>
      </c>
      <c r="E164" s="89" t="s">
        <v>262</v>
      </c>
      <c r="F164" s="123"/>
      <c r="G164" s="124"/>
      <c r="H164" s="124"/>
      <c r="I164" s="124"/>
      <c r="J164" s="124"/>
      <c r="K164" s="124"/>
      <c r="L164" s="124"/>
      <c r="M164" s="124"/>
      <c r="N164" s="124"/>
      <c r="O164" s="124"/>
      <c r="P164" s="124"/>
      <c r="Q164" s="124"/>
      <c r="R164" s="124"/>
      <c r="S164" s="124"/>
      <c r="T164" s="124"/>
      <c r="U164" s="124"/>
      <c r="V164" s="124"/>
      <c r="W164" s="506" t="s">
        <v>6</v>
      </c>
      <c r="X164" s="506" t="s">
        <v>288</v>
      </c>
      <c r="Y164" s="503" t="s">
        <v>36</v>
      </c>
      <c r="Z164" s="493" t="s">
        <v>36</v>
      </c>
      <c r="AA164" s="498" t="s">
        <v>36</v>
      </c>
      <c r="AB164" s="93" t="s">
        <v>180</v>
      </c>
      <c r="AC164" s="94" t="s">
        <v>36</v>
      </c>
      <c r="AD164" s="95" t="str">
        <f t="shared" ref="AD164:AD165" si="153">IFERROR(AVERAGE(F164:V164),"")</f>
        <v/>
      </c>
      <c r="AE164" s="489" t="str">
        <f>IFERROR((AD164+AD165)/2,"")</f>
        <v/>
      </c>
      <c r="AF164" s="490" t="str">
        <f>IFERROR(RANK(AE164,$AE$8:$AE$167,0),"")</f>
        <v/>
      </c>
      <c r="AG164" s="539" t="s">
        <v>179</v>
      </c>
    </row>
    <row r="165" spans="1:33" s="62" customFormat="1" ht="15">
      <c r="A165" s="528"/>
      <c r="B165" s="530"/>
      <c r="C165" s="533"/>
      <c r="D165" s="100" t="str">
        <f>B164&amp;"B"</f>
        <v>040B</v>
      </c>
      <c r="E165" s="101" t="s">
        <v>263</v>
      </c>
      <c r="F165" s="126"/>
      <c r="G165" s="102"/>
      <c r="H165" s="102"/>
      <c r="I165" s="102"/>
      <c r="J165" s="102"/>
      <c r="K165" s="102"/>
      <c r="L165" s="102"/>
      <c r="M165" s="102"/>
      <c r="N165" s="102"/>
      <c r="O165" s="102"/>
      <c r="P165" s="102"/>
      <c r="Q165" s="102"/>
      <c r="R165" s="102"/>
      <c r="S165" s="102"/>
      <c r="T165" s="102"/>
      <c r="U165" s="102"/>
      <c r="V165" s="102"/>
      <c r="W165" s="507"/>
      <c r="X165" s="507"/>
      <c r="Y165" s="504"/>
      <c r="Z165" s="494"/>
      <c r="AA165" s="499"/>
      <c r="AB165" s="104" t="s">
        <v>36</v>
      </c>
      <c r="AC165" s="105" t="s">
        <v>36</v>
      </c>
      <c r="AD165" s="106" t="str">
        <f t="shared" si="153"/>
        <v/>
      </c>
      <c r="AE165" s="489"/>
      <c r="AF165" s="491"/>
      <c r="AG165" s="540"/>
    </row>
    <row r="166" spans="1:33" s="62" customFormat="1" ht="15">
      <c r="A166" s="528"/>
      <c r="B166" s="530"/>
      <c r="C166" s="533"/>
      <c r="D166" s="100" t="str">
        <f>B164&amp;"C"</f>
        <v>040C</v>
      </c>
      <c r="E166" s="111" t="s">
        <v>151</v>
      </c>
      <c r="F166" s="112" t="str">
        <f t="shared" ref="F166:V166" si="154">IFERROR(VLOOKUP(F164,$AI$8:$AJ$14,2,TRUE),"")</f>
        <v/>
      </c>
      <c r="G166" s="113" t="str">
        <f t="shared" si="154"/>
        <v/>
      </c>
      <c r="H166" s="113" t="str">
        <f t="shared" si="154"/>
        <v/>
      </c>
      <c r="I166" s="113" t="str">
        <f t="shared" si="154"/>
        <v/>
      </c>
      <c r="J166" s="113" t="str">
        <f t="shared" si="154"/>
        <v/>
      </c>
      <c r="K166" s="113" t="str">
        <f t="shared" si="154"/>
        <v/>
      </c>
      <c r="L166" s="113" t="str">
        <f t="shared" si="154"/>
        <v/>
      </c>
      <c r="M166" s="113" t="str">
        <f t="shared" si="154"/>
        <v/>
      </c>
      <c r="N166" s="113" t="str">
        <f t="shared" si="154"/>
        <v/>
      </c>
      <c r="O166" s="113" t="str">
        <f t="shared" si="154"/>
        <v/>
      </c>
      <c r="P166" s="113" t="str">
        <f t="shared" si="154"/>
        <v/>
      </c>
      <c r="Q166" s="113" t="str">
        <f t="shared" si="154"/>
        <v/>
      </c>
      <c r="R166" s="113" t="str">
        <f t="shared" si="154"/>
        <v/>
      </c>
      <c r="S166" s="113" t="str">
        <f t="shared" si="154"/>
        <v/>
      </c>
      <c r="T166" s="113" t="str">
        <f t="shared" si="154"/>
        <v/>
      </c>
      <c r="U166" s="113" t="str">
        <f t="shared" si="154"/>
        <v/>
      </c>
      <c r="V166" s="114" t="str">
        <f t="shared" si="154"/>
        <v/>
      </c>
      <c r="W166" s="507"/>
      <c r="X166" s="507"/>
      <c r="Y166" s="504"/>
      <c r="Z166" s="494"/>
      <c r="AA166" s="499"/>
      <c r="AB166" s="104" t="s">
        <v>36</v>
      </c>
      <c r="AC166" s="105" t="s">
        <v>36</v>
      </c>
      <c r="AD166" s="542">
        <f>SUM(F164:V165)</f>
        <v>0</v>
      </c>
      <c r="AE166" s="489"/>
      <c r="AF166" s="491"/>
      <c r="AG166" s="540"/>
    </row>
    <row r="167" spans="1:33" s="62" customFormat="1" ht="15">
      <c r="A167" s="535"/>
      <c r="B167" s="130"/>
      <c r="C167" s="131"/>
      <c r="D167" s="100" t="str">
        <f>B164&amp;"D"</f>
        <v>040D</v>
      </c>
      <c r="E167" s="117" t="s">
        <v>152</v>
      </c>
      <c r="F167" s="118" t="str">
        <f t="shared" ref="F167:V167" si="155">IFERROR(VLOOKUP(F165,$AI$8:$AJ$14,2,TRUE),"")</f>
        <v/>
      </c>
      <c r="G167" s="119" t="str">
        <f t="shared" si="155"/>
        <v/>
      </c>
      <c r="H167" s="119" t="str">
        <f t="shared" si="155"/>
        <v/>
      </c>
      <c r="I167" s="119" t="str">
        <f t="shared" si="155"/>
        <v/>
      </c>
      <c r="J167" s="119" t="str">
        <f t="shared" si="155"/>
        <v/>
      </c>
      <c r="K167" s="119" t="str">
        <f t="shared" si="155"/>
        <v/>
      </c>
      <c r="L167" s="119" t="str">
        <f t="shared" si="155"/>
        <v/>
      </c>
      <c r="M167" s="119" t="str">
        <f t="shared" si="155"/>
        <v/>
      </c>
      <c r="N167" s="119" t="str">
        <f t="shared" si="155"/>
        <v/>
      </c>
      <c r="O167" s="119" t="str">
        <f t="shared" si="155"/>
        <v/>
      </c>
      <c r="P167" s="119" t="str">
        <f t="shared" si="155"/>
        <v/>
      </c>
      <c r="Q167" s="119" t="str">
        <f t="shared" si="155"/>
        <v/>
      </c>
      <c r="R167" s="119" t="str">
        <f t="shared" si="155"/>
        <v/>
      </c>
      <c r="S167" s="119" t="str">
        <f t="shared" si="155"/>
        <v/>
      </c>
      <c r="T167" s="119" t="str">
        <f t="shared" si="155"/>
        <v/>
      </c>
      <c r="U167" s="119" t="str">
        <f t="shared" si="155"/>
        <v/>
      </c>
      <c r="V167" s="120" t="str">
        <f t="shared" si="155"/>
        <v/>
      </c>
      <c r="W167" s="508"/>
      <c r="X167" s="508"/>
      <c r="Y167" s="505"/>
      <c r="Z167" s="495"/>
      <c r="AA167" s="500"/>
      <c r="AB167" s="121" t="s">
        <v>36</v>
      </c>
      <c r="AC167" s="122" t="s">
        <v>36</v>
      </c>
      <c r="AD167" s="543"/>
      <c r="AE167" s="489"/>
      <c r="AF167" s="502"/>
      <c r="AG167" s="541"/>
    </row>
    <row r="168" spans="1:33">
      <c r="A168" s="133"/>
      <c r="B168" s="134"/>
      <c r="C168" s="134"/>
      <c r="D168" s="135"/>
      <c r="E168" s="136"/>
      <c r="F168" s="137"/>
      <c r="G168" s="137"/>
      <c r="H168" s="137"/>
      <c r="I168" s="137"/>
      <c r="J168" s="137"/>
      <c r="K168" s="137"/>
      <c r="L168" s="137"/>
      <c r="M168" s="137"/>
      <c r="N168" s="138"/>
      <c r="O168" s="137"/>
      <c r="P168" s="137"/>
      <c r="Q168" s="137"/>
      <c r="R168" s="137"/>
      <c r="S168" s="137"/>
      <c r="T168" s="137"/>
      <c r="U168" s="137"/>
      <c r="V168" s="137"/>
      <c r="W168" s="137"/>
      <c r="X168" s="137"/>
      <c r="Y168" s="139"/>
      <c r="Z168" s="139"/>
      <c r="AA168" s="139"/>
      <c r="AB168" s="137"/>
      <c r="AC168" s="137"/>
      <c r="AD168" s="140"/>
      <c r="AE168" s="141"/>
      <c r="AF168" s="142"/>
    </row>
    <row r="169" spans="1:33">
      <c r="Y169" s="143"/>
      <c r="Z169" s="143"/>
      <c r="AA169" s="144" t="s">
        <v>349</v>
      </c>
    </row>
    <row r="170" spans="1:33">
      <c r="Y170" s="143"/>
      <c r="Z170" s="143"/>
      <c r="AA170" s="50" t="s">
        <v>2</v>
      </c>
    </row>
    <row r="171" spans="1:33">
      <c r="Y171" s="143"/>
      <c r="Z171" s="143"/>
    </row>
    <row r="172" spans="1:33">
      <c r="Y172" s="143"/>
      <c r="Z172" s="143"/>
      <c r="AA172" s="145" t="str">
        <f>Biodata!E4</f>
        <v>Harun Arrosid, S.Pd.I</v>
      </c>
    </row>
    <row r="173" spans="1:33">
      <c r="Y173" s="143"/>
      <c r="Z173" s="143"/>
      <c r="AA173" s="145" t="str">
        <f>Biodata!D5</f>
        <v>NIP/NUP/NUPTK:</v>
      </c>
    </row>
    <row r="174" spans="1:33">
      <c r="Y174" s="143"/>
      <c r="Z174" s="143"/>
      <c r="AA174" s="143"/>
    </row>
  </sheetData>
  <sheetProtection sheet="1" objects="1" scenarios="1"/>
  <mergeCells count="494">
    <mergeCell ref="AG100:AG103"/>
    <mergeCell ref="AG96:AG99"/>
    <mergeCell ref="AG88:AG91"/>
    <mergeCell ref="AG72:AG75"/>
    <mergeCell ref="AG76:AG79"/>
    <mergeCell ref="AG80:AG83"/>
    <mergeCell ref="AG140:AG143"/>
    <mergeCell ref="AG64:AG67"/>
    <mergeCell ref="AG12:AG15"/>
    <mergeCell ref="AG36:AG39"/>
    <mergeCell ref="AG92:AG95"/>
    <mergeCell ref="Y52:Y55"/>
    <mergeCell ref="AG16:AG19"/>
    <mergeCell ref="AG24:AG27"/>
    <mergeCell ref="AG68:AG71"/>
    <mergeCell ref="AG48:AG51"/>
    <mergeCell ref="AG60:AG63"/>
    <mergeCell ref="AG28:AG31"/>
    <mergeCell ref="AG84:AG87"/>
    <mergeCell ref="AG56:AG59"/>
    <mergeCell ref="AE56:AE59"/>
    <mergeCell ref="AE60:AE63"/>
    <mergeCell ref="AD62:AD63"/>
    <mergeCell ref="AF16:AF19"/>
    <mergeCell ref="AF20:AF23"/>
    <mergeCell ref="AI7:AJ7"/>
    <mergeCell ref="X56:X59"/>
    <mergeCell ref="AA68:AA71"/>
    <mergeCell ref="AE40:AE43"/>
    <mergeCell ref="X20:X23"/>
    <mergeCell ref="Z16:Z19"/>
    <mergeCell ref="W28:W31"/>
    <mergeCell ref="C88:C90"/>
    <mergeCell ref="A140:A143"/>
    <mergeCell ref="AA28:AA31"/>
    <mergeCell ref="X36:X39"/>
    <mergeCell ref="X28:X31"/>
    <mergeCell ref="Y32:Y35"/>
    <mergeCell ref="Z36:Z39"/>
    <mergeCell ref="AA36:AA39"/>
    <mergeCell ref="Y12:Y15"/>
    <mergeCell ref="Z12:Z15"/>
    <mergeCell ref="A96:A99"/>
    <mergeCell ref="C136:C138"/>
    <mergeCell ref="A116:A119"/>
    <mergeCell ref="C132:C134"/>
    <mergeCell ref="C124:C126"/>
    <mergeCell ref="C116:C118"/>
    <mergeCell ref="AG8:AG11"/>
    <mergeCell ref="AG5:AG6"/>
    <mergeCell ref="W104:W107"/>
    <mergeCell ref="Z96:Z99"/>
    <mergeCell ref="X92:X95"/>
    <mergeCell ref="AA100:AA103"/>
    <mergeCell ref="AF36:AF39"/>
    <mergeCell ref="W112:W115"/>
    <mergeCell ref="Y100:Y103"/>
    <mergeCell ref="AA108:AA111"/>
    <mergeCell ref="AG112:AG115"/>
    <mergeCell ref="Z108:Z111"/>
    <mergeCell ref="Y108:Y111"/>
    <mergeCell ref="Y96:Y99"/>
    <mergeCell ref="X108:X111"/>
    <mergeCell ref="W100:W103"/>
    <mergeCell ref="Z104:Z107"/>
    <mergeCell ref="AG20:AG23"/>
    <mergeCell ref="AG52:AG55"/>
    <mergeCell ref="AG40:AG43"/>
    <mergeCell ref="AG32:AG35"/>
    <mergeCell ref="AG104:AG107"/>
    <mergeCell ref="AG108:AG111"/>
    <mergeCell ref="AG44:AG47"/>
    <mergeCell ref="W72:W75"/>
    <mergeCell ref="AG164:AG167"/>
    <mergeCell ref="Y112:Y115"/>
    <mergeCell ref="AA128:AA131"/>
    <mergeCell ref="W136:W139"/>
    <mergeCell ref="AA116:AA119"/>
    <mergeCell ref="Y128:Y131"/>
    <mergeCell ref="Z128:Z131"/>
    <mergeCell ref="W116:W119"/>
    <mergeCell ref="AA120:AA123"/>
    <mergeCell ref="AG116:AG119"/>
    <mergeCell ref="AG120:AG123"/>
    <mergeCell ref="AG124:AG127"/>
    <mergeCell ref="AG128:AG131"/>
    <mergeCell ref="AA124:AA127"/>
    <mergeCell ref="X132:X135"/>
    <mergeCell ref="AG132:AG135"/>
    <mergeCell ref="AG136:AG139"/>
    <mergeCell ref="Y116:Y119"/>
    <mergeCell ref="W132:W135"/>
    <mergeCell ref="AA164:AA167"/>
    <mergeCell ref="W160:W163"/>
    <mergeCell ref="Y136:Y139"/>
    <mergeCell ref="AA132:AA135"/>
    <mergeCell ref="X128:X131"/>
    <mergeCell ref="Y132:Y135"/>
    <mergeCell ref="AA136:AA139"/>
    <mergeCell ref="Z136:Z139"/>
    <mergeCell ref="Z164:Z167"/>
    <mergeCell ref="Y160:Y163"/>
    <mergeCell ref="X164:X167"/>
    <mergeCell ref="X148:X151"/>
    <mergeCell ref="AA160:AA163"/>
    <mergeCell ref="Z152:Z155"/>
    <mergeCell ref="X156:X159"/>
    <mergeCell ref="Z156:Z159"/>
    <mergeCell ref="AA156:AA159"/>
    <mergeCell ref="AA148:AA151"/>
    <mergeCell ref="AA152:AA155"/>
    <mergeCell ref="Y156:Y159"/>
    <mergeCell ref="X160:X163"/>
    <mergeCell ref="Y140:Y143"/>
    <mergeCell ref="Y144:Y147"/>
    <mergeCell ref="Z144:Z147"/>
    <mergeCell ref="AA144:AA147"/>
    <mergeCell ref="W144:W147"/>
    <mergeCell ref="Y164:Y167"/>
    <mergeCell ref="AD162:AD163"/>
    <mergeCell ref="Y148:Y151"/>
    <mergeCell ref="W156:W159"/>
    <mergeCell ref="W140:W143"/>
    <mergeCell ref="Z160:Z163"/>
    <mergeCell ref="X152:X155"/>
    <mergeCell ref="Y152:Y155"/>
    <mergeCell ref="X140:X143"/>
    <mergeCell ref="Z140:Z143"/>
    <mergeCell ref="W148:W151"/>
    <mergeCell ref="W164:W167"/>
    <mergeCell ref="X144:X147"/>
    <mergeCell ref="AA140:AA143"/>
    <mergeCell ref="AD166:AD167"/>
    <mergeCell ref="Y104:Y107"/>
    <mergeCell ref="W120:W123"/>
    <mergeCell ref="Z120:Z123"/>
    <mergeCell ref="X120:X123"/>
    <mergeCell ref="X124:X127"/>
    <mergeCell ref="Y124:Y127"/>
    <mergeCell ref="Z124:Z127"/>
    <mergeCell ref="W128:W131"/>
    <mergeCell ref="X104:X107"/>
    <mergeCell ref="Z116:Z119"/>
    <mergeCell ref="A148:A151"/>
    <mergeCell ref="A152:A155"/>
    <mergeCell ref="B132:B134"/>
    <mergeCell ref="A108:A111"/>
    <mergeCell ref="C156:C158"/>
    <mergeCell ref="C152:C154"/>
    <mergeCell ref="C148:C150"/>
    <mergeCell ref="C144:C146"/>
    <mergeCell ref="AE160:AE163"/>
    <mergeCell ref="A128:A131"/>
    <mergeCell ref="A124:A127"/>
    <mergeCell ref="A112:A115"/>
    <mergeCell ref="W152:W155"/>
    <mergeCell ref="Z148:Z151"/>
    <mergeCell ref="X136:X139"/>
    <mergeCell ref="A136:A139"/>
    <mergeCell ref="B144:B146"/>
    <mergeCell ref="X112:X115"/>
    <mergeCell ref="AA112:AA115"/>
    <mergeCell ref="W124:W127"/>
    <mergeCell ref="AD114:AD115"/>
    <mergeCell ref="Z112:Z115"/>
    <mergeCell ref="W108:W111"/>
    <mergeCell ref="AD110:AD111"/>
    <mergeCell ref="A16:A19"/>
    <mergeCell ref="A12:A15"/>
    <mergeCell ref="A8:A11"/>
    <mergeCell ref="B8:B10"/>
    <mergeCell ref="C8:C10"/>
    <mergeCell ref="AF44:AF47"/>
    <mergeCell ref="AE92:AE95"/>
    <mergeCell ref="AF84:AF87"/>
    <mergeCell ref="AF88:AF91"/>
    <mergeCell ref="A24:A27"/>
    <mergeCell ref="A40:A43"/>
    <mergeCell ref="A36:A39"/>
    <mergeCell ref="A32:A35"/>
    <mergeCell ref="AF80:AF83"/>
    <mergeCell ref="AF64:AF67"/>
    <mergeCell ref="A76:A79"/>
    <mergeCell ref="X16:X19"/>
    <mergeCell ref="A92:A95"/>
    <mergeCell ref="A20:A23"/>
    <mergeCell ref="C12:C14"/>
    <mergeCell ref="X60:X63"/>
    <mergeCell ref="AD14:AD15"/>
    <mergeCell ref="AA40:AA43"/>
    <mergeCell ref="X40:X43"/>
    <mergeCell ref="AG144:AG147"/>
    <mergeCell ref="AG148:AG151"/>
    <mergeCell ref="AG152:AG155"/>
    <mergeCell ref="AG156:AG159"/>
    <mergeCell ref="AG160:AG163"/>
    <mergeCell ref="AE148:AE151"/>
    <mergeCell ref="AF108:AF111"/>
    <mergeCell ref="AD46:AD47"/>
    <mergeCell ref="AF76:AF79"/>
    <mergeCell ref="AE84:AE87"/>
    <mergeCell ref="AE144:AE147"/>
    <mergeCell ref="AE108:AE111"/>
    <mergeCell ref="AF136:AF139"/>
    <mergeCell ref="AF104:AF107"/>
    <mergeCell ref="AE116:AE119"/>
    <mergeCell ref="AF132:AF135"/>
    <mergeCell ref="AE132:AE135"/>
    <mergeCell ref="AF112:AF115"/>
    <mergeCell ref="AF116:AF119"/>
    <mergeCell ref="AF120:AF123"/>
    <mergeCell ref="AF124:AF127"/>
    <mergeCell ref="AF128:AF131"/>
    <mergeCell ref="AD86:AD87"/>
    <mergeCell ref="AD82:AD83"/>
    <mergeCell ref="C5:C6"/>
    <mergeCell ref="B76:B78"/>
    <mergeCell ref="C76:C78"/>
    <mergeCell ref="B60:B62"/>
    <mergeCell ref="C48:C50"/>
    <mergeCell ref="C72:C74"/>
    <mergeCell ref="Z20:Z23"/>
    <mergeCell ref="W32:W35"/>
    <mergeCell ref="AA32:AA35"/>
    <mergeCell ref="W24:W27"/>
    <mergeCell ref="X24:X27"/>
    <mergeCell ref="Y24:Y27"/>
    <mergeCell ref="Z24:Z27"/>
    <mergeCell ref="AA24:AA27"/>
    <mergeCell ref="Y56:Y59"/>
    <mergeCell ref="Z76:Z79"/>
    <mergeCell ref="X72:X75"/>
    <mergeCell ref="AA60:AA63"/>
    <mergeCell ref="Z60:Z63"/>
    <mergeCell ref="W36:W39"/>
    <mergeCell ref="B56:B58"/>
    <mergeCell ref="W12:W15"/>
    <mergeCell ref="Z28:Z31"/>
    <mergeCell ref="AA20:AA23"/>
    <mergeCell ref="C160:C162"/>
    <mergeCell ref="B72:B74"/>
    <mergeCell ref="C60:C62"/>
    <mergeCell ref="AE64:AE67"/>
    <mergeCell ref="W16:W19"/>
    <mergeCell ref="AA12:AA15"/>
    <mergeCell ref="X12:X15"/>
    <mergeCell ref="B64:B66"/>
    <mergeCell ref="AE36:AE39"/>
    <mergeCell ref="B32:B34"/>
    <mergeCell ref="B80:B82"/>
    <mergeCell ref="C92:C94"/>
    <mergeCell ref="Y44:Y47"/>
    <mergeCell ref="B100:B102"/>
    <mergeCell ref="C32:C34"/>
    <mergeCell ref="C112:C114"/>
    <mergeCell ref="B16:B18"/>
    <mergeCell ref="B84:B86"/>
    <mergeCell ref="C16:C18"/>
    <mergeCell ref="B12:B14"/>
    <mergeCell ref="AD18:AD19"/>
    <mergeCell ref="AD22:AD23"/>
    <mergeCell ref="AD26:AD27"/>
    <mergeCell ref="W96:W99"/>
    <mergeCell ref="C140:C142"/>
    <mergeCell ref="A100:A103"/>
    <mergeCell ref="A132:A135"/>
    <mergeCell ref="A120:A123"/>
    <mergeCell ref="C128:C130"/>
    <mergeCell ref="AA56:AA59"/>
    <mergeCell ref="W40:W43"/>
    <mergeCell ref="Z32:Z35"/>
    <mergeCell ref="Y28:Y31"/>
    <mergeCell ref="W52:W55"/>
    <mergeCell ref="Z56:Z59"/>
    <mergeCell ref="Z88:Z91"/>
    <mergeCell ref="AA92:AA95"/>
    <mergeCell ref="X84:X87"/>
    <mergeCell ref="AA80:AA83"/>
    <mergeCell ref="X88:X91"/>
    <mergeCell ref="Y92:Y95"/>
    <mergeCell ref="A84:A87"/>
    <mergeCell ref="A80:A83"/>
    <mergeCell ref="X32:X35"/>
    <mergeCell ref="Z68:Z71"/>
    <mergeCell ref="W84:W87"/>
    <mergeCell ref="AA84:AA87"/>
    <mergeCell ref="Z100:Z103"/>
    <mergeCell ref="B136:B138"/>
    <mergeCell ref="C52:C54"/>
    <mergeCell ref="A68:A71"/>
    <mergeCell ref="B48:B50"/>
    <mergeCell ref="X80:X83"/>
    <mergeCell ref="Y72:Y75"/>
    <mergeCell ref="AA76:AA79"/>
    <mergeCell ref="Y76:Y79"/>
    <mergeCell ref="Y80:Y83"/>
    <mergeCell ref="Z80:Z83"/>
    <mergeCell ref="W60:W63"/>
    <mergeCell ref="AA52:AA55"/>
    <mergeCell ref="Y60:Y63"/>
    <mergeCell ref="X68:X71"/>
    <mergeCell ref="W56:W59"/>
    <mergeCell ref="X52:X55"/>
    <mergeCell ref="Z72:Z75"/>
    <mergeCell ref="W68:W71"/>
    <mergeCell ref="W76:W79"/>
    <mergeCell ref="W80:W83"/>
    <mergeCell ref="AA72:AA75"/>
    <mergeCell ref="Y68:Y71"/>
    <mergeCell ref="W64:W67"/>
    <mergeCell ref="Z52:Z55"/>
    <mergeCell ref="C100:C102"/>
    <mergeCell ref="C96:C98"/>
    <mergeCell ref="B104:B106"/>
    <mergeCell ref="AE20:AE23"/>
    <mergeCell ref="A60:A63"/>
    <mergeCell ref="C40:C42"/>
    <mergeCell ref="B88:B90"/>
    <mergeCell ref="A64:A67"/>
    <mergeCell ref="B52:B54"/>
    <mergeCell ref="A72:A75"/>
    <mergeCell ref="Y40:Y43"/>
    <mergeCell ref="Y36:Y39"/>
    <mergeCell ref="Z40:Z43"/>
    <mergeCell ref="W44:W47"/>
    <mergeCell ref="X64:X67"/>
    <mergeCell ref="Y64:Y67"/>
    <mergeCell ref="Z64:Z67"/>
    <mergeCell ref="AA64:AA67"/>
    <mergeCell ref="AA88:AA91"/>
    <mergeCell ref="X100:X103"/>
    <mergeCell ref="AD30:AD31"/>
    <mergeCell ref="AD34:AD35"/>
    <mergeCell ref="AD38:AD39"/>
    <mergeCell ref="X96:X99"/>
    <mergeCell ref="B5:B6"/>
    <mergeCell ref="A28:A31"/>
    <mergeCell ref="A104:A107"/>
    <mergeCell ref="C56:C58"/>
    <mergeCell ref="B36:B38"/>
    <mergeCell ref="AE104:AE107"/>
    <mergeCell ref="AD70:AD71"/>
    <mergeCell ref="AF68:AF71"/>
    <mergeCell ref="C120:C122"/>
    <mergeCell ref="C104:C106"/>
    <mergeCell ref="B92:B94"/>
    <mergeCell ref="AE32:AE35"/>
    <mergeCell ref="C44:C46"/>
    <mergeCell ref="Z48:Z51"/>
    <mergeCell ref="B44:B46"/>
    <mergeCell ref="C36:C38"/>
    <mergeCell ref="C24:C26"/>
    <mergeCell ref="A5:A6"/>
    <mergeCell ref="B24:B26"/>
    <mergeCell ref="A56:A59"/>
    <mergeCell ref="A48:A51"/>
    <mergeCell ref="A44:A47"/>
    <mergeCell ref="B20:B22"/>
    <mergeCell ref="C84:C86"/>
    <mergeCell ref="A164:A167"/>
    <mergeCell ref="AE72:AE75"/>
    <mergeCell ref="A156:A159"/>
    <mergeCell ref="A160:A163"/>
    <mergeCell ref="B164:B166"/>
    <mergeCell ref="C164:C166"/>
    <mergeCell ref="AE28:AE31"/>
    <mergeCell ref="C64:C66"/>
    <mergeCell ref="B40:B42"/>
    <mergeCell ref="B28:B30"/>
    <mergeCell ref="C28:C30"/>
    <mergeCell ref="AE100:AE103"/>
    <mergeCell ref="AE124:AE127"/>
    <mergeCell ref="W48:W51"/>
    <mergeCell ref="AD42:AD43"/>
    <mergeCell ref="AE152:AE155"/>
    <mergeCell ref="AE120:AE123"/>
    <mergeCell ref="X44:X47"/>
    <mergeCell ref="AE48:AE51"/>
    <mergeCell ref="AE52:AE55"/>
    <mergeCell ref="AD54:AD55"/>
    <mergeCell ref="AE112:AE115"/>
    <mergeCell ref="C68:C70"/>
    <mergeCell ref="B160:B162"/>
    <mergeCell ref="A88:A91"/>
    <mergeCell ref="B128:B130"/>
    <mergeCell ref="A144:A147"/>
    <mergeCell ref="B152:B154"/>
    <mergeCell ref="B156:B158"/>
    <mergeCell ref="AE44:AE47"/>
    <mergeCell ref="W20:W23"/>
    <mergeCell ref="Y16:Y19"/>
    <mergeCell ref="AA16:AA19"/>
    <mergeCell ref="Y20:Y23"/>
    <mergeCell ref="B68:B70"/>
    <mergeCell ref="C108:C110"/>
    <mergeCell ref="B124:B126"/>
    <mergeCell ref="B96:B98"/>
    <mergeCell ref="B116:B118"/>
    <mergeCell ref="B108:B110"/>
    <mergeCell ref="C20:C22"/>
    <mergeCell ref="AE128:AE131"/>
    <mergeCell ref="B120:B122"/>
    <mergeCell ref="B140:B142"/>
    <mergeCell ref="B112:B114"/>
    <mergeCell ref="B148:B150"/>
    <mergeCell ref="A52:A55"/>
    <mergeCell ref="C80:C82"/>
    <mergeCell ref="E5:E6"/>
    <mergeCell ref="AD50:AD51"/>
    <mergeCell ref="Y48:Y51"/>
    <mergeCell ref="AA44:AA47"/>
    <mergeCell ref="AA48:AA51"/>
    <mergeCell ref="Y5:AA5"/>
    <mergeCell ref="L5:O5"/>
    <mergeCell ref="W8:W11"/>
    <mergeCell ref="AE88:AE91"/>
    <mergeCell ref="X8:X11"/>
    <mergeCell ref="Y8:Y11"/>
    <mergeCell ref="AE80:AE83"/>
    <mergeCell ref="AB5:AC5"/>
    <mergeCell ref="W5:X5"/>
    <mergeCell ref="AE8:AE11"/>
    <mergeCell ref="AD5:AF5"/>
    <mergeCell ref="AD10:AD11"/>
    <mergeCell ref="Y84:Y87"/>
    <mergeCell ref="W88:W91"/>
    <mergeCell ref="Z84:Z87"/>
    <mergeCell ref="X76:X79"/>
    <mergeCell ref="Y88:Y91"/>
    <mergeCell ref="AD90:AD91"/>
    <mergeCell ref="AF24:AF27"/>
    <mergeCell ref="F5:K5"/>
    <mergeCell ref="AF40:AF43"/>
    <mergeCell ref="AE96:AE99"/>
    <mergeCell ref="Z8:Z11"/>
    <mergeCell ref="AD66:AD67"/>
    <mergeCell ref="AE76:AE79"/>
    <mergeCell ref="AD74:AD75"/>
    <mergeCell ref="AD78:AD79"/>
    <mergeCell ref="AA8:AA11"/>
    <mergeCell ref="AF96:AF99"/>
    <mergeCell ref="AF60:AF63"/>
    <mergeCell ref="AF12:AF15"/>
    <mergeCell ref="AF92:AF95"/>
    <mergeCell ref="AF52:AF55"/>
    <mergeCell ref="AF48:AF51"/>
    <mergeCell ref="AF72:AF75"/>
    <mergeCell ref="W92:W95"/>
    <mergeCell ref="AA96:AA99"/>
    <mergeCell ref="AD94:AD95"/>
    <mergeCell ref="AD98:AD99"/>
    <mergeCell ref="Z92:Z95"/>
    <mergeCell ref="AF28:AF31"/>
    <mergeCell ref="AF32:AF35"/>
    <mergeCell ref="X48:X51"/>
    <mergeCell ref="P5:S5"/>
    <mergeCell ref="T5:U5"/>
    <mergeCell ref="AE164:AE167"/>
    <mergeCell ref="AE68:AE71"/>
    <mergeCell ref="AF164:AF167"/>
    <mergeCell ref="AD58:AD59"/>
    <mergeCell ref="AF156:AF159"/>
    <mergeCell ref="AF140:AF143"/>
    <mergeCell ref="AF152:AF155"/>
    <mergeCell ref="AF160:AF163"/>
    <mergeCell ref="AF148:AF151"/>
    <mergeCell ref="AF144:AF147"/>
    <mergeCell ref="AE140:AE143"/>
    <mergeCell ref="AF100:AF103"/>
    <mergeCell ref="AE136:AE139"/>
    <mergeCell ref="AD102:AD103"/>
    <mergeCell ref="AD106:AD107"/>
    <mergeCell ref="Y120:Y123"/>
    <mergeCell ref="X116:X119"/>
    <mergeCell ref="AD118:AD119"/>
    <mergeCell ref="AF8:AF11"/>
    <mergeCell ref="AE24:AE27"/>
    <mergeCell ref="AE12:AE15"/>
    <mergeCell ref="AE16:AE19"/>
    <mergeCell ref="AE156:AE159"/>
    <mergeCell ref="AF56:AF59"/>
    <mergeCell ref="Z44:Z47"/>
    <mergeCell ref="AD122:AD123"/>
    <mergeCell ref="AD126:AD127"/>
    <mergeCell ref="AD134:AD135"/>
    <mergeCell ref="AD138:AD139"/>
    <mergeCell ref="AD142:AD143"/>
    <mergeCell ref="AD146:AD147"/>
    <mergeCell ref="AA104:AA107"/>
    <mergeCell ref="AD130:AD131"/>
    <mergeCell ref="AD150:AD151"/>
    <mergeCell ref="Z132:Z135"/>
    <mergeCell ref="AD154:AD155"/>
    <mergeCell ref="AD158:AD159"/>
  </mergeCells>
  <conditionalFormatting sqref="F8:V167">
    <cfRule type="cellIs" dxfId="4" priority="1" operator="lessThan">
      <formula>70</formula>
    </cfRule>
  </conditionalFormatting>
  <dataValidations count="42">
    <dataValidation type="list" allowBlank="1" showInputMessage="1" showErrorMessage="1" sqref="W8:X167">
      <formula1>$AK$8:$AK$12</formula1>
    </dataValidation>
    <dataValidation type="list" allowBlank="1" showInputMessage="1" showErrorMessage="1" sqref="AC8:AC167">
      <formula1>$AK$8:$AK$12</formula1>
    </dataValidation>
    <dataValidation type="list" allowBlank="1" showInputMessage="1" showErrorMessage="1" sqref="AG12">
      <formula1>$AM$8:$AM$16</formula1>
    </dataValidation>
    <dataValidation type="list" allowBlank="1" showInputMessage="1" showErrorMessage="1" sqref="AG52">
      <formula1>$AM$8:$AM$16</formula1>
    </dataValidation>
    <dataValidation type="list" allowBlank="1" showInputMessage="1" showErrorMessage="1" sqref="AG24">
      <formula1>$AM$8:$AM$16</formula1>
    </dataValidation>
    <dataValidation type="list" allowBlank="1" showInputMessage="1" showErrorMessage="1" sqref="AG44">
      <formula1>$AM$8:$AM$16</formula1>
    </dataValidation>
    <dataValidation type="list" allowBlank="1" showInputMessage="1" showErrorMessage="1" sqref="AG8">
      <formula1>$AM$8:$AM$16</formula1>
    </dataValidation>
    <dataValidation type="list" allowBlank="1" showInputMessage="1" showErrorMessage="1" sqref="AG36">
      <formula1>$AM$8:$AM$16</formula1>
    </dataValidation>
    <dataValidation type="list" allowBlank="1" showInputMessage="1" showErrorMessage="1" sqref="AG20">
      <formula1>$AM$8:$AM$16</formula1>
    </dataValidation>
    <dataValidation type="list" allowBlank="1" showInputMessage="1" showErrorMessage="1" sqref="AG28">
      <formula1>$AM$8:$AM$16</formula1>
    </dataValidation>
    <dataValidation type="list" allowBlank="1" showInputMessage="1" showErrorMessage="1" sqref="AG64">
      <formula1>$AM$8:$AM$16</formula1>
    </dataValidation>
    <dataValidation type="list" allowBlank="1" showInputMessage="1" showErrorMessage="1" sqref="AG132">
      <formula1>$AM$8:$AM$16</formula1>
    </dataValidation>
    <dataValidation type="list" allowBlank="1" showInputMessage="1" showErrorMessage="1" sqref="AG16">
      <formula1>$AM$8:$AM$16</formula1>
    </dataValidation>
    <dataValidation type="list" allowBlank="1" showInputMessage="1" showErrorMessage="1" sqref="AG68">
      <formula1>$AM$8:$AM$16</formula1>
    </dataValidation>
    <dataValidation type="list" allowBlank="1" showInputMessage="1" showErrorMessage="1" sqref="AG104">
      <formula1>$AM$8:$AM$16</formula1>
    </dataValidation>
    <dataValidation type="list" allowBlank="1" showInputMessage="1" showErrorMessage="1" sqref="AG148">
      <formula1>$AM$8:$AM$16</formula1>
    </dataValidation>
    <dataValidation type="list" allowBlank="1" showInputMessage="1" showErrorMessage="1" sqref="AG112">
      <formula1>$AM$8:$AM$16</formula1>
    </dataValidation>
    <dataValidation type="list" allowBlank="1" showInputMessage="1" showErrorMessage="1" sqref="AG156">
      <formula1>$AM$8:$AM$16</formula1>
    </dataValidation>
    <dataValidation type="list" allowBlank="1" showInputMessage="1" showErrorMessage="1" sqref="AG32">
      <formula1>$AM$8:$AM$16</formula1>
    </dataValidation>
    <dataValidation type="list" allowBlank="1" showInputMessage="1" showErrorMessage="1" sqref="AG76">
      <formula1>$AM$8:$AM$16</formula1>
    </dataValidation>
    <dataValidation type="list" allowBlank="1" showInputMessage="1" showErrorMessage="1" sqref="AG80">
      <formula1>$AM$8:$AM$16</formula1>
    </dataValidation>
    <dataValidation type="list" allowBlank="1" showInputMessage="1" showErrorMessage="1" sqref="AG140">
      <formula1>$AM$8:$AM$16</formula1>
    </dataValidation>
    <dataValidation type="list" allowBlank="1" showInputMessage="1" showErrorMessage="1" sqref="AG60">
      <formula1>$AM$8:$AM$16</formula1>
    </dataValidation>
    <dataValidation type="list" allowBlank="1" showInputMessage="1" showErrorMessage="1" sqref="AG116">
      <formula1>$AM$8:$AM$16</formula1>
    </dataValidation>
    <dataValidation type="list" allowBlank="1" showInputMessage="1" showErrorMessage="1" sqref="AG96">
      <formula1>$AM$8:$AM$16</formula1>
    </dataValidation>
    <dataValidation type="list" allowBlank="1" showInputMessage="1" showErrorMessage="1" sqref="AG108">
      <formula1>$AM$8:$AM$16</formula1>
    </dataValidation>
    <dataValidation type="list" allowBlank="1" showInputMessage="1" showErrorMessage="1" sqref="AG40">
      <formula1>$AM$8:$AM$16</formula1>
    </dataValidation>
    <dataValidation type="list" allowBlank="1" showInputMessage="1" showErrorMessage="1" sqref="AG84">
      <formula1>$AM$8:$AM$16</formula1>
    </dataValidation>
    <dataValidation type="list" allowBlank="1" showInputMessage="1" showErrorMessage="1" sqref="AG48">
      <formula1>$AM$8:$AM$16</formula1>
    </dataValidation>
    <dataValidation type="list" allowBlank="1" showInputMessage="1" showErrorMessage="1" sqref="AG92">
      <formula1>$AM$8:$AM$16</formula1>
    </dataValidation>
    <dataValidation type="list" allowBlank="1" showInputMessage="1" showErrorMessage="1" sqref="AG56">
      <formula1>$AM$8:$AM$16</formula1>
    </dataValidation>
    <dataValidation type="list" allowBlank="1" showInputMessage="1" showErrorMessage="1" sqref="AG100">
      <formula1>$AM$8:$AM$16</formula1>
    </dataValidation>
    <dataValidation type="list" allowBlank="1" showInputMessage="1" showErrorMessage="1" sqref="AG88">
      <formula1>$AM$8:$AM$16</formula1>
    </dataValidation>
    <dataValidation type="list" allowBlank="1" showInputMessage="1" showErrorMessage="1" sqref="AG72">
      <formula1>$AM$8:$AM$16</formula1>
    </dataValidation>
    <dataValidation type="list" allowBlank="1" showInputMessage="1" showErrorMessage="1" sqref="AG160">
      <formula1>$AM$8:$AM$16</formula1>
    </dataValidation>
    <dataValidation type="list" allowBlank="1" showInputMessage="1" showErrorMessage="1" sqref="AG120">
      <formula1>$AM$8:$AM$16</formula1>
    </dataValidation>
    <dataValidation type="list" allowBlank="1" showInputMessage="1" showErrorMessage="1" sqref="AG152">
      <formula1>$AM$8:$AM$16</formula1>
    </dataValidation>
    <dataValidation type="list" allowBlank="1" showInputMessage="1" showErrorMessage="1" sqref="AG144">
      <formula1>$AM$8:$AM$16</formula1>
    </dataValidation>
    <dataValidation type="list" allowBlank="1" showInputMessage="1" showErrorMessage="1" sqref="AG136">
      <formula1>$AM$8:$AM$16</formula1>
    </dataValidation>
    <dataValidation type="list" allowBlank="1" showInputMessage="1" showErrorMessage="1" sqref="AG124">
      <formula1>$AM$8:$AM$16</formula1>
    </dataValidation>
    <dataValidation type="list" allowBlank="1" showInputMessage="1" showErrorMessage="1" sqref="AG128">
      <formula1>$AM$8:$AM$16</formula1>
    </dataValidation>
    <dataValidation type="list" allowBlank="1" showInputMessage="1" showErrorMessage="1" sqref="AG164">
      <formula1>$AM$8:$AM$16</formula1>
    </dataValidation>
  </dataValidations>
  <printOptions horizontalCentered="1"/>
  <pageMargins left="0.11811023622047245" right="0.11811023622047245" top="0.39370078740157483" bottom="0.27559055118110237" header="0.23622047244094491" footer="0.15748031496062992"/>
  <pageSetup paperSize="256" scale="78" orientation="landscape"/>
  <headerFooter alignWithMargins="0">
    <oddHeader>&amp;C&amp;"Arial Rounded MT Bold,Regular"DKN  SMA PASUNDAN BANJARAN</oddHeader>
    <oddFooter>&amp;R&amp;"Calibri,Regular"&amp;9&amp;P</oddFooter>
  </headerFooter>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V164"/>
  <sheetViews>
    <sheetView showGridLines="0" workbookViewId="0">
      <pane xSplit="4" ySplit="4" topLeftCell="E74" activePane="bottomRight" state="frozen"/>
      <selection pane="topRight"/>
      <selection pane="bottomLeft"/>
      <selection pane="bottomRight" activeCell="E11" sqref="E11"/>
    </sheetView>
  </sheetViews>
  <sheetFormatPr defaultColWidth="9" defaultRowHeight="12.75"/>
  <cols>
    <col min="1" max="1" width="4" style="44" customWidth="1"/>
    <col min="2" max="2" width="4.42578125" style="45" hidden="1"/>
    <col min="3" max="3" width="23" style="45" customWidth="1"/>
    <col min="4" max="4" width="9.28515625" style="46" hidden="1"/>
    <col min="5" max="5" width="19.7109375" style="46" customWidth="1"/>
    <col min="6" max="6" width="25.7109375" style="146" customWidth="1"/>
    <col min="7" max="7" width="4.5703125" style="146" customWidth="1"/>
    <col min="8" max="8" width="25.7109375" style="146" customWidth="1"/>
    <col min="9" max="256" width="9.140625" style="47" customWidth="1"/>
  </cols>
  <sheetData>
    <row r="1" spans="1:8" ht="15.75">
      <c r="A1" s="147"/>
      <c r="B1" s="148"/>
      <c r="C1" s="149" t="s">
        <v>163</v>
      </c>
      <c r="D1" s="150"/>
      <c r="E1" s="150"/>
      <c r="F1" s="151"/>
      <c r="G1" s="151"/>
      <c r="H1" s="151"/>
    </row>
    <row r="2" spans="1:8" ht="12.75" customHeight="1">
      <c r="A2" s="558" t="s">
        <v>9</v>
      </c>
      <c r="B2" s="558" t="s">
        <v>10</v>
      </c>
      <c r="C2" s="562" t="s">
        <v>41</v>
      </c>
      <c r="D2" s="152" t="s">
        <v>54</v>
      </c>
      <c r="E2" s="559" t="s">
        <v>165</v>
      </c>
      <c r="F2" s="559"/>
      <c r="G2" s="563" t="s">
        <v>323</v>
      </c>
      <c r="H2" s="559" t="s">
        <v>167</v>
      </c>
    </row>
    <row r="3" spans="1:8">
      <c r="A3" s="558"/>
      <c r="B3" s="558"/>
      <c r="C3" s="562"/>
      <c r="D3" s="153" t="s">
        <v>55</v>
      </c>
      <c r="E3" s="154" t="s">
        <v>146</v>
      </c>
      <c r="F3" s="154" t="s">
        <v>166</v>
      </c>
      <c r="G3" s="564"/>
      <c r="H3" s="559"/>
    </row>
    <row r="4" spans="1:8">
      <c r="A4" s="155">
        <v>0</v>
      </c>
      <c r="B4" s="155"/>
      <c r="C4" s="155">
        <v>1</v>
      </c>
      <c r="D4" s="155">
        <v>1</v>
      </c>
      <c r="E4" s="156">
        <v>2</v>
      </c>
      <c r="F4" s="157">
        <v>3</v>
      </c>
      <c r="G4" s="158">
        <v>4</v>
      </c>
      <c r="H4" s="158">
        <v>5</v>
      </c>
    </row>
    <row r="5" spans="1:8">
      <c r="A5" s="561">
        <v>1</v>
      </c>
      <c r="B5" s="531" t="str">
        <f>VLOOKUP(A5,biononis,2,1)</f>
        <v>181910008</v>
      </c>
      <c r="C5" s="532" t="str">
        <f>VLOOKUP(A5,biononis,3,1)</f>
        <v>ADITA TRI KURNIA PUTRI</v>
      </c>
      <c r="D5" s="159" t="str">
        <f>B5&amp;"A"</f>
        <v>181910008A</v>
      </c>
      <c r="E5" s="160" t="s">
        <v>168</v>
      </c>
      <c r="F5" s="161" t="s">
        <v>164</v>
      </c>
      <c r="G5" s="557">
        <f>LEGER!AF8</f>
        <v>6</v>
      </c>
      <c r="H5" s="560" t="str">
        <f>LEGER!AG8</f>
        <v>Pertahankan Prestasimu  !</v>
      </c>
    </row>
    <row r="6" spans="1:8">
      <c r="A6" s="554"/>
      <c r="B6" s="530"/>
      <c r="C6" s="533"/>
      <c r="D6" s="100" t="str">
        <f>B5&amp;"B"</f>
        <v>181910008B</v>
      </c>
      <c r="E6" s="162" t="s">
        <v>36</v>
      </c>
      <c r="F6" s="163" t="s">
        <v>36</v>
      </c>
      <c r="G6" s="548"/>
      <c r="H6" s="550"/>
    </row>
    <row r="7" spans="1:8">
      <c r="A7" s="554"/>
      <c r="B7" s="530"/>
      <c r="C7" s="533"/>
      <c r="D7" s="100" t="str">
        <f>B5&amp;"C"</f>
        <v>181910008C</v>
      </c>
      <c r="E7" s="164" t="s">
        <v>36</v>
      </c>
      <c r="F7" s="165" t="s">
        <v>36</v>
      </c>
      <c r="G7" s="548"/>
      <c r="H7" s="550"/>
    </row>
    <row r="8" spans="1:8">
      <c r="A8" s="555"/>
      <c r="B8" s="115"/>
      <c r="C8" s="116"/>
      <c r="D8" s="166" t="str">
        <f>B5&amp;"D"</f>
        <v>181910008D</v>
      </c>
      <c r="E8" s="167" t="s">
        <v>36</v>
      </c>
      <c r="F8" s="168" t="s">
        <v>36</v>
      </c>
      <c r="G8" s="548"/>
      <c r="H8" s="550"/>
    </row>
    <row r="9" spans="1:8" ht="13.5" customHeight="1">
      <c r="A9" s="554">
        <v>2</v>
      </c>
      <c r="B9" s="556" t="str">
        <f>VLOOKUP(A9,biononis,2,1)</f>
        <v>181910011</v>
      </c>
      <c r="C9" s="552" t="str">
        <f>VLOOKUP(A9,biononis,3,1)</f>
        <v xml:space="preserve">ADNES KOMALA DEWI </v>
      </c>
      <c r="D9" s="100" t="str">
        <f>B9&amp;"A"</f>
        <v>181910011A</v>
      </c>
      <c r="E9" s="169" t="s">
        <v>275</v>
      </c>
      <c r="F9" s="170" t="s">
        <v>276</v>
      </c>
      <c r="G9" s="548">
        <f>LEGER!AF12</f>
        <v>23</v>
      </c>
      <c r="H9" s="549" t="str">
        <f>LEGER!AG12</f>
        <v>Luangkan waktu untuk belajar, hadir di kelas, rajin ke sekolah, &amp; perbaiki mapel yang belum tuntas !</v>
      </c>
    </row>
    <row r="10" spans="1:8" ht="13.5" customHeight="1">
      <c r="A10" s="554"/>
      <c r="B10" s="530"/>
      <c r="C10" s="533"/>
      <c r="D10" s="100" t="str">
        <f>B9&amp;"B"</f>
        <v>181910011B</v>
      </c>
      <c r="E10" s="162" t="s">
        <v>36</v>
      </c>
      <c r="F10" s="165" t="s">
        <v>36</v>
      </c>
      <c r="G10" s="548"/>
      <c r="H10" s="550"/>
    </row>
    <row r="11" spans="1:8" ht="13.5" customHeight="1">
      <c r="A11" s="554"/>
      <c r="B11" s="530"/>
      <c r="C11" s="533"/>
      <c r="D11" s="100" t="str">
        <f>B9&amp;"C"</f>
        <v>181910011C</v>
      </c>
      <c r="E11" s="171" t="s">
        <v>36</v>
      </c>
      <c r="F11" s="165" t="s">
        <v>36</v>
      </c>
      <c r="G11" s="548"/>
      <c r="H11" s="550"/>
    </row>
    <row r="12" spans="1:8" ht="13.5" customHeight="1">
      <c r="A12" s="554"/>
      <c r="B12" s="172"/>
      <c r="C12" s="173"/>
      <c r="D12" s="100" t="str">
        <f>B9&amp;"D"</f>
        <v>181910011D</v>
      </c>
      <c r="E12" s="174" t="s">
        <v>36</v>
      </c>
      <c r="F12" s="175" t="s">
        <v>36</v>
      </c>
      <c r="G12" s="548"/>
      <c r="H12" s="551"/>
    </row>
    <row r="13" spans="1:8" ht="13.5" customHeight="1">
      <c r="A13" s="553">
        <v>3</v>
      </c>
      <c r="B13" s="530" t="str">
        <f>VLOOKUP(A13,biononis,2,1)</f>
        <v>181910014</v>
      </c>
      <c r="C13" s="533" t="str">
        <f>VLOOKUP(A13,biononis,3,1)</f>
        <v>AGUNG BUDI PRASTAWA</v>
      </c>
      <c r="D13" s="88" t="str">
        <f>B13&amp;"A"</f>
        <v>181910014A</v>
      </c>
      <c r="E13" s="176" t="s">
        <v>36</v>
      </c>
      <c r="F13" s="163" t="s">
        <v>36</v>
      </c>
      <c r="G13" s="548">
        <f>LEGER!AF16</f>
        <v>24</v>
      </c>
      <c r="H13" s="549" t="str">
        <f>LEGER!AG16</f>
        <v>Luangkan waktu untuk belajar, hadir di kelas, rajin ke sekolah, &amp; perbaiki mapel yang belum tuntas !</v>
      </c>
    </row>
    <row r="14" spans="1:8" ht="13.5" customHeight="1">
      <c r="A14" s="554"/>
      <c r="B14" s="530"/>
      <c r="C14" s="533"/>
      <c r="D14" s="100" t="str">
        <f>B13&amp;"B"</f>
        <v>181910014B</v>
      </c>
      <c r="E14" s="171" t="s">
        <v>36</v>
      </c>
      <c r="F14" s="165" t="s">
        <v>36</v>
      </c>
      <c r="G14" s="548"/>
      <c r="H14" s="550"/>
    </row>
    <row r="15" spans="1:8" ht="13.5" customHeight="1">
      <c r="A15" s="554"/>
      <c r="B15" s="530"/>
      <c r="C15" s="533"/>
      <c r="D15" s="100" t="str">
        <f>B13&amp;"C"</f>
        <v>181910014C</v>
      </c>
      <c r="E15" s="171" t="s">
        <v>36</v>
      </c>
      <c r="F15" s="165" t="s">
        <v>36</v>
      </c>
      <c r="G15" s="548"/>
      <c r="H15" s="550"/>
    </row>
    <row r="16" spans="1:8" ht="13.5" customHeight="1">
      <c r="A16" s="555"/>
      <c r="B16" s="115"/>
      <c r="C16" s="116"/>
      <c r="D16" s="166" t="str">
        <f>B13&amp;"D"</f>
        <v>181910014D</v>
      </c>
      <c r="E16" s="177" t="s">
        <v>36</v>
      </c>
      <c r="F16" s="178" t="s">
        <v>36</v>
      </c>
      <c r="G16" s="548"/>
      <c r="H16" s="551"/>
    </row>
    <row r="17" spans="1:8" ht="13.5" customHeight="1">
      <c r="A17" s="554">
        <v>4</v>
      </c>
      <c r="B17" s="556" t="str">
        <f>VLOOKUP(A17,biononis,2,1)</f>
        <v>181910021</v>
      </c>
      <c r="C17" s="552" t="str">
        <f>VLOOKUP(A17,biononis,3,1)</f>
        <v>AISYAH</v>
      </c>
      <c r="D17" s="100" t="str">
        <f>B17&amp;"A"</f>
        <v>181910021A</v>
      </c>
      <c r="E17" s="169" t="s">
        <v>36</v>
      </c>
      <c r="F17" s="170" t="s">
        <v>36</v>
      </c>
      <c r="G17" s="548">
        <f>LEGER!AF20</f>
        <v>17</v>
      </c>
      <c r="H17" s="549" t="str">
        <f>LEGER!AG20</f>
        <v>Belajarlah lebih rajin dan minta pengayaan !</v>
      </c>
    </row>
    <row r="18" spans="1:8" ht="13.5" customHeight="1">
      <c r="A18" s="554"/>
      <c r="B18" s="530"/>
      <c r="C18" s="533"/>
      <c r="D18" s="100" t="str">
        <f>B17&amp;"B"</f>
        <v>181910021B</v>
      </c>
      <c r="E18" s="171" t="s">
        <v>36</v>
      </c>
      <c r="F18" s="165" t="s">
        <v>36</v>
      </c>
      <c r="G18" s="548"/>
      <c r="H18" s="550"/>
    </row>
    <row r="19" spans="1:8" ht="13.5" customHeight="1">
      <c r="A19" s="554"/>
      <c r="B19" s="530"/>
      <c r="C19" s="533"/>
      <c r="D19" s="100" t="str">
        <f>B17&amp;"C"</f>
        <v>181910021C</v>
      </c>
      <c r="E19" s="171" t="s">
        <v>36</v>
      </c>
      <c r="F19" s="165" t="s">
        <v>36</v>
      </c>
      <c r="G19" s="548"/>
      <c r="H19" s="550"/>
    </row>
    <row r="20" spans="1:8" ht="13.5" customHeight="1">
      <c r="A20" s="554"/>
      <c r="B20" s="172"/>
      <c r="C20" s="173"/>
      <c r="D20" s="100" t="str">
        <f>B17&amp;"D"</f>
        <v>181910021D</v>
      </c>
      <c r="E20" s="174" t="s">
        <v>36</v>
      </c>
      <c r="F20" s="175" t="s">
        <v>36</v>
      </c>
      <c r="G20" s="548"/>
      <c r="H20" s="551"/>
    </row>
    <row r="21" spans="1:8" ht="13.5" customHeight="1">
      <c r="A21" s="553">
        <v>5</v>
      </c>
      <c r="B21" s="530" t="str">
        <f>VLOOKUP(A21,biononis,2,1)</f>
        <v>181910045</v>
      </c>
      <c r="C21" s="533" t="str">
        <f>VLOOKUP(A21,biononis,3,1)</f>
        <v>ARYA DYTA WIGUNA</v>
      </c>
      <c r="D21" s="88" t="str">
        <f>B21&amp;"A"</f>
        <v>181910045A</v>
      </c>
      <c r="E21" s="176" t="s">
        <v>36</v>
      </c>
      <c r="F21" s="163" t="s">
        <v>36</v>
      </c>
      <c r="G21" s="548">
        <f>LEGER!AF24</f>
        <v>7</v>
      </c>
      <c r="H21" s="549" t="str">
        <f>LEGER!AG24</f>
        <v>Tingkatkan Prestasi dan minta pengayaan !</v>
      </c>
    </row>
    <row r="22" spans="1:8" ht="13.5" customHeight="1">
      <c r="A22" s="554"/>
      <c r="B22" s="530"/>
      <c r="C22" s="533"/>
      <c r="D22" s="100" t="str">
        <f>B21&amp;"B"</f>
        <v>181910045B</v>
      </c>
      <c r="E22" s="171" t="s">
        <v>36</v>
      </c>
      <c r="F22" s="165" t="s">
        <v>36</v>
      </c>
      <c r="G22" s="548"/>
      <c r="H22" s="550"/>
    </row>
    <row r="23" spans="1:8" ht="13.5" customHeight="1">
      <c r="A23" s="554"/>
      <c r="B23" s="530"/>
      <c r="C23" s="533"/>
      <c r="D23" s="100" t="str">
        <f>B21&amp;"C"</f>
        <v>181910045C</v>
      </c>
      <c r="E23" s="171" t="s">
        <v>36</v>
      </c>
      <c r="F23" s="165" t="s">
        <v>36</v>
      </c>
      <c r="G23" s="548"/>
      <c r="H23" s="550"/>
    </row>
    <row r="24" spans="1:8" ht="13.5" customHeight="1">
      <c r="A24" s="555"/>
      <c r="B24" s="115"/>
      <c r="C24" s="116"/>
      <c r="D24" s="166" t="str">
        <f>B21&amp;"D"</f>
        <v>181910045D</v>
      </c>
      <c r="E24" s="177" t="s">
        <v>36</v>
      </c>
      <c r="F24" s="178" t="s">
        <v>36</v>
      </c>
      <c r="G24" s="548"/>
      <c r="H24" s="551"/>
    </row>
    <row r="25" spans="1:8" ht="13.5" customHeight="1">
      <c r="A25" s="554">
        <v>6</v>
      </c>
      <c r="B25" s="556" t="str">
        <f>VLOOKUP(A25,biononis,2,1)</f>
        <v>181910054</v>
      </c>
      <c r="C25" s="552" t="str">
        <f>VLOOKUP(A25,biononis,3,1)</f>
        <v>AZRIEL TAMA SANTIAJI</v>
      </c>
      <c r="D25" s="100" t="str">
        <f>B25&amp;"A"</f>
        <v>181910054A</v>
      </c>
      <c r="E25" s="169" t="s">
        <v>36</v>
      </c>
      <c r="F25" s="170" t="s">
        <v>36</v>
      </c>
      <c r="G25" s="548">
        <f>LEGER!AF28</f>
        <v>32</v>
      </c>
      <c r="H25" s="549" t="str">
        <f>LEGER!AG28</f>
        <v>Luangkan waktu untuk belajar, hadir di kelas, rajin ke sekolah, &amp; perbaiki mapel yang belum tuntas !</v>
      </c>
    </row>
    <row r="26" spans="1:8" ht="13.5" customHeight="1">
      <c r="A26" s="554"/>
      <c r="B26" s="530"/>
      <c r="C26" s="533"/>
      <c r="D26" s="100" t="str">
        <f>B25&amp;"B"</f>
        <v>181910054B</v>
      </c>
      <c r="E26" s="171" t="s">
        <v>36</v>
      </c>
      <c r="F26" s="165" t="s">
        <v>36</v>
      </c>
      <c r="G26" s="548"/>
      <c r="H26" s="550"/>
    </row>
    <row r="27" spans="1:8" ht="13.5" customHeight="1">
      <c r="A27" s="554"/>
      <c r="B27" s="530"/>
      <c r="C27" s="533"/>
      <c r="D27" s="100" t="str">
        <f>B25&amp;"C"</f>
        <v>181910054C</v>
      </c>
      <c r="E27" s="171" t="s">
        <v>36</v>
      </c>
      <c r="F27" s="165" t="s">
        <v>36</v>
      </c>
      <c r="G27" s="548"/>
      <c r="H27" s="550"/>
    </row>
    <row r="28" spans="1:8" ht="13.5" customHeight="1">
      <c r="A28" s="554"/>
      <c r="B28" s="172"/>
      <c r="C28" s="173"/>
      <c r="D28" s="100" t="str">
        <f>B25&amp;"D"</f>
        <v>181910054D</v>
      </c>
      <c r="E28" s="174" t="s">
        <v>36</v>
      </c>
      <c r="F28" s="175" t="s">
        <v>36</v>
      </c>
      <c r="G28" s="548"/>
      <c r="H28" s="551"/>
    </row>
    <row r="29" spans="1:8" ht="13.5" customHeight="1">
      <c r="A29" s="553">
        <v>7</v>
      </c>
      <c r="B29" s="530" t="str">
        <f>VLOOKUP(A29,biononis,2,1)</f>
        <v>181910055</v>
      </c>
      <c r="C29" s="533" t="str">
        <f>VLOOKUP(A29,biononis,3,1)</f>
        <v>AZZUHRI HAUDI</v>
      </c>
      <c r="D29" s="88" t="str">
        <f>B29&amp;"A"</f>
        <v>181910055A</v>
      </c>
      <c r="E29" s="176" t="s">
        <v>36</v>
      </c>
      <c r="F29" s="163" t="s">
        <v>36</v>
      </c>
      <c r="G29" s="548">
        <f>LEGER!AF32</f>
        <v>12</v>
      </c>
      <c r="H29" s="549" t="str">
        <f>LEGER!AG32</f>
        <v>Belajarlah lebih rajin dan minta pengayaan !</v>
      </c>
    </row>
    <row r="30" spans="1:8" ht="13.5" customHeight="1">
      <c r="A30" s="554"/>
      <c r="B30" s="530"/>
      <c r="C30" s="533"/>
      <c r="D30" s="100" t="str">
        <f>B29&amp;"B"</f>
        <v>181910055B</v>
      </c>
      <c r="E30" s="171" t="s">
        <v>36</v>
      </c>
      <c r="F30" s="165" t="s">
        <v>36</v>
      </c>
      <c r="G30" s="548"/>
      <c r="H30" s="550"/>
    </row>
    <row r="31" spans="1:8" ht="13.5" customHeight="1">
      <c r="A31" s="554"/>
      <c r="B31" s="530"/>
      <c r="C31" s="533"/>
      <c r="D31" s="100" t="str">
        <f>B29&amp;"C"</f>
        <v>181910055C</v>
      </c>
      <c r="E31" s="171" t="s">
        <v>36</v>
      </c>
      <c r="F31" s="165" t="s">
        <v>36</v>
      </c>
      <c r="G31" s="548"/>
      <c r="H31" s="550"/>
    </row>
    <row r="32" spans="1:8" ht="13.5" customHeight="1">
      <c r="A32" s="555"/>
      <c r="B32" s="115"/>
      <c r="C32" s="116"/>
      <c r="D32" s="166" t="str">
        <f>B29&amp;"D"</f>
        <v>181910055D</v>
      </c>
      <c r="E32" s="177" t="s">
        <v>36</v>
      </c>
      <c r="F32" s="178" t="s">
        <v>36</v>
      </c>
      <c r="G32" s="548"/>
      <c r="H32" s="551"/>
    </row>
    <row r="33" spans="1:8" ht="13.5" customHeight="1">
      <c r="A33" s="554">
        <v>8</v>
      </c>
      <c r="B33" s="556" t="str">
        <f>VLOOKUP(A33,biononis,2,1)</f>
        <v>181910056</v>
      </c>
      <c r="C33" s="552" t="str">
        <f>VLOOKUP(A33,biononis,3,1)</f>
        <v>BAYU BATARA SURYA PUTRA</v>
      </c>
      <c r="D33" s="100" t="str">
        <f>B33&amp;"A"</f>
        <v>181910056A</v>
      </c>
      <c r="E33" s="169" t="s">
        <v>36</v>
      </c>
      <c r="F33" s="170" t="s">
        <v>36</v>
      </c>
      <c r="G33" s="548">
        <f>LEGER!AF36</f>
        <v>18</v>
      </c>
      <c r="H33" s="549" t="str">
        <f>LEGER!AG36</f>
        <v>Belajarlah lebih rajin dan minta pengayaan !</v>
      </c>
    </row>
    <row r="34" spans="1:8" ht="13.5" customHeight="1">
      <c r="A34" s="554"/>
      <c r="B34" s="530"/>
      <c r="C34" s="533"/>
      <c r="D34" s="100" t="str">
        <f>B33&amp;"B"</f>
        <v>181910056B</v>
      </c>
      <c r="E34" s="171" t="s">
        <v>36</v>
      </c>
      <c r="F34" s="165" t="s">
        <v>36</v>
      </c>
      <c r="G34" s="548"/>
      <c r="H34" s="550"/>
    </row>
    <row r="35" spans="1:8" ht="13.5" customHeight="1">
      <c r="A35" s="554"/>
      <c r="B35" s="530"/>
      <c r="C35" s="533"/>
      <c r="D35" s="100" t="str">
        <f>B33&amp;"C"</f>
        <v>181910056C</v>
      </c>
      <c r="E35" s="171" t="s">
        <v>36</v>
      </c>
      <c r="F35" s="165" t="s">
        <v>36</v>
      </c>
      <c r="G35" s="548"/>
      <c r="H35" s="550"/>
    </row>
    <row r="36" spans="1:8" ht="13.5" customHeight="1">
      <c r="A36" s="554"/>
      <c r="B36" s="172"/>
      <c r="C36" s="173"/>
      <c r="D36" s="100" t="str">
        <f>B33&amp;"D"</f>
        <v>181910056D</v>
      </c>
      <c r="E36" s="174" t="s">
        <v>36</v>
      </c>
      <c r="F36" s="175" t="s">
        <v>36</v>
      </c>
      <c r="G36" s="548"/>
      <c r="H36" s="551"/>
    </row>
    <row r="37" spans="1:8" ht="13.5" customHeight="1">
      <c r="A37" s="553">
        <v>9</v>
      </c>
      <c r="B37" s="530" t="str">
        <f>VLOOKUP(A37,biononis,2,1)</f>
        <v>181910069</v>
      </c>
      <c r="C37" s="533" t="str">
        <f>VLOOKUP(A37,biononis,3,1)</f>
        <v>DANDY ERVAN PRATAMA</v>
      </c>
      <c r="D37" s="88" t="str">
        <f>B37&amp;"A"</f>
        <v>181910069A</v>
      </c>
      <c r="E37" s="176" t="s">
        <v>36</v>
      </c>
      <c r="F37" s="163" t="s">
        <v>36</v>
      </c>
      <c r="G37" s="548">
        <f>LEGER!AF40</f>
        <v>30</v>
      </c>
      <c r="H37" s="549" t="str">
        <f>LEGER!AG40</f>
        <v>Luangkan waktu untuk belajar, hadir di kelas, rajin ke sekolah, &amp; perbaiki mapel yang belum tuntas !</v>
      </c>
    </row>
    <row r="38" spans="1:8" ht="13.5" customHeight="1">
      <c r="A38" s="554"/>
      <c r="B38" s="530"/>
      <c r="C38" s="533"/>
      <c r="D38" s="100" t="str">
        <f>B37&amp;"B"</f>
        <v>181910069B</v>
      </c>
      <c r="E38" s="171" t="s">
        <v>36</v>
      </c>
      <c r="F38" s="165" t="s">
        <v>36</v>
      </c>
      <c r="G38" s="548"/>
      <c r="H38" s="550"/>
    </row>
    <row r="39" spans="1:8" ht="13.5" customHeight="1">
      <c r="A39" s="554"/>
      <c r="B39" s="530"/>
      <c r="C39" s="533"/>
      <c r="D39" s="100" t="str">
        <f>B37&amp;"C"</f>
        <v>181910069C</v>
      </c>
      <c r="E39" s="171" t="s">
        <v>36</v>
      </c>
      <c r="F39" s="165" t="s">
        <v>36</v>
      </c>
      <c r="G39" s="548"/>
      <c r="H39" s="550"/>
    </row>
    <row r="40" spans="1:8" ht="13.5" customHeight="1">
      <c r="A40" s="555"/>
      <c r="B40" s="115"/>
      <c r="C40" s="116"/>
      <c r="D40" s="166" t="str">
        <f>B37&amp;"D"</f>
        <v>181910069D</v>
      </c>
      <c r="E40" s="177" t="s">
        <v>36</v>
      </c>
      <c r="F40" s="178" t="s">
        <v>36</v>
      </c>
      <c r="G40" s="548"/>
      <c r="H40" s="551"/>
    </row>
    <row r="41" spans="1:8" ht="13.5" customHeight="1">
      <c r="A41" s="554">
        <v>10</v>
      </c>
      <c r="B41" s="556" t="str">
        <f>VLOOKUP(A41,biononis,2,1)</f>
        <v>181910085</v>
      </c>
      <c r="C41" s="552" t="str">
        <f>VLOOKUP(A41,biononis,3,1)</f>
        <v>DENISA ASTI RAHMAWATI</v>
      </c>
      <c r="D41" s="100" t="str">
        <f>B41&amp;"A"</f>
        <v>181910085A</v>
      </c>
      <c r="E41" s="169" t="s">
        <v>36</v>
      </c>
      <c r="F41" s="170" t="s">
        <v>36</v>
      </c>
      <c r="G41" s="548">
        <f>LEGER!AF44</f>
        <v>22</v>
      </c>
      <c r="H41" s="549" t="str">
        <f>LEGER!AG44</f>
        <v>Luangkan waktu untuk belajar, hadir di kelas, rajin ke sekolah, &amp; perbaiki mapel yang belum tuntas !</v>
      </c>
    </row>
    <row r="42" spans="1:8" ht="13.5" customHeight="1">
      <c r="A42" s="554"/>
      <c r="B42" s="530"/>
      <c r="C42" s="533"/>
      <c r="D42" s="100" t="str">
        <f>B41&amp;"B"</f>
        <v>181910085B</v>
      </c>
      <c r="E42" s="171" t="s">
        <v>36</v>
      </c>
      <c r="F42" s="165" t="s">
        <v>36</v>
      </c>
      <c r="G42" s="548"/>
      <c r="H42" s="550"/>
    </row>
    <row r="43" spans="1:8" ht="13.5" customHeight="1">
      <c r="A43" s="554"/>
      <c r="B43" s="530"/>
      <c r="C43" s="533"/>
      <c r="D43" s="100" t="str">
        <f>B41&amp;"C"</f>
        <v>181910085C</v>
      </c>
      <c r="E43" s="171" t="s">
        <v>36</v>
      </c>
      <c r="F43" s="165" t="s">
        <v>36</v>
      </c>
      <c r="G43" s="548"/>
      <c r="H43" s="550"/>
    </row>
    <row r="44" spans="1:8" ht="13.5" customHeight="1">
      <c r="A44" s="554"/>
      <c r="B44" s="172"/>
      <c r="C44" s="173"/>
      <c r="D44" s="100" t="str">
        <f>B41&amp;"D"</f>
        <v>181910085D</v>
      </c>
      <c r="E44" s="174" t="s">
        <v>36</v>
      </c>
      <c r="F44" s="175" t="s">
        <v>36</v>
      </c>
      <c r="G44" s="548"/>
      <c r="H44" s="551"/>
    </row>
    <row r="45" spans="1:8" ht="13.5" customHeight="1">
      <c r="A45" s="553">
        <v>11</v>
      </c>
      <c r="B45" s="530" t="str">
        <f>VLOOKUP(A45,biononis,2,1)</f>
        <v>181910093</v>
      </c>
      <c r="C45" s="533" t="str">
        <f>VLOOKUP(A45,biononis,3,1)</f>
        <v>DIAN RAMDHAN SAPTIAN</v>
      </c>
      <c r="D45" s="88" t="str">
        <f>B45&amp;"A"</f>
        <v>181910093A</v>
      </c>
      <c r="E45" s="176" t="s">
        <v>36</v>
      </c>
      <c r="F45" s="163" t="s">
        <v>36</v>
      </c>
      <c r="G45" s="548">
        <f>LEGER!AF48</f>
        <v>28</v>
      </c>
      <c r="H45" s="549" t="str">
        <f>LEGER!AG48</f>
        <v>Luangkan waktu untuk belajar, hadir di kelas, rajin ke sekolah, &amp; perbaiki mapel yang belum tuntas !</v>
      </c>
    </row>
    <row r="46" spans="1:8" ht="13.5" customHeight="1">
      <c r="A46" s="554"/>
      <c r="B46" s="530"/>
      <c r="C46" s="533"/>
      <c r="D46" s="100" t="str">
        <f>B45&amp;"B"</f>
        <v>181910093B</v>
      </c>
      <c r="E46" s="171" t="s">
        <v>36</v>
      </c>
      <c r="F46" s="165" t="s">
        <v>36</v>
      </c>
      <c r="G46" s="548"/>
      <c r="H46" s="550"/>
    </row>
    <row r="47" spans="1:8" ht="13.5" customHeight="1">
      <c r="A47" s="554"/>
      <c r="B47" s="530"/>
      <c r="C47" s="533"/>
      <c r="D47" s="100" t="str">
        <f>B45&amp;"C"</f>
        <v>181910093C</v>
      </c>
      <c r="E47" s="171" t="s">
        <v>36</v>
      </c>
      <c r="F47" s="165" t="s">
        <v>36</v>
      </c>
      <c r="G47" s="548"/>
      <c r="H47" s="550"/>
    </row>
    <row r="48" spans="1:8" ht="13.5" customHeight="1">
      <c r="A48" s="555"/>
      <c r="B48" s="115"/>
      <c r="C48" s="116"/>
      <c r="D48" s="166" t="str">
        <f>B45&amp;"D"</f>
        <v>181910093D</v>
      </c>
      <c r="E48" s="177" t="s">
        <v>36</v>
      </c>
      <c r="F48" s="178" t="s">
        <v>36</v>
      </c>
      <c r="G48" s="548"/>
      <c r="H48" s="551"/>
    </row>
    <row r="49" spans="1:8" ht="13.5" customHeight="1">
      <c r="A49" s="554">
        <v>12</v>
      </c>
      <c r="B49" s="556" t="str">
        <f>VLOOKUP(A49,biononis,2,1)</f>
        <v>181910103</v>
      </c>
      <c r="C49" s="552" t="str">
        <f>VLOOKUP(A49,biononis,3,1)</f>
        <v>DIVYA ADHIANI NURDIN</v>
      </c>
      <c r="D49" s="100" t="str">
        <f>B49&amp;"A"</f>
        <v>181910103A</v>
      </c>
      <c r="E49" s="169" t="s">
        <v>36</v>
      </c>
      <c r="F49" s="170" t="s">
        <v>36</v>
      </c>
      <c r="G49" s="548">
        <f>LEGER!AF52</f>
        <v>11</v>
      </c>
      <c r="H49" s="549" t="str">
        <f>LEGER!AG52</f>
        <v>Belajarlah lebih rajin dan minta pengayaan !</v>
      </c>
    </row>
    <row r="50" spans="1:8" ht="13.5" customHeight="1">
      <c r="A50" s="554"/>
      <c r="B50" s="530"/>
      <c r="C50" s="533"/>
      <c r="D50" s="100" t="str">
        <f>B49&amp;"B"</f>
        <v>181910103B</v>
      </c>
      <c r="E50" s="171" t="s">
        <v>36</v>
      </c>
      <c r="F50" s="165" t="s">
        <v>36</v>
      </c>
      <c r="G50" s="548"/>
      <c r="H50" s="550"/>
    </row>
    <row r="51" spans="1:8" ht="13.5" customHeight="1">
      <c r="A51" s="554"/>
      <c r="B51" s="530"/>
      <c r="C51" s="533"/>
      <c r="D51" s="100" t="str">
        <f>B49&amp;"C"</f>
        <v>181910103C</v>
      </c>
      <c r="E51" s="171" t="s">
        <v>36</v>
      </c>
      <c r="F51" s="165" t="s">
        <v>36</v>
      </c>
      <c r="G51" s="548"/>
      <c r="H51" s="550"/>
    </row>
    <row r="52" spans="1:8" ht="13.5" customHeight="1">
      <c r="A52" s="554"/>
      <c r="B52" s="172"/>
      <c r="C52" s="173"/>
      <c r="D52" s="100" t="str">
        <f>B49&amp;"D"</f>
        <v>181910103D</v>
      </c>
      <c r="E52" s="174" t="s">
        <v>36</v>
      </c>
      <c r="F52" s="175" t="s">
        <v>36</v>
      </c>
      <c r="G52" s="548"/>
      <c r="H52" s="551"/>
    </row>
    <row r="53" spans="1:8" ht="13.5" customHeight="1">
      <c r="A53" s="553">
        <v>13</v>
      </c>
      <c r="B53" s="530" t="str">
        <f>VLOOKUP(A53,biononis,2,1)</f>
        <v>181910104</v>
      </c>
      <c r="C53" s="533" t="str">
        <f>VLOOKUP(A53,biononis,3,1)</f>
        <v>DWIKI DERMAWAN</v>
      </c>
      <c r="D53" s="88" t="str">
        <f>B53&amp;"A"</f>
        <v>181910104A</v>
      </c>
      <c r="E53" s="176" t="s">
        <v>36</v>
      </c>
      <c r="F53" s="163" t="s">
        <v>36</v>
      </c>
      <c r="G53" s="548">
        <f>LEGER!AF56</f>
        <v>35</v>
      </c>
      <c r="H53" s="549" t="str">
        <f>LEGER!AG56</f>
        <v>Luangkan waktu untuk belajar, hadir di kelas, rajin ke sekolah, &amp; perbaiki mapel yang belum tuntas !</v>
      </c>
    </row>
    <row r="54" spans="1:8" ht="13.5" customHeight="1">
      <c r="A54" s="554"/>
      <c r="B54" s="530"/>
      <c r="C54" s="533"/>
      <c r="D54" s="100" t="str">
        <f>B53&amp;"B"</f>
        <v>181910104B</v>
      </c>
      <c r="E54" s="171" t="s">
        <v>36</v>
      </c>
      <c r="F54" s="165" t="s">
        <v>36</v>
      </c>
      <c r="G54" s="548"/>
      <c r="H54" s="550"/>
    </row>
    <row r="55" spans="1:8" ht="13.5" customHeight="1">
      <c r="A55" s="554"/>
      <c r="B55" s="530"/>
      <c r="C55" s="533"/>
      <c r="D55" s="100" t="str">
        <f>B53&amp;"C"</f>
        <v>181910104C</v>
      </c>
      <c r="E55" s="171" t="s">
        <v>36</v>
      </c>
      <c r="F55" s="165" t="s">
        <v>36</v>
      </c>
      <c r="G55" s="548"/>
      <c r="H55" s="550"/>
    </row>
    <row r="56" spans="1:8" ht="13.5" customHeight="1">
      <c r="A56" s="555"/>
      <c r="B56" s="115"/>
      <c r="C56" s="116"/>
      <c r="D56" s="166" t="str">
        <f>B53&amp;"D"</f>
        <v>181910104D</v>
      </c>
      <c r="E56" s="177" t="s">
        <v>36</v>
      </c>
      <c r="F56" s="178" t="s">
        <v>36</v>
      </c>
      <c r="G56" s="548"/>
      <c r="H56" s="551"/>
    </row>
    <row r="57" spans="1:8" ht="13.5" customHeight="1">
      <c r="A57" s="554">
        <v>14</v>
      </c>
      <c r="B57" s="556" t="str">
        <f>VLOOKUP(A57,biononis,2,1)</f>
        <v>181910118</v>
      </c>
      <c r="C57" s="552" t="str">
        <f>VLOOKUP(A57,biononis,3,1)</f>
        <v>ENCEP CANDRA</v>
      </c>
      <c r="D57" s="100" t="str">
        <f>B57&amp;"A"</f>
        <v>181910118A</v>
      </c>
      <c r="E57" s="169" t="s">
        <v>36</v>
      </c>
      <c r="F57" s="170" t="s">
        <v>36</v>
      </c>
      <c r="G57" s="548">
        <f>LEGER!AF60</f>
        <v>15</v>
      </c>
      <c r="H57" s="549" t="str">
        <f>LEGER!AG60</f>
        <v>Belajarlah lebih rajin dan minta pengayaan !</v>
      </c>
    </row>
    <row r="58" spans="1:8" ht="13.5" customHeight="1">
      <c r="A58" s="554"/>
      <c r="B58" s="530"/>
      <c r="C58" s="533"/>
      <c r="D58" s="100" t="str">
        <f>B57&amp;"B"</f>
        <v>181910118B</v>
      </c>
      <c r="E58" s="171" t="s">
        <v>36</v>
      </c>
      <c r="F58" s="165" t="s">
        <v>36</v>
      </c>
      <c r="G58" s="548"/>
      <c r="H58" s="550"/>
    </row>
    <row r="59" spans="1:8" ht="13.5" customHeight="1">
      <c r="A59" s="554"/>
      <c r="B59" s="530"/>
      <c r="C59" s="533"/>
      <c r="D59" s="100" t="str">
        <f>B57&amp;"C"</f>
        <v>181910118C</v>
      </c>
      <c r="E59" s="171" t="s">
        <v>36</v>
      </c>
      <c r="F59" s="165" t="s">
        <v>36</v>
      </c>
      <c r="G59" s="548"/>
      <c r="H59" s="550"/>
    </row>
    <row r="60" spans="1:8" ht="13.5" customHeight="1">
      <c r="A60" s="554"/>
      <c r="B60" s="172"/>
      <c r="C60" s="173"/>
      <c r="D60" s="100" t="str">
        <f>B57&amp;"D"</f>
        <v>181910118D</v>
      </c>
      <c r="E60" s="174" t="s">
        <v>36</v>
      </c>
      <c r="F60" s="175" t="s">
        <v>36</v>
      </c>
      <c r="G60" s="548"/>
      <c r="H60" s="551"/>
    </row>
    <row r="61" spans="1:8" ht="13.5" customHeight="1">
      <c r="A61" s="553">
        <v>15</v>
      </c>
      <c r="B61" s="530" t="str">
        <f>VLOOKUP(A61,biononis,2,1)</f>
        <v>181910128</v>
      </c>
      <c r="C61" s="533" t="str">
        <f>VLOOKUP(A61,biononis,3,1)</f>
        <v>FAIZAL EGI</v>
      </c>
      <c r="D61" s="88" t="str">
        <f>B61&amp;"A"</f>
        <v>181910128A</v>
      </c>
      <c r="E61" s="176" t="s">
        <v>36</v>
      </c>
      <c r="F61" s="163" t="s">
        <v>36</v>
      </c>
      <c r="G61" s="548">
        <f>LEGER!AF64</f>
        <v>29</v>
      </c>
      <c r="H61" s="549" t="str">
        <f>LEGER!AG64</f>
        <v>Luangkan waktu untuk belajar, hadir di kelas, rajin ke sekolah, &amp; perbaiki mapel yang belum tuntas !</v>
      </c>
    </row>
    <row r="62" spans="1:8" ht="13.5" customHeight="1">
      <c r="A62" s="554"/>
      <c r="B62" s="530"/>
      <c r="C62" s="533"/>
      <c r="D62" s="100" t="str">
        <f>B61&amp;"B"</f>
        <v>181910128B</v>
      </c>
      <c r="E62" s="171" t="s">
        <v>36</v>
      </c>
      <c r="F62" s="165" t="s">
        <v>36</v>
      </c>
      <c r="G62" s="548"/>
      <c r="H62" s="550"/>
    </row>
    <row r="63" spans="1:8" ht="13.5" customHeight="1">
      <c r="A63" s="554"/>
      <c r="B63" s="530"/>
      <c r="C63" s="533"/>
      <c r="D63" s="100" t="str">
        <f>B61&amp;"c"</f>
        <v>181910128c</v>
      </c>
      <c r="E63" s="171" t="s">
        <v>36</v>
      </c>
      <c r="F63" s="165" t="s">
        <v>36</v>
      </c>
      <c r="G63" s="548"/>
      <c r="H63" s="550"/>
    </row>
    <row r="64" spans="1:8" ht="13.5" customHeight="1">
      <c r="A64" s="555"/>
      <c r="B64" s="115"/>
      <c r="C64" s="132"/>
      <c r="D64" s="166" t="str">
        <f>B61&amp;"D"</f>
        <v>181910128D</v>
      </c>
      <c r="E64" s="177" t="s">
        <v>36</v>
      </c>
      <c r="F64" s="178" t="s">
        <v>36</v>
      </c>
      <c r="G64" s="548"/>
      <c r="H64" s="551"/>
    </row>
    <row r="65" spans="1:8" ht="13.5" customHeight="1">
      <c r="A65" s="554">
        <v>16</v>
      </c>
      <c r="B65" s="556" t="str">
        <f>VLOOKUP(A65,biononis,2,1)</f>
        <v>181910133</v>
      </c>
      <c r="C65" s="552" t="str">
        <f>VLOOKUP(A65,biononis,3,1)</f>
        <v>FAUZI DHALFADLIL AZHANI</v>
      </c>
      <c r="D65" s="100" t="str">
        <f>B65&amp;"A"</f>
        <v>181910133A</v>
      </c>
      <c r="E65" s="169" t="s">
        <v>36</v>
      </c>
      <c r="F65" s="170" t="s">
        <v>36</v>
      </c>
      <c r="G65" s="548">
        <f>LEGER!AF68</f>
        <v>25</v>
      </c>
      <c r="H65" s="549" t="str">
        <f>LEGER!AG68</f>
        <v>Luangkan waktu untuk belajar, hadir di kelas, rajin ke sekolah, &amp; perbaiki mapel yang belum tuntas !</v>
      </c>
    </row>
    <row r="66" spans="1:8" ht="13.5" customHeight="1">
      <c r="A66" s="554"/>
      <c r="B66" s="530"/>
      <c r="C66" s="533"/>
      <c r="D66" s="100" t="str">
        <f>B65&amp;"B"</f>
        <v>181910133B</v>
      </c>
      <c r="E66" s="171" t="s">
        <v>36</v>
      </c>
      <c r="F66" s="165" t="s">
        <v>36</v>
      </c>
      <c r="G66" s="548"/>
      <c r="H66" s="550"/>
    </row>
    <row r="67" spans="1:8" ht="13.5" customHeight="1">
      <c r="A67" s="554"/>
      <c r="B67" s="530"/>
      <c r="C67" s="533"/>
      <c r="D67" s="100" t="str">
        <f>B65&amp;"C"</f>
        <v>181910133C</v>
      </c>
      <c r="E67" s="171" t="s">
        <v>36</v>
      </c>
      <c r="F67" s="165" t="s">
        <v>36</v>
      </c>
      <c r="G67" s="548"/>
      <c r="H67" s="550"/>
    </row>
    <row r="68" spans="1:8" ht="13.5" customHeight="1">
      <c r="A68" s="554"/>
      <c r="B68" s="172"/>
      <c r="C68" s="173"/>
      <c r="D68" s="100" t="str">
        <f>B65&amp;"D"</f>
        <v>181910133D</v>
      </c>
      <c r="E68" s="174" t="s">
        <v>36</v>
      </c>
      <c r="F68" s="175" t="s">
        <v>36</v>
      </c>
      <c r="G68" s="548"/>
      <c r="H68" s="551"/>
    </row>
    <row r="69" spans="1:8" ht="13.5" customHeight="1">
      <c r="A69" s="553">
        <v>17</v>
      </c>
      <c r="B69" s="530" t="str">
        <f>VLOOKUP(A69,biononis,2,1)</f>
        <v>181910161</v>
      </c>
      <c r="C69" s="533" t="str">
        <f>VLOOKUP(A69,biononis,3,1)</f>
        <v>HILMAN PUTRA PAMUNGKAS</v>
      </c>
      <c r="D69" s="88" t="str">
        <f>B69&amp;"A"</f>
        <v>181910161A</v>
      </c>
      <c r="E69" s="176" t="s">
        <v>36</v>
      </c>
      <c r="F69" s="163" t="s">
        <v>36</v>
      </c>
      <c r="G69" s="548">
        <f>LEGER!AF72</f>
        <v>9</v>
      </c>
      <c r="H69" s="549" t="str">
        <f>LEGER!AG72</f>
        <v>Tingkatkan Prestasi dan minta pengayaan !</v>
      </c>
    </row>
    <row r="70" spans="1:8" ht="13.5" customHeight="1">
      <c r="A70" s="554"/>
      <c r="B70" s="530"/>
      <c r="C70" s="533"/>
      <c r="D70" s="100" t="str">
        <f>B69&amp;"B"</f>
        <v>181910161B</v>
      </c>
      <c r="E70" s="171" t="s">
        <v>36</v>
      </c>
      <c r="F70" s="165" t="s">
        <v>36</v>
      </c>
      <c r="G70" s="548"/>
      <c r="H70" s="550"/>
    </row>
    <row r="71" spans="1:8" ht="13.5" customHeight="1">
      <c r="A71" s="554"/>
      <c r="B71" s="530"/>
      <c r="C71" s="533"/>
      <c r="D71" s="100" t="str">
        <f>B69&amp;"C"</f>
        <v>181910161C</v>
      </c>
      <c r="E71" s="171" t="s">
        <v>36</v>
      </c>
      <c r="F71" s="165" t="s">
        <v>36</v>
      </c>
      <c r="G71" s="548"/>
      <c r="H71" s="550"/>
    </row>
    <row r="72" spans="1:8" ht="13.5" customHeight="1">
      <c r="A72" s="555"/>
      <c r="B72" s="115"/>
      <c r="C72" s="116"/>
      <c r="D72" s="166" t="str">
        <f>B69&amp;"D"</f>
        <v>181910161D</v>
      </c>
      <c r="E72" s="177" t="s">
        <v>36</v>
      </c>
      <c r="F72" s="178" t="s">
        <v>36</v>
      </c>
      <c r="G72" s="548"/>
      <c r="H72" s="551"/>
    </row>
    <row r="73" spans="1:8" ht="13.5" customHeight="1">
      <c r="A73" s="554">
        <v>18</v>
      </c>
      <c r="B73" s="556" t="str">
        <f>VLOOKUP(A73,biononis,2,1)</f>
        <v>181910165</v>
      </c>
      <c r="C73" s="552" t="str">
        <f>VLOOKUP(A73,biononis,3,1)</f>
        <v>IHSYA FADILLAH MUSLIM</v>
      </c>
      <c r="D73" s="100" t="str">
        <f>B73&amp;"A"</f>
        <v>181910165A</v>
      </c>
      <c r="E73" s="169" t="s">
        <v>36</v>
      </c>
      <c r="F73" s="170" t="s">
        <v>36</v>
      </c>
      <c r="G73" s="548">
        <f>LEGER!AF76</f>
        <v>16</v>
      </c>
      <c r="H73" s="549" t="str">
        <f>LEGER!AG76</f>
        <v>Belajarlah lebih rajin dan minta pengayaan !</v>
      </c>
    </row>
    <row r="74" spans="1:8" ht="13.5" customHeight="1">
      <c r="A74" s="554"/>
      <c r="B74" s="530"/>
      <c r="C74" s="533"/>
      <c r="D74" s="100" t="str">
        <f>B73&amp;"B"</f>
        <v>181910165B</v>
      </c>
      <c r="E74" s="171" t="s">
        <v>36</v>
      </c>
      <c r="F74" s="165" t="s">
        <v>36</v>
      </c>
      <c r="G74" s="548"/>
      <c r="H74" s="550"/>
    </row>
    <row r="75" spans="1:8" ht="13.5" customHeight="1">
      <c r="A75" s="554"/>
      <c r="B75" s="530"/>
      <c r="C75" s="533"/>
      <c r="D75" s="100" t="str">
        <f>B73&amp;"C"</f>
        <v>181910165C</v>
      </c>
      <c r="E75" s="171" t="s">
        <v>36</v>
      </c>
      <c r="F75" s="165" t="s">
        <v>36</v>
      </c>
      <c r="G75" s="548"/>
      <c r="H75" s="550"/>
    </row>
    <row r="76" spans="1:8" ht="13.5" customHeight="1">
      <c r="A76" s="554"/>
      <c r="B76" s="172"/>
      <c r="C76" s="173"/>
      <c r="D76" s="100" t="str">
        <f>B73&amp;"D"</f>
        <v>181910165D</v>
      </c>
      <c r="E76" s="174" t="s">
        <v>36</v>
      </c>
      <c r="F76" s="175" t="s">
        <v>36</v>
      </c>
      <c r="G76" s="548"/>
      <c r="H76" s="551"/>
    </row>
    <row r="77" spans="1:8" ht="13.5" customHeight="1">
      <c r="A77" s="553">
        <v>19</v>
      </c>
      <c r="B77" s="530" t="str">
        <f>VLOOKUP(A77,biononis,2,1)</f>
        <v>181910185</v>
      </c>
      <c r="C77" s="533" t="str">
        <f>VLOOKUP(A77,biononis,3,1)</f>
        <v>JIHAD AKBAR</v>
      </c>
      <c r="D77" s="88" t="str">
        <f>B77&amp;"A"</f>
        <v>181910185A</v>
      </c>
      <c r="E77" s="176" t="s">
        <v>36</v>
      </c>
      <c r="F77" s="163" t="s">
        <v>36</v>
      </c>
      <c r="G77" s="548">
        <f>LEGER!AF80</f>
        <v>26</v>
      </c>
      <c r="H77" s="549" t="str">
        <f>LEGER!AG80</f>
        <v>Luangkan waktu untuk belajar, hadir di kelas, rajin ke sekolah, &amp; perbaiki mapel yang belum tuntas !</v>
      </c>
    </row>
    <row r="78" spans="1:8" ht="13.5" customHeight="1">
      <c r="A78" s="554"/>
      <c r="B78" s="530"/>
      <c r="C78" s="533"/>
      <c r="D78" s="100" t="str">
        <f>B77&amp;"B"</f>
        <v>181910185B</v>
      </c>
      <c r="E78" s="171" t="s">
        <v>36</v>
      </c>
      <c r="F78" s="165" t="s">
        <v>36</v>
      </c>
      <c r="G78" s="548"/>
      <c r="H78" s="550"/>
    </row>
    <row r="79" spans="1:8" ht="13.5" customHeight="1">
      <c r="A79" s="554"/>
      <c r="B79" s="530"/>
      <c r="C79" s="533"/>
      <c r="D79" s="100" t="str">
        <f>B77&amp;"C"</f>
        <v>181910185C</v>
      </c>
      <c r="E79" s="171" t="s">
        <v>36</v>
      </c>
      <c r="F79" s="165" t="s">
        <v>36</v>
      </c>
      <c r="G79" s="548"/>
      <c r="H79" s="550"/>
    </row>
    <row r="80" spans="1:8" ht="13.5" customHeight="1">
      <c r="A80" s="555"/>
      <c r="B80" s="115"/>
      <c r="C80" s="116"/>
      <c r="D80" s="166" t="str">
        <f>B77&amp;"D"</f>
        <v>181910185D</v>
      </c>
      <c r="E80" s="177" t="s">
        <v>36</v>
      </c>
      <c r="F80" s="178" t="s">
        <v>36</v>
      </c>
      <c r="G80" s="548"/>
      <c r="H80" s="551"/>
    </row>
    <row r="81" spans="1:8" ht="13.5" customHeight="1">
      <c r="A81" s="554">
        <v>20</v>
      </c>
      <c r="B81" s="556" t="str">
        <f>VLOOKUP(A81,biononis,2,1)</f>
        <v>181910226</v>
      </c>
      <c r="C81" s="552" t="str">
        <f>VLOOKUP(A81,biononis,3,1)</f>
        <v>MUHAMAD IZZAZUL FIKRIAN</v>
      </c>
      <c r="D81" s="100" t="str">
        <f>B81&amp;"A"</f>
        <v>181910226A</v>
      </c>
      <c r="E81" s="169" t="s">
        <v>36</v>
      </c>
      <c r="F81" s="170" t="s">
        <v>36</v>
      </c>
      <c r="G81" s="548">
        <f>LEGER!AF84</f>
        <v>19</v>
      </c>
      <c r="H81" s="549" t="str">
        <f>LEGER!AG84</f>
        <v>Belajarlah lebih rajin dan minta pengayaan !</v>
      </c>
    </row>
    <row r="82" spans="1:8" ht="13.5" customHeight="1">
      <c r="A82" s="554"/>
      <c r="B82" s="530"/>
      <c r="C82" s="533"/>
      <c r="D82" s="100" t="str">
        <f>B81&amp;"B"</f>
        <v>181910226B</v>
      </c>
      <c r="E82" s="171" t="s">
        <v>36</v>
      </c>
      <c r="F82" s="165" t="s">
        <v>36</v>
      </c>
      <c r="G82" s="548"/>
      <c r="H82" s="550"/>
    </row>
    <row r="83" spans="1:8" ht="13.5" customHeight="1">
      <c r="A83" s="554"/>
      <c r="B83" s="530"/>
      <c r="C83" s="533"/>
      <c r="D83" s="100" t="str">
        <f>B81&amp;"C"</f>
        <v>181910226C</v>
      </c>
      <c r="E83" s="171" t="s">
        <v>36</v>
      </c>
      <c r="F83" s="165" t="s">
        <v>36</v>
      </c>
      <c r="G83" s="548"/>
      <c r="H83" s="550"/>
    </row>
    <row r="84" spans="1:8" ht="13.5" customHeight="1">
      <c r="A84" s="554"/>
      <c r="B84" s="172"/>
      <c r="C84" s="173"/>
      <c r="D84" s="100" t="str">
        <f>B81&amp;"D"</f>
        <v>181910226D</v>
      </c>
      <c r="E84" s="174" t="s">
        <v>36</v>
      </c>
      <c r="F84" s="175" t="s">
        <v>36</v>
      </c>
      <c r="G84" s="548"/>
      <c r="H84" s="551"/>
    </row>
    <row r="85" spans="1:8" ht="13.5" customHeight="1">
      <c r="A85" s="553">
        <v>21</v>
      </c>
      <c r="B85" s="530" t="str">
        <f>VLOOKUP(A85,biononis,2,1)</f>
        <v>181910240</v>
      </c>
      <c r="C85" s="533" t="str">
        <f>VLOOKUP(A85,biononis,3,1)</f>
        <v>NESHA RAUDHATUL ZANNAH</v>
      </c>
      <c r="D85" s="88" t="str">
        <f>B85&amp;"A"</f>
        <v>181910240A</v>
      </c>
      <c r="E85" s="176" t="s">
        <v>36</v>
      </c>
      <c r="F85" s="163" t="s">
        <v>36</v>
      </c>
      <c r="G85" s="548">
        <f>LEGER!AF88</f>
        <v>8</v>
      </c>
      <c r="H85" s="549" t="str">
        <f>LEGER!AG88</f>
        <v>Tingkatkan Prestasi dan minta pengayaan !</v>
      </c>
    </row>
    <row r="86" spans="1:8" ht="13.5" customHeight="1">
      <c r="A86" s="554"/>
      <c r="B86" s="530"/>
      <c r="C86" s="533"/>
      <c r="D86" s="100" t="str">
        <f>B85&amp;"B"</f>
        <v>181910240B</v>
      </c>
      <c r="E86" s="171" t="s">
        <v>36</v>
      </c>
      <c r="F86" s="165" t="s">
        <v>36</v>
      </c>
      <c r="G86" s="548"/>
      <c r="H86" s="550"/>
    </row>
    <row r="87" spans="1:8" ht="13.5" customHeight="1">
      <c r="A87" s="554"/>
      <c r="B87" s="530"/>
      <c r="C87" s="533"/>
      <c r="D87" s="100" t="str">
        <f>B85&amp;"C"</f>
        <v>181910240C</v>
      </c>
      <c r="E87" s="171" t="s">
        <v>36</v>
      </c>
      <c r="F87" s="165" t="s">
        <v>36</v>
      </c>
      <c r="G87" s="548"/>
      <c r="H87" s="550"/>
    </row>
    <row r="88" spans="1:8" ht="13.5" customHeight="1">
      <c r="A88" s="555"/>
      <c r="B88" s="115"/>
      <c r="C88" s="116"/>
      <c r="D88" s="166" t="str">
        <f>B85&amp;"D"</f>
        <v>181910240D</v>
      </c>
      <c r="E88" s="177" t="s">
        <v>36</v>
      </c>
      <c r="F88" s="178" t="s">
        <v>36</v>
      </c>
      <c r="G88" s="548"/>
      <c r="H88" s="551"/>
    </row>
    <row r="89" spans="1:8" ht="13.5" customHeight="1">
      <c r="A89" s="554">
        <v>22</v>
      </c>
      <c r="B89" s="556" t="str">
        <f>VLOOKUP(A89,biononis,2,1)</f>
        <v>181910262</v>
      </c>
      <c r="C89" s="552" t="str">
        <f>VLOOKUP(A89,biononis,3,1)</f>
        <v>PUTRI ANGGRAENI</v>
      </c>
      <c r="D89" s="100" t="str">
        <f>B89&amp;"A"</f>
        <v>181910262A</v>
      </c>
      <c r="E89" s="169" t="s">
        <v>36</v>
      </c>
      <c r="F89" s="170" t="s">
        <v>36</v>
      </c>
      <c r="G89" s="548">
        <f>LEGER!AF92</f>
        <v>10</v>
      </c>
      <c r="H89" s="549" t="str">
        <f>LEGER!AG92</f>
        <v>Tingkatkan Prestasi dan minta pengayaan !</v>
      </c>
    </row>
    <row r="90" spans="1:8" ht="13.5" customHeight="1">
      <c r="A90" s="554"/>
      <c r="B90" s="530"/>
      <c r="C90" s="533"/>
      <c r="D90" s="100" t="str">
        <f>B89&amp;"B"</f>
        <v>181910262B</v>
      </c>
      <c r="E90" s="171" t="s">
        <v>36</v>
      </c>
      <c r="F90" s="165" t="s">
        <v>36</v>
      </c>
      <c r="G90" s="548"/>
      <c r="H90" s="550"/>
    </row>
    <row r="91" spans="1:8" ht="13.5" customHeight="1">
      <c r="A91" s="554"/>
      <c r="B91" s="530"/>
      <c r="C91" s="533"/>
      <c r="D91" s="100" t="str">
        <f>B89&amp;"C"</f>
        <v>181910262C</v>
      </c>
      <c r="E91" s="171" t="s">
        <v>36</v>
      </c>
      <c r="F91" s="165" t="s">
        <v>36</v>
      </c>
      <c r="G91" s="548"/>
      <c r="H91" s="550"/>
    </row>
    <row r="92" spans="1:8" ht="13.5" customHeight="1">
      <c r="A92" s="554"/>
      <c r="B92" s="172"/>
      <c r="C92" s="173"/>
      <c r="D92" s="100" t="str">
        <f>B89&amp;"D"</f>
        <v>181910262D</v>
      </c>
      <c r="E92" s="174" t="s">
        <v>36</v>
      </c>
      <c r="F92" s="175" t="s">
        <v>36</v>
      </c>
      <c r="G92" s="548"/>
      <c r="H92" s="551"/>
    </row>
    <row r="93" spans="1:8" ht="13.5" customHeight="1">
      <c r="A93" s="553">
        <v>23</v>
      </c>
      <c r="B93" s="530" t="str">
        <f>VLOOKUP(A93,biononis,2,1)</f>
        <v>181910266</v>
      </c>
      <c r="C93" s="533" t="str">
        <f>VLOOKUP(A93,biononis,3,1)</f>
        <v>PUTRI WULANDARI</v>
      </c>
      <c r="D93" s="88" t="str">
        <f>B93&amp;"A"</f>
        <v>181910266A</v>
      </c>
      <c r="E93" s="176" t="s">
        <v>36</v>
      </c>
      <c r="F93" s="163" t="s">
        <v>36</v>
      </c>
      <c r="G93" s="548">
        <f>LEGER!AF96</f>
        <v>13</v>
      </c>
      <c r="H93" s="549" t="str">
        <f>LEGER!AG96</f>
        <v>Belajarlah lebih rajin dan minta pengayaan !</v>
      </c>
    </row>
    <row r="94" spans="1:8" ht="13.5" customHeight="1">
      <c r="A94" s="554"/>
      <c r="B94" s="530"/>
      <c r="C94" s="533"/>
      <c r="D94" s="100" t="str">
        <f>B93&amp;"B"</f>
        <v>181910266B</v>
      </c>
      <c r="E94" s="171" t="s">
        <v>36</v>
      </c>
      <c r="F94" s="165" t="s">
        <v>36</v>
      </c>
      <c r="G94" s="548"/>
      <c r="H94" s="550"/>
    </row>
    <row r="95" spans="1:8" ht="13.5" customHeight="1">
      <c r="A95" s="554"/>
      <c r="B95" s="530"/>
      <c r="C95" s="533"/>
      <c r="D95" s="100" t="str">
        <f>B93&amp;"C"</f>
        <v>181910266C</v>
      </c>
      <c r="E95" s="171" t="s">
        <v>36</v>
      </c>
      <c r="F95" s="165" t="s">
        <v>36</v>
      </c>
      <c r="G95" s="548"/>
      <c r="H95" s="550"/>
    </row>
    <row r="96" spans="1:8" ht="13.5" customHeight="1">
      <c r="A96" s="555"/>
      <c r="B96" s="115"/>
      <c r="C96" s="116"/>
      <c r="D96" s="166" t="str">
        <f>B93&amp;"D"</f>
        <v>181910266D</v>
      </c>
      <c r="E96" s="177" t="s">
        <v>36</v>
      </c>
      <c r="F96" s="178" t="s">
        <v>36</v>
      </c>
      <c r="G96" s="548"/>
      <c r="H96" s="551"/>
    </row>
    <row r="97" spans="1:8" ht="13.5" customHeight="1">
      <c r="A97" s="554">
        <v>24</v>
      </c>
      <c r="B97" s="556" t="str">
        <f>VLOOKUP(A97,biononis,2,1)</f>
        <v>181910272</v>
      </c>
      <c r="C97" s="552" t="str">
        <f>VLOOKUP(A97,biononis,3,1)</f>
        <v>RAFLY GYMNASTIAR</v>
      </c>
      <c r="D97" s="100" t="str">
        <f>B97&amp;"A"</f>
        <v>181910272A</v>
      </c>
      <c r="E97" s="169" t="s">
        <v>36</v>
      </c>
      <c r="F97" s="170" t="s">
        <v>36</v>
      </c>
      <c r="G97" s="548">
        <f>LEGER!AF100</f>
        <v>34</v>
      </c>
      <c r="H97" s="549" t="str">
        <f>LEGER!AG100</f>
        <v>Luangkan waktu untuk belajar, hadir di kelas, rajin ke sekolah, &amp; perbaiki mapel yang belum tuntas !</v>
      </c>
    </row>
    <row r="98" spans="1:8" ht="13.5" customHeight="1">
      <c r="A98" s="554"/>
      <c r="B98" s="530"/>
      <c r="C98" s="533"/>
      <c r="D98" s="100" t="str">
        <f>B97&amp;"B"</f>
        <v>181910272B</v>
      </c>
      <c r="E98" s="171" t="s">
        <v>36</v>
      </c>
      <c r="F98" s="165" t="s">
        <v>36</v>
      </c>
      <c r="G98" s="548"/>
      <c r="H98" s="550"/>
    </row>
    <row r="99" spans="1:8" ht="13.5" customHeight="1">
      <c r="A99" s="554"/>
      <c r="B99" s="530"/>
      <c r="C99" s="533"/>
      <c r="D99" s="100" t="str">
        <f>B97&amp;"C"</f>
        <v>181910272C</v>
      </c>
      <c r="E99" s="171" t="s">
        <v>36</v>
      </c>
      <c r="F99" s="165" t="s">
        <v>36</v>
      </c>
      <c r="G99" s="548"/>
      <c r="H99" s="550"/>
    </row>
    <row r="100" spans="1:8" ht="13.5" customHeight="1">
      <c r="A100" s="554"/>
      <c r="B100" s="172"/>
      <c r="C100" s="173"/>
      <c r="D100" s="100" t="str">
        <f>B97&amp;"D"</f>
        <v>181910272D</v>
      </c>
      <c r="E100" s="174" t="s">
        <v>36</v>
      </c>
      <c r="F100" s="175" t="s">
        <v>36</v>
      </c>
      <c r="G100" s="548"/>
      <c r="H100" s="551"/>
    </row>
    <row r="101" spans="1:8" ht="13.5" customHeight="1">
      <c r="A101" s="553">
        <v>25</v>
      </c>
      <c r="B101" s="530" t="str">
        <f>VLOOKUP(A101,biononis,2,1)</f>
        <v>181910280</v>
      </c>
      <c r="C101" s="533" t="str">
        <f>VLOOKUP(A101,biononis,3,1)</f>
        <v>REFIANA</v>
      </c>
      <c r="D101" s="88" t="str">
        <f>B101&amp;"A"</f>
        <v>181910280A</v>
      </c>
      <c r="E101" s="176" t="s">
        <v>36</v>
      </c>
      <c r="F101" s="163" t="s">
        <v>36</v>
      </c>
      <c r="G101" s="548">
        <f>LEGER!AF104</f>
        <v>27</v>
      </c>
      <c r="H101" s="549" t="str">
        <f>LEGER!AG104</f>
        <v>Luangkan waktu untuk belajar, hadir di kelas, rajin ke sekolah, &amp; perbaiki mapel yang belum tuntas !</v>
      </c>
    </row>
    <row r="102" spans="1:8" ht="13.5" customHeight="1">
      <c r="A102" s="554"/>
      <c r="B102" s="530"/>
      <c r="C102" s="533"/>
      <c r="D102" s="100" t="str">
        <f>B101&amp;"B"</f>
        <v>181910280B</v>
      </c>
      <c r="E102" s="171" t="s">
        <v>36</v>
      </c>
      <c r="F102" s="165" t="s">
        <v>36</v>
      </c>
      <c r="G102" s="548"/>
      <c r="H102" s="550"/>
    </row>
    <row r="103" spans="1:8" ht="13.5" customHeight="1">
      <c r="A103" s="554"/>
      <c r="B103" s="530"/>
      <c r="C103" s="533"/>
      <c r="D103" s="100" t="str">
        <f>B101&amp;"C"</f>
        <v>181910280C</v>
      </c>
      <c r="E103" s="171" t="s">
        <v>36</v>
      </c>
      <c r="F103" s="165" t="s">
        <v>36</v>
      </c>
      <c r="G103" s="548"/>
      <c r="H103" s="550"/>
    </row>
    <row r="104" spans="1:8" ht="13.5" customHeight="1">
      <c r="A104" s="555"/>
      <c r="B104" s="115"/>
      <c r="C104" s="116"/>
      <c r="D104" s="166" t="str">
        <f>B101&amp;"D"</f>
        <v>181910280D</v>
      </c>
      <c r="E104" s="177" t="s">
        <v>36</v>
      </c>
      <c r="F104" s="178" t="s">
        <v>36</v>
      </c>
      <c r="G104" s="548"/>
      <c r="H104" s="551"/>
    </row>
    <row r="105" spans="1:8" ht="13.5" customHeight="1">
      <c r="A105" s="554">
        <v>26</v>
      </c>
      <c r="B105" s="556" t="str">
        <f>VLOOKUP(A105,biononis,2,1)</f>
        <v>181910285</v>
      </c>
      <c r="C105" s="552" t="str">
        <f>VLOOKUP(A105,biononis,3,1)</f>
        <v>RENALDI PRIYATAMA</v>
      </c>
      <c r="D105" s="100" t="str">
        <f>B105&amp;"A"</f>
        <v>181910285A</v>
      </c>
      <c r="E105" s="169" t="s">
        <v>36</v>
      </c>
      <c r="F105" s="170" t="s">
        <v>36</v>
      </c>
      <c r="G105" s="548">
        <f>LEGER!AF108</f>
        <v>31</v>
      </c>
      <c r="H105" s="549" t="str">
        <f>LEGER!AG108</f>
        <v>Luangkan waktu untuk belajar, hadir di kelas, rajin ke sekolah, &amp; perbaiki mapel yang belum tuntas !</v>
      </c>
    </row>
    <row r="106" spans="1:8" ht="13.5" customHeight="1">
      <c r="A106" s="554"/>
      <c r="B106" s="530"/>
      <c r="C106" s="533"/>
      <c r="D106" s="100" t="str">
        <f>B105&amp;"B"</f>
        <v>181910285B</v>
      </c>
      <c r="E106" s="171" t="s">
        <v>36</v>
      </c>
      <c r="F106" s="165" t="s">
        <v>36</v>
      </c>
      <c r="G106" s="548"/>
      <c r="H106" s="550"/>
    </row>
    <row r="107" spans="1:8" ht="13.5" customHeight="1">
      <c r="A107" s="554"/>
      <c r="B107" s="530"/>
      <c r="C107" s="533"/>
      <c r="D107" s="100" t="str">
        <f>B105&amp;"C"</f>
        <v>181910285C</v>
      </c>
      <c r="E107" s="171" t="s">
        <v>36</v>
      </c>
      <c r="F107" s="165" t="s">
        <v>36</v>
      </c>
      <c r="G107" s="548"/>
      <c r="H107" s="550"/>
    </row>
    <row r="108" spans="1:8" ht="13.5" customHeight="1">
      <c r="A108" s="554"/>
      <c r="B108" s="172"/>
      <c r="C108" s="173"/>
      <c r="D108" s="100" t="str">
        <f>B105&amp;"D"</f>
        <v>181910285D</v>
      </c>
      <c r="E108" s="174" t="s">
        <v>36</v>
      </c>
      <c r="F108" s="175" t="s">
        <v>36</v>
      </c>
      <c r="G108" s="548"/>
      <c r="H108" s="551"/>
    </row>
    <row r="109" spans="1:8" ht="13.5" customHeight="1">
      <c r="A109" s="553">
        <v>27</v>
      </c>
      <c r="B109" s="530" t="str">
        <f>VLOOKUP(A109,biononis,2,1)</f>
        <v>181910286</v>
      </c>
      <c r="C109" s="533" t="str">
        <f>VLOOKUP(A109,biononis,3,1)</f>
        <v>RENATA</v>
      </c>
      <c r="D109" s="88" t="str">
        <f>B109&amp;"A"</f>
        <v>181910286A</v>
      </c>
      <c r="E109" s="176" t="s">
        <v>36</v>
      </c>
      <c r="F109" s="163" t="s">
        <v>36</v>
      </c>
      <c r="G109" s="548">
        <f>LEGER!AF112</f>
        <v>5</v>
      </c>
      <c r="H109" s="549" t="str">
        <f>LEGER!AG112</f>
        <v>Tingkatkan Prestasi dan minta pengayaan !</v>
      </c>
    </row>
    <row r="110" spans="1:8" ht="13.5" customHeight="1">
      <c r="A110" s="554"/>
      <c r="B110" s="530"/>
      <c r="C110" s="533"/>
      <c r="D110" s="100" t="str">
        <f>B109&amp;"B"</f>
        <v>181910286B</v>
      </c>
      <c r="E110" s="171" t="s">
        <v>36</v>
      </c>
      <c r="F110" s="165" t="s">
        <v>36</v>
      </c>
      <c r="G110" s="548"/>
      <c r="H110" s="550"/>
    </row>
    <row r="111" spans="1:8" ht="13.5" customHeight="1">
      <c r="A111" s="554"/>
      <c r="B111" s="530"/>
      <c r="C111" s="533"/>
      <c r="D111" s="100" t="str">
        <f>B109&amp;"C"</f>
        <v>181910286C</v>
      </c>
      <c r="E111" s="171" t="s">
        <v>36</v>
      </c>
      <c r="F111" s="165" t="s">
        <v>36</v>
      </c>
      <c r="G111" s="548"/>
      <c r="H111" s="550"/>
    </row>
    <row r="112" spans="1:8" ht="13.5" customHeight="1">
      <c r="A112" s="555"/>
      <c r="B112" s="115"/>
      <c r="C112" s="116"/>
      <c r="D112" s="166" t="str">
        <f>B109&amp;"D"</f>
        <v>181910286D</v>
      </c>
      <c r="E112" s="177" t="s">
        <v>36</v>
      </c>
      <c r="F112" s="178" t="s">
        <v>36</v>
      </c>
      <c r="G112" s="548"/>
      <c r="H112" s="551"/>
    </row>
    <row r="113" spans="1:8" ht="13.5" customHeight="1">
      <c r="A113" s="554">
        <v>28</v>
      </c>
      <c r="B113" s="556" t="str">
        <f>VLOOKUP(A113,biononis,2,1)</f>
        <v>181910293</v>
      </c>
      <c r="C113" s="552" t="str">
        <f>VLOOKUP(A113,biononis,3,1)</f>
        <v xml:space="preserve">REZA ERNANDA </v>
      </c>
      <c r="D113" s="100" t="str">
        <f>B113&amp;"A"</f>
        <v>181910293A</v>
      </c>
      <c r="E113" s="169" t="s">
        <v>36</v>
      </c>
      <c r="F113" s="170" t="s">
        <v>36</v>
      </c>
      <c r="G113" s="548">
        <f>LEGER!AF116</f>
        <v>14</v>
      </c>
      <c r="H113" s="549" t="str">
        <f>LEGER!AG116</f>
        <v>Belajarlah lebih rajin dan minta pengayaan !</v>
      </c>
    </row>
    <row r="114" spans="1:8" ht="13.5" customHeight="1">
      <c r="A114" s="554"/>
      <c r="B114" s="530"/>
      <c r="C114" s="533"/>
      <c r="D114" s="100" t="str">
        <f>B113&amp;"B"</f>
        <v>181910293B</v>
      </c>
      <c r="E114" s="171" t="s">
        <v>36</v>
      </c>
      <c r="F114" s="165" t="s">
        <v>36</v>
      </c>
      <c r="G114" s="548"/>
      <c r="H114" s="550"/>
    </row>
    <row r="115" spans="1:8" ht="13.5" customHeight="1">
      <c r="A115" s="554"/>
      <c r="B115" s="530"/>
      <c r="C115" s="533"/>
      <c r="D115" s="100" t="str">
        <f>B113&amp;"C"</f>
        <v>181910293C</v>
      </c>
      <c r="E115" s="171" t="s">
        <v>36</v>
      </c>
      <c r="F115" s="165" t="s">
        <v>36</v>
      </c>
      <c r="G115" s="548"/>
      <c r="H115" s="550"/>
    </row>
    <row r="116" spans="1:8" ht="13.5" customHeight="1">
      <c r="A116" s="554"/>
      <c r="B116" s="172"/>
      <c r="C116" s="173"/>
      <c r="D116" s="100" t="str">
        <f>B113&amp;"D"</f>
        <v>181910293D</v>
      </c>
      <c r="E116" s="174" t="s">
        <v>36</v>
      </c>
      <c r="F116" s="175" t="s">
        <v>36</v>
      </c>
      <c r="G116" s="548"/>
      <c r="H116" s="551"/>
    </row>
    <row r="117" spans="1:8" ht="13.5" customHeight="1">
      <c r="A117" s="553">
        <v>29</v>
      </c>
      <c r="B117" s="530" t="str">
        <f>VLOOKUP(A117,biononis,2,1)</f>
        <v>181910300</v>
      </c>
      <c r="C117" s="533" t="str">
        <f>VLOOKUP(A117,biononis,3,1)</f>
        <v>RIFAN MUHAMAD RIZKI</v>
      </c>
      <c r="D117" s="88" t="str">
        <f>B117&amp;"A"</f>
        <v>181910300A</v>
      </c>
      <c r="E117" s="176" t="s">
        <v>36</v>
      </c>
      <c r="F117" s="163" t="s">
        <v>36</v>
      </c>
      <c r="G117" s="548">
        <f>LEGER!AF120</f>
        <v>36</v>
      </c>
      <c r="H117" s="549" t="str">
        <f>LEGER!AG120</f>
        <v>Luangkan waktu untuk belajar, hadir di kelas, rajin ke sekolah, &amp; perbaiki mapel yang belum tuntas !</v>
      </c>
    </row>
    <row r="118" spans="1:8" ht="13.5" customHeight="1">
      <c r="A118" s="554"/>
      <c r="B118" s="530"/>
      <c r="C118" s="533"/>
      <c r="D118" s="100" t="str">
        <f>B117&amp;"B"</f>
        <v>181910300B</v>
      </c>
      <c r="E118" s="171" t="s">
        <v>36</v>
      </c>
      <c r="F118" s="165" t="s">
        <v>36</v>
      </c>
      <c r="G118" s="548"/>
      <c r="H118" s="550"/>
    </row>
    <row r="119" spans="1:8" ht="13.5" customHeight="1">
      <c r="A119" s="554"/>
      <c r="B119" s="530"/>
      <c r="C119" s="533"/>
      <c r="D119" s="100" t="str">
        <f>B117&amp;"C"</f>
        <v>181910300C</v>
      </c>
      <c r="E119" s="171" t="s">
        <v>36</v>
      </c>
      <c r="F119" s="165" t="s">
        <v>36</v>
      </c>
      <c r="G119" s="548"/>
      <c r="H119" s="550"/>
    </row>
    <row r="120" spans="1:8" ht="13.5" customHeight="1">
      <c r="A120" s="555"/>
      <c r="B120" s="115"/>
      <c r="C120" s="116"/>
      <c r="D120" s="166" t="str">
        <f>B117&amp;"D"</f>
        <v>181910300D</v>
      </c>
      <c r="E120" s="177" t="s">
        <v>36</v>
      </c>
      <c r="F120" s="178" t="s">
        <v>36</v>
      </c>
      <c r="G120" s="548"/>
      <c r="H120" s="551"/>
    </row>
    <row r="121" spans="1:8" ht="13.5" customHeight="1">
      <c r="A121" s="554">
        <v>30</v>
      </c>
      <c r="B121" s="556" t="str">
        <f>VLOOKUP(A121,biononis,2,1)</f>
        <v>181910318</v>
      </c>
      <c r="C121" s="552" t="str">
        <f>VLOOKUP(A121,biononis,3,1)</f>
        <v>RISMA SURYANI</v>
      </c>
      <c r="D121" s="100" t="str">
        <f>B121&amp;"A"</f>
        <v>181910318A</v>
      </c>
      <c r="E121" s="169" t="s">
        <v>36</v>
      </c>
      <c r="F121" s="170" t="s">
        <v>36</v>
      </c>
      <c r="G121" s="548">
        <f>LEGER!AF124</f>
        <v>3</v>
      </c>
      <c r="H121" s="549" t="str">
        <f>LEGER!AG124</f>
        <v>Tingkatkan Prestasi dan minta pengayaan !</v>
      </c>
    </row>
    <row r="122" spans="1:8" ht="13.5" customHeight="1">
      <c r="A122" s="554"/>
      <c r="B122" s="530"/>
      <c r="C122" s="533"/>
      <c r="D122" s="100" t="str">
        <f>B121&amp;"B"</f>
        <v>181910318B</v>
      </c>
      <c r="E122" s="171" t="s">
        <v>36</v>
      </c>
      <c r="F122" s="165" t="s">
        <v>36</v>
      </c>
      <c r="G122" s="548"/>
      <c r="H122" s="550"/>
    </row>
    <row r="123" spans="1:8" ht="13.5" customHeight="1">
      <c r="A123" s="554"/>
      <c r="B123" s="530"/>
      <c r="C123" s="533"/>
      <c r="D123" s="100" t="str">
        <f>B121&amp;"C"</f>
        <v>181910318C</v>
      </c>
      <c r="E123" s="171" t="s">
        <v>36</v>
      </c>
      <c r="F123" s="165" t="s">
        <v>36</v>
      </c>
      <c r="G123" s="548"/>
      <c r="H123" s="550"/>
    </row>
    <row r="124" spans="1:8" ht="13.5" customHeight="1">
      <c r="A124" s="554"/>
      <c r="B124" s="172"/>
      <c r="C124" s="173"/>
      <c r="D124" s="100" t="str">
        <f>B121&amp;"D"</f>
        <v>181910318D</v>
      </c>
      <c r="E124" s="174" t="s">
        <v>36</v>
      </c>
      <c r="F124" s="175" t="s">
        <v>36</v>
      </c>
      <c r="G124" s="548"/>
      <c r="H124" s="551"/>
    </row>
    <row r="125" spans="1:8" ht="13.5" customHeight="1">
      <c r="A125" s="553">
        <v>31</v>
      </c>
      <c r="B125" s="530" t="str">
        <f>VLOOKUP(A125,biononis,2,1)</f>
        <v>181910320</v>
      </c>
      <c r="C125" s="533" t="str">
        <f>VLOOKUP(A125,biononis,3,1)</f>
        <v>RISNA TIRANI</v>
      </c>
      <c r="D125" s="88" t="str">
        <f>B125&amp;"A"</f>
        <v>181910320A</v>
      </c>
      <c r="E125" s="176" t="s">
        <v>36</v>
      </c>
      <c r="F125" s="163" t="s">
        <v>36</v>
      </c>
      <c r="G125" s="548">
        <f>LEGER!AF128</f>
        <v>2</v>
      </c>
      <c r="H125" s="549" t="str">
        <f>LEGER!AG128</f>
        <v>Tingkatkan Prestasi dan minta pengayaan !</v>
      </c>
    </row>
    <row r="126" spans="1:8" ht="13.5" customHeight="1">
      <c r="A126" s="554"/>
      <c r="B126" s="530"/>
      <c r="C126" s="533"/>
      <c r="D126" s="100" t="str">
        <f>B125&amp;"B"</f>
        <v>181910320B</v>
      </c>
      <c r="E126" s="171" t="s">
        <v>36</v>
      </c>
      <c r="F126" s="165" t="s">
        <v>36</v>
      </c>
      <c r="G126" s="548"/>
      <c r="H126" s="550"/>
    </row>
    <row r="127" spans="1:8" ht="13.5" customHeight="1">
      <c r="A127" s="554"/>
      <c r="B127" s="530"/>
      <c r="C127" s="533"/>
      <c r="D127" s="100" t="str">
        <f>B125&amp;"C"</f>
        <v>181910320C</v>
      </c>
      <c r="E127" s="171" t="s">
        <v>36</v>
      </c>
      <c r="F127" s="165" t="s">
        <v>36</v>
      </c>
      <c r="G127" s="548"/>
      <c r="H127" s="550"/>
    </row>
    <row r="128" spans="1:8" ht="13.5" customHeight="1">
      <c r="A128" s="555"/>
      <c r="B128" s="115"/>
      <c r="C128" s="116"/>
      <c r="D128" s="166" t="str">
        <f>B125&amp;"D"</f>
        <v>181910320D</v>
      </c>
      <c r="E128" s="177" t="s">
        <v>36</v>
      </c>
      <c r="F128" s="178" t="s">
        <v>36</v>
      </c>
      <c r="G128" s="548"/>
      <c r="H128" s="551"/>
    </row>
    <row r="129" spans="1:8" ht="13.5" customHeight="1">
      <c r="A129" s="554">
        <v>32</v>
      </c>
      <c r="B129" s="556" t="str">
        <f>VLOOKUP(A129,biononis,2,1)</f>
        <v>181910331</v>
      </c>
      <c r="C129" s="552" t="str">
        <f>VLOOKUP(A129,biononis,3,1)</f>
        <v>RULLY PRATAMA S.</v>
      </c>
      <c r="D129" s="100" t="str">
        <f>B129&amp;"A"</f>
        <v>181910331A</v>
      </c>
      <c r="E129" s="169" t="s">
        <v>36</v>
      </c>
      <c r="F129" s="170" t="s">
        <v>36</v>
      </c>
      <c r="G129" s="548">
        <f>LEGER!AF132</f>
        <v>21</v>
      </c>
      <c r="H129" s="549" t="str">
        <f>LEGER!AG132</f>
        <v>Luangkan waktu untuk belajar, hadir di kelas, rajin ke sekolah, &amp; perbaiki mapel yang belum tuntas !</v>
      </c>
    </row>
    <row r="130" spans="1:8" ht="13.5" customHeight="1">
      <c r="A130" s="554"/>
      <c r="B130" s="530"/>
      <c r="C130" s="533"/>
      <c r="D130" s="100" t="str">
        <f>B129&amp;"B"</f>
        <v>181910331B</v>
      </c>
      <c r="E130" s="171" t="s">
        <v>36</v>
      </c>
      <c r="F130" s="165" t="s">
        <v>36</v>
      </c>
      <c r="G130" s="548"/>
      <c r="H130" s="550"/>
    </row>
    <row r="131" spans="1:8" ht="13.5" customHeight="1">
      <c r="A131" s="554"/>
      <c r="B131" s="530"/>
      <c r="C131" s="533"/>
      <c r="D131" s="100" t="str">
        <f>B129&amp;"C"</f>
        <v>181910331C</v>
      </c>
      <c r="E131" s="171" t="s">
        <v>36</v>
      </c>
      <c r="F131" s="165" t="s">
        <v>36</v>
      </c>
      <c r="G131" s="548"/>
      <c r="H131" s="550"/>
    </row>
    <row r="132" spans="1:8" ht="13.5" customHeight="1">
      <c r="A132" s="554"/>
      <c r="B132" s="172"/>
      <c r="C132" s="173"/>
      <c r="D132" s="100" t="str">
        <f>B129&amp;"D"</f>
        <v>181910331D</v>
      </c>
      <c r="E132" s="174" t="s">
        <v>36</v>
      </c>
      <c r="F132" s="175" t="s">
        <v>36</v>
      </c>
      <c r="G132" s="548"/>
      <c r="H132" s="551"/>
    </row>
    <row r="133" spans="1:8" ht="13.5" customHeight="1">
      <c r="A133" s="553">
        <v>33</v>
      </c>
      <c r="B133" s="530" t="str">
        <f>VLOOKUP(A133,biononis,2,1)</f>
        <v>181910335</v>
      </c>
      <c r="C133" s="533" t="str">
        <f>VLOOKUP(A133,biononis,3,1)</f>
        <v>SALSA ASYKIYA</v>
      </c>
      <c r="D133" s="88" t="str">
        <f>B133&amp;"A"</f>
        <v>181910335A</v>
      </c>
      <c r="E133" s="176" t="s">
        <v>36</v>
      </c>
      <c r="F133" s="163" t="s">
        <v>36</v>
      </c>
      <c r="G133" s="548">
        <f>LEGER!AF136</f>
        <v>1</v>
      </c>
      <c r="H133" s="549" t="str">
        <f>LEGER!AG136</f>
        <v>Pertahankan Prestasimu  !</v>
      </c>
    </row>
    <row r="134" spans="1:8" ht="13.5" customHeight="1">
      <c r="A134" s="554"/>
      <c r="B134" s="530"/>
      <c r="C134" s="533"/>
      <c r="D134" s="100" t="str">
        <f>B133&amp;"B"</f>
        <v>181910335B</v>
      </c>
      <c r="E134" s="171" t="s">
        <v>36</v>
      </c>
      <c r="F134" s="165" t="s">
        <v>36</v>
      </c>
      <c r="G134" s="548"/>
      <c r="H134" s="550"/>
    </row>
    <row r="135" spans="1:8" ht="13.5" customHeight="1">
      <c r="A135" s="554"/>
      <c r="B135" s="530"/>
      <c r="C135" s="533"/>
      <c r="D135" s="100" t="str">
        <f>B133&amp;"C"</f>
        <v>181910335C</v>
      </c>
      <c r="E135" s="171" t="s">
        <v>36</v>
      </c>
      <c r="F135" s="165" t="s">
        <v>36</v>
      </c>
      <c r="G135" s="548"/>
      <c r="H135" s="550"/>
    </row>
    <row r="136" spans="1:8" ht="13.5" customHeight="1">
      <c r="A136" s="555"/>
      <c r="B136" s="115"/>
      <c r="C136" s="116"/>
      <c r="D136" s="166" t="str">
        <f>B133&amp;"D"</f>
        <v>181910335D</v>
      </c>
      <c r="E136" s="177" t="s">
        <v>36</v>
      </c>
      <c r="F136" s="178" t="s">
        <v>36</v>
      </c>
      <c r="G136" s="548"/>
      <c r="H136" s="551"/>
    </row>
    <row r="137" spans="1:8" ht="13.5" customHeight="1">
      <c r="A137" s="554">
        <v>34</v>
      </c>
      <c r="B137" s="556" t="str">
        <f>VLOOKUP(A137,biononis,2,1)</f>
        <v>181910353</v>
      </c>
      <c r="C137" s="552" t="str">
        <f>VLOOKUP(A137,biononis,3,1)</f>
        <v>SILFI HAMIDAH</v>
      </c>
      <c r="D137" s="100" t="str">
        <f>B137&amp;"A"</f>
        <v>181910353A</v>
      </c>
      <c r="E137" s="169" t="s">
        <v>36</v>
      </c>
      <c r="F137" s="170" t="s">
        <v>36</v>
      </c>
      <c r="G137" s="548">
        <f>LEGER!AF140</f>
        <v>4</v>
      </c>
      <c r="H137" s="549" t="str">
        <f>LEGER!AG140</f>
        <v>Tingkatkan Prestasi dan minta pengayaan !</v>
      </c>
    </row>
    <row r="138" spans="1:8" ht="13.5" customHeight="1">
      <c r="A138" s="554"/>
      <c r="B138" s="530"/>
      <c r="C138" s="533"/>
      <c r="D138" s="100" t="str">
        <f>B137&amp;"B"</f>
        <v>181910353B</v>
      </c>
      <c r="E138" s="171" t="s">
        <v>36</v>
      </c>
      <c r="F138" s="165" t="s">
        <v>36</v>
      </c>
      <c r="G138" s="548"/>
      <c r="H138" s="550"/>
    </row>
    <row r="139" spans="1:8" ht="13.5" customHeight="1">
      <c r="A139" s="554"/>
      <c r="B139" s="530"/>
      <c r="C139" s="533"/>
      <c r="D139" s="100" t="str">
        <f>B137&amp;"C"</f>
        <v>181910353C</v>
      </c>
      <c r="E139" s="171" t="s">
        <v>36</v>
      </c>
      <c r="F139" s="165" t="s">
        <v>36</v>
      </c>
      <c r="G139" s="548"/>
      <c r="H139" s="550"/>
    </row>
    <row r="140" spans="1:8" ht="13.5" customHeight="1">
      <c r="A140" s="554"/>
      <c r="B140" s="172"/>
      <c r="C140" s="173"/>
      <c r="D140" s="100" t="str">
        <f>B137&amp;"D"</f>
        <v>181910353D</v>
      </c>
      <c r="E140" s="174" t="s">
        <v>36</v>
      </c>
      <c r="F140" s="175" t="s">
        <v>36</v>
      </c>
      <c r="G140" s="548"/>
      <c r="H140" s="551"/>
    </row>
    <row r="141" spans="1:8" ht="13.5" customHeight="1">
      <c r="A141" s="553">
        <v>35</v>
      </c>
      <c r="B141" s="530" t="str">
        <f>VLOOKUP(A141,biononis,2,1)</f>
        <v>181910408</v>
      </c>
      <c r="C141" s="533" t="str">
        <f>VLOOKUP(A141,biononis,3,1)</f>
        <v>YESHA RAHAYU</v>
      </c>
      <c r="D141" s="88" t="str">
        <f>B141&amp;"A"</f>
        <v>181910408A</v>
      </c>
      <c r="E141" s="176" t="s">
        <v>36</v>
      </c>
      <c r="F141" s="163" t="s">
        <v>36</v>
      </c>
      <c r="G141" s="548">
        <f>LEGER!AF144</f>
        <v>20</v>
      </c>
      <c r="H141" s="549" t="str">
        <f>LEGER!AG144</f>
        <v>Belajarlah lebih rajin dan minta pengayaan !</v>
      </c>
    </row>
    <row r="142" spans="1:8" ht="13.5" customHeight="1">
      <c r="A142" s="554"/>
      <c r="B142" s="530"/>
      <c r="C142" s="533"/>
      <c r="D142" s="100" t="str">
        <f>B141&amp;"B"</f>
        <v>181910408B</v>
      </c>
      <c r="E142" s="171" t="s">
        <v>36</v>
      </c>
      <c r="F142" s="165" t="s">
        <v>36</v>
      </c>
      <c r="G142" s="548"/>
      <c r="H142" s="550"/>
    </row>
    <row r="143" spans="1:8" ht="13.5" customHeight="1">
      <c r="A143" s="554"/>
      <c r="B143" s="530"/>
      <c r="C143" s="533"/>
      <c r="D143" s="100" t="str">
        <f>B141&amp;"C"</f>
        <v>181910408C</v>
      </c>
      <c r="E143" s="171" t="s">
        <v>36</v>
      </c>
      <c r="F143" s="165" t="s">
        <v>36</v>
      </c>
      <c r="G143" s="548"/>
      <c r="H143" s="550"/>
    </row>
    <row r="144" spans="1:8" ht="13.5" customHeight="1">
      <c r="A144" s="555"/>
      <c r="B144" s="115"/>
      <c r="C144" s="116"/>
      <c r="D144" s="166" t="str">
        <f>B141&amp;"D"</f>
        <v>181910408D</v>
      </c>
      <c r="E144" s="177" t="s">
        <v>36</v>
      </c>
      <c r="F144" s="178" t="s">
        <v>36</v>
      </c>
      <c r="G144" s="548"/>
      <c r="H144" s="551"/>
    </row>
    <row r="145" spans="1:8" ht="13.5" customHeight="1">
      <c r="A145" s="554">
        <v>36</v>
      </c>
      <c r="B145" s="556" t="str">
        <f>VLOOKUP(A145,biononis,2,1)</f>
        <v>181910433</v>
      </c>
      <c r="C145" s="552" t="str">
        <f>VLOOKUP(A145,biononis,3,1)</f>
        <v>MUHAMAD RIZAL</v>
      </c>
      <c r="D145" s="100" t="str">
        <f>B145&amp;"A"</f>
        <v>181910433A</v>
      </c>
      <c r="E145" s="169" t="s">
        <v>36</v>
      </c>
      <c r="F145" s="170" t="s">
        <v>36</v>
      </c>
      <c r="G145" s="548">
        <f>LEGER!AF148</f>
        <v>33</v>
      </c>
      <c r="H145" s="549" t="str">
        <f>LEGER!AG148</f>
        <v>Luangkan waktu untuk belajar, hadir di kelas, rajin ke sekolah, &amp; perbaiki mapel yang belum tuntas !</v>
      </c>
    </row>
    <row r="146" spans="1:8" ht="13.5" customHeight="1">
      <c r="A146" s="554"/>
      <c r="B146" s="530"/>
      <c r="C146" s="533"/>
      <c r="D146" s="100" t="str">
        <f>B145&amp;"B"</f>
        <v>181910433B</v>
      </c>
      <c r="E146" s="171" t="s">
        <v>36</v>
      </c>
      <c r="F146" s="165" t="s">
        <v>36</v>
      </c>
      <c r="G146" s="548"/>
      <c r="H146" s="550"/>
    </row>
    <row r="147" spans="1:8" ht="13.5" customHeight="1">
      <c r="A147" s="554"/>
      <c r="B147" s="530"/>
      <c r="C147" s="533"/>
      <c r="D147" s="100" t="str">
        <f>B145&amp;"C"</f>
        <v>181910433C</v>
      </c>
      <c r="E147" s="171" t="s">
        <v>36</v>
      </c>
      <c r="F147" s="165" t="s">
        <v>36</v>
      </c>
      <c r="G147" s="548"/>
      <c r="H147" s="550"/>
    </row>
    <row r="148" spans="1:8" ht="13.5" customHeight="1">
      <c r="A148" s="554"/>
      <c r="B148" s="172"/>
      <c r="C148" s="173"/>
      <c r="D148" s="100" t="str">
        <f>B145&amp;"D"</f>
        <v>181910433D</v>
      </c>
      <c r="E148" s="174" t="s">
        <v>36</v>
      </c>
      <c r="F148" s="175" t="s">
        <v>36</v>
      </c>
      <c r="G148" s="548"/>
      <c r="H148" s="551"/>
    </row>
    <row r="149" spans="1:8" ht="13.5" customHeight="1">
      <c r="A149" s="553">
        <v>37</v>
      </c>
      <c r="B149" s="530" t="str">
        <f>VLOOKUP(A149,biononis,2,1)</f>
        <v>037</v>
      </c>
      <c r="C149" s="533" t="str">
        <f>VLOOKUP(A149,biononis,3,1)</f>
        <v>A37</v>
      </c>
      <c r="D149" s="88" t="str">
        <f>B149&amp;"A"</f>
        <v>037A</v>
      </c>
      <c r="E149" s="176" t="s">
        <v>36</v>
      </c>
      <c r="F149" s="163" t="s">
        <v>36</v>
      </c>
      <c r="G149" s="548" t="str">
        <f>LEGER!AF152</f>
        <v/>
      </c>
      <c r="H149" s="549" t="str">
        <f>LEGER!AG152</f>
        <v>--</v>
      </c>
    </row>
    <row r="150" spans="1:8" ht="13.5" customHeight="1">
      <c r="A150" s="554"/>
      <c r="B150" s="530"/>
      <c r="C150" s="533"/>
      <c r="D150" s="100" t="str">
        <f>B149&amp;"B"</f>
        <v>037B</v>
      </c>
      <c r="E150" s="171" t="s">
        <v>36</v>
      </c>
      <c r="F150" s="165" t="s">
        <v>36</v>
      </c>
      <c r="G150" s="548"/>
      <c r="H150" s="550"/>
    </row>
    <row r="151" spans="1:8" ht="13.5" customHeight="1">
      <c r="A151" s="554"/>
      <c r="B151" s="530"/>
      <c r="C151" s="533"/>
      <c r="D151" s="100" t="str">
        <f>B149&amp;"C"</f>
        <v>037C</v>
      </c>
      <c r="E151" s="171" t="s">
        <v>36</v>
      </c>
      <c r="F151" s="165" t="s">
        <v>36</v>
      </c>
      <c r="G151" s="548"/>
      <c r="H151" s="550"/>
    </row>
    <row r="152" spans="1:8" ht="13.5" customHeight="1">
      <c r="A152" s="555"/>
      <c r="B152" s="115"/>
      <c r="C152" s="116"/>
      <c r="D152" s="166" t="str">
        <f>B149&amp;"D"</f>
        <v>037D</v>
      </c>
      <c r="E152" s="177" t="s">
        <v>36</v>
      </c>
      <c r="F152" s="178" t="s">
        <v>36</v>
      </c>
      <c r="G152" s="548"/>
      <c r="H152" s="551"/>
    </row>
    <row r="153" spans="1:8" ht="13.5" customHeight="1">
      <c r="A153" s="554">
        <v>38</v>
      </c>
      <c r="B153" s="556" t="str">
        <f>VLOOKUP(A153,biononis,2,1)</f>
        <v>038</v>
      </c>
      <c r="C153" s="552" t="str">
        <f>VLOOKUP(A153,biononis,3,1)</f>
        <v>A38</v>
      </c>
      <c r="D153" s="100" t="str">
        <f>B153&amp;"A"</f>
        <v>038A</v>
      </c>
      <c r="E153" s="169" t="s">
        <v>36</v>
      </c>
      <c r="F153" s="170" t="s">
        <v>36</v>
      </c>
      <c r="G153" s="548" t="str">
        <f>LEGER!AF156</f>
        <v/>
      </c>
      <c r="H153" s="549" t="str">
        <f>LEGER!AG156</f>
        <v>--</v>
      </c>
    </row>
    <row r="154" spans="1:8" ht="13.5" customHeight="1">
      <c r="A154" s="554"/>
      <c r="B154" s="530"/>
      <c r="C154" s="533"/>
      <c r="D154" s="100" t="str">
        <f>B153&amp;"B"</f>
        <v>038B</v>
      </c>
      <c r="E154" s="171" t="s">
        <v>36</v>
      </c>
      <c r="F154" s="165" t="s">
        <v>36</v>
      </c>
      <c r="G154" s="548"/>
      <c r="H154" s="550"/>
    </row>
    <row r="155" spans="1:8" ht="13.5" customHeight="1">
      <c r="A155" s="554"/>
      <c r="B155" s="530"/>
      <c r="C155" s="533"/>
      <c r="D155" s="100" t="str">
        <f>B153&amp;"C"</f>
        <v>038C</v>
      </c>
      <c r="E155" s="171" t="s">
        <v>36</v>
      </c>
      <c r="F155" s="165" t="s">
        <v>36</v>
      </c>
      <c r="G155" s="548"/>
      <c r="H155" s="550"/>
    </row>
    <row r="156" spans="1:8" ht="13.5" customHeight="1">
      <c r="A156" s="554"/>
      <c r="B156" s="172"/>
      <c r="C156" s="173"/>
      <c r="D156" s="100" t="str">
        <f>B153&amp;"D"</f>
        <v>038D</v>
      </c>
      <c r="E156" s="174" t="s">
        <v>36</v>
      </c>
      <c r="F156" s="175" t="s">
        <v>36</v>
      </c>
      <c r="G156" s="548"/>
      <c r="H156" s="551"/>
    </row>
    <row r="157" spans="1:8" ht="13.5" customHeight="1">
      <c r="A157" s="553">
        <v>39</v>
      </c>
      <c r="B157" s="530" t="str">
        <f>VLOOKUP(A157,biononis,2,1)</f>
        <v>039</v>
      </c>
      <c r="C157" s="533" t="str">
        <f>VLOOKUP(A157,biononis,3,1)</f>
        <v>A39</v>
      </c>
      <c r="D157" s="88" t="str">
        <f>B157&amp;"A"</f>
        <v>039A</v>
      </c>
      <c r="E157" s="176" t="s">
        <v>36</v>
      </c>
      <c r="F157" s="163" t="s">
        <v>36</v>
      </c>
      <c r="G157" s="548" t="str">
        <f>LEGER!AF160</f>
        <v/>
      </c>
      <c r="H157" s="549" t="str">
        <f>LEGER!AG160</f>
        <v>--</v>
      </c>
    </row>
    <row r="158" spans="1:8" ht="13.5" customHeight="1">
      <c r="A158" s="554"/>
      <c r="B158" s="530"/>
      <c r="C158" s="533"/>
      <c r="D158" s="100" t="str">
        <f>B157&amp;"B"</f>
        <v>039B</v>
      </c>
      <c r="E158" s="171" t="s">
        <v>36</v>
      </c>
      <c r="F158" s="165" t="s">
        <v>36</v>
      </c>
      <c r="G158" s="548"/>
      <c r="H158" s="550"/>
    </row>
    <row r="159" spans="1:8" ht="13.5" customHeight="1">
      <c r="A159" s="554"/>
      <c r="B159" s="530"/>
      <c r="C159" s="533"/>
      <c r="D159" s="100" t="str">
        <f>B157&amp;"C"</f>
        <v>039C</v>
      </c>
      <c r="E159" s="171" t="s">
        <v>36</v>
      </c>
      <c r="F159" s="165" t="s">
        <v>36</v>
      </c>
      <c r="G159" s="548"/>
      <c r="H159" s="550"/>
    </row>
    <row r="160" spans="1:8" ht="13.5" customHeight="1">
      <c r="A160" s="555"/>
      <c r="B160" s="115"/>
      <c r="C160" s="116"/>
      <c r="D160" s="166" t="str">
        <f>B157&amp;"D"</f>
        <v>039D</v>
      </c>
      <c r="E160" s="177" t="s">
        <v>36</v>
      </c>
      <c r="F160" s="178" t="s">
        <v>36</v>
      </c>
      <c r="G160" s="548"/>
      <c r="H160" s="551"/>
    </row>
    <row r="161" spans="1:8" ht="13.5" customHeight="1">
      <c r="A161" s="554">
        <v>40</v>
      </c>
      <c r="B161" s="556" t="str">
        <f>VLOOKUP(A161,biononis,2,1)</f>
        <v>040</v>
      </c>
      <c r="C161" s="552" t="str">
        <f>VLOOKUP(A161,biononis,3,1)</f>
        <v>A40</v>
      </c>
      <c r="D161" s="100" t="str">
        <f>B161&amp;"A"</f>
        <v>040A</v>
      </c>
      <c r="E161" s="169" t="s">
        <v>36</v>
      </c>
      <c r="F161" s="170" t="s">
        <v>36</v>
      </c>
      <c r="G161" s="548" t="str">
        <f>LEGER!AF164</f>
        <v/>
      </c>
      <c r="H161" s="549" t="str">
        <f>LEGER!AG164</f>
        <v>--</v>
      </c>
    </row>
    <row r="162" spans="1:8" ht="13.5" customHeight="1">
      <c r="A162" s="554"/>
      <c r="B162" s="530"/>
      <c r="C162" s="533"/>
      <c r="D162" s="100" t="str">
        <f>B161&amp;"B"</f>
        <v>040B</v>
      </c>
      <c r="E162" s="171" t="s">
        <v>36</v>
      </c>
      <c r="F162" s="165" t="s">
        <v>36</v>
      </c>
      <c r="G162" s="548"/>
      <c r="H162" s="550"/>
    </row>
    <row r="163" spans="1:8" ht="13.5" customHeight="1">
      <c r="A163" s="554"/>
      <c r="B163" s="530"/>
      <c r="C163" s="533"/>
      <c r="D163" s="100" t="str">
        <f>B161&amp;"C"</f>
        <v>040C</v>
      </c>
      <c r="E163" s="171" t="s">
        <v>36</v>
      </c>
      <c r="F163" s="165" t="s">
        <v>36</v>
      </c>
      <c r="G163" s="548"/>
      <c r="H163" s="550"/>
    </row>
    <row r="164" spans="1:8" ht="13.5" customHeight="1">
      <c r="A164" s="554"/>
      <c r="B164" s="172"/>
      <c r="C164" s="173"/>
      <c r="D164" s="100" t="str">
        <f>B161&amp;"D"</f>
        <v>040D</v>
      </c>
      <c r="E164" s="174" t="s">
        <v>36</v>
      </c>
      <c r="F164" s="175" t="s">
        <v>36</v>
      </c>
      <c r="G164" s="548"/>
      <c r="H164" s="551"/>
    </row>
  </sheetData>
  <sheetProtection sheet="1" objects="1" scenarios="1"/>
  <mergeCells count="206">
    <mergeCell ref="A25:A28"/>
    <mergeCell ref="H41:H44"/>
    <mergeCell ref="H25:H28"/>
    <mergeCell ref="A17:A20"/>
    <mergeCell ref="G9:G12"/>
    <mergeCell ref="C5:C7"/>
    <mergeCell ref="B13:B15"/>
    <mergeCell ref="C17:C19"/>
    <mergeCell ref="G13:G16"/>
    <mergeCell ref="H21:H24"/>
    <mergeCell ref="G2:G3"/>
    <mergeCell ref="B17:B19"/>
    <mergeCell ref="G17:G20"/>
    <mergeCell ref="C2:C3"/>
    <mergeCell ref="B9:B11"/>
    <mergeCell ref="B5:B7"/>
    <mergeCell ref="H77:H80"/>
    <mergeCell ref="C49:C51"/>
    <mergeCell ref="B69:B71"/>
    <mergeCell ref="H61:H64"/>
    <mergeCell ref="H65:H68"/>
    <mergeCell ref="H69:H72"/>
    <mergeCell ref="A109:A112"/>
    <mergeCell ref="B105:B107"/>
    <mergeCell ref="A45:A48"/>
    <mergeCell ref="B25:B27"/>
    <mergeCell ref="C37:C39"/>
    <mergeCell ref="A145:A148"/>
    <mergeCell ref="C125:C127"/>
    <mergeCell ref="A113:A116"/>
    <mergeCell ref="C85:C87"/>
    <mergeCell ref="A57:A60"/>
    <mergeCell ref="B49:B51"/>
    <mergeCell ref="B121:B123"/>
    <mergeCell ref="A141:A144"/>
    <mergeCell ref="A49:A52"/>
    <mergeCell ref="B85:B87"/>
    <mergeCell ref="C69:C71"/>
    <mergeCell ref="A73:A76"/>
    <mergeCell ref="B65:B67"/>
    <mergeCell ref="A85:A88"/>
    <mergeCell ref="A117:A120"/>
    <mergeCell ref="C25:C27"/>
    <mergeCell ref="B45:B47"/>
    <mergeCell ref="C57:C59"/>
    <mergeCell ref="A53:A56"/>
    <mergeCell ref="H117:H120"/>
    <mergeCell ref="H125:H128"/>
    <mergeCell ref="H129:H132"/>
    <mergeCell ref="H133:H136"/>
    <mergeCell ref="C81:C83"/>
    <mergeCell ref="B77:B79"/>
    <mergeCell ref="C77:C79"/>
    <mergeCell ref="G81:G84"/>
    <mergeCell ref="C93:C95"/>
    <mergeCell ref="G101:G104"/>
    <mergeCell ref="G85:G88"/>
    <mergeCell ref="G125:G128"/>
    <mergeCell ref="G93:G96"/>
    <mergeCell ref="B93:B95"/>
    <mergeCell ref="C109:C111"/>
    <mergeCell ref="C133:C135"/>
    <mergeCell ref="H53:H56"/>
    <mergeCell ref="H57:H60"/>
    <mergeCell ref="C33:C35"/>
    <mergeCell ref="H45:H48"/>
    <mergeCell ref="B57:B59"/>
    <mergeCell ref="B53:B55"/>
    <mergeCell ref="H113:H116"/>
    <mergeCell ref="A61:A64"/>
    <mergeCell ref="H101:H104"/>
    <mergeCell ref="A97:A100"/>
    <mergeCell ref="C73:C75"/>
    <mergeCell ref="C61:C63"/>
    <mergeCell ref="H97:H100"/>
    <mergeCell ref="H105:H108"/>
    <mergeCell ref="A65:A68"/>
    <mergeCell ref="B61:B63"/>
    <mergeCell ref="H109:H112"/>
    <mergeCell ref="C65:C67"/>
    <mergeCell ref="C105:C107"/>
    <mergeCell ref="B73:B75"/>
    <mergeCell ref="A93:A96"/>
    <mergeCell ref="H73:H76"/>
    <mergeCell ref="H81:H84"/>
    <mergeCell ref="H85:H88"/>
    <mergeCell ref="H49:H52"/>
    <mergeCell ref="H2:H3"/>
    <mergeCell ref="B29:B31"/>
    <mergeCell ref="A13:A16"/>
    <mergeCell ref="H5:H8"/>
    <mergeCell ref="H9:H12"/>
    <mergeCell ref="H13:H16"/>
    <mergeCell ref="H17:H20"/>
    <mergeCell ref="A29:A32"/>
    <mergeCell ref="B2:B3"/>
    <mergeCell ref="C13:C15"/>
    <mergeCell ref="G41:G44"/>
    <mergeCell ref="A33:A36"/>
    <mergeCell ref="C41:C43"/>
    <mergeCell ref="C45:C47"/>
    <mergeCell ref="H29:H32"/>
    <mergeCell ref="H33:H36"/>
    <mergeCell ref="H37:H40"/>
    <mergeCell ref="E2:F2"/>
    <mergeCell ref="A37:A40"/>
    <mergeCell ref="B33:B35"/>
    <mergeCell ref="A9:A12"/>
    <mergeCell ref="C29:C31"/>
    <mergeCell ref="B37:B39"/>
    <mergeCell ref="G65:G68"/>
    <mergeCell ref="G69:G72"/>
    <mergeCell ref="G73:G76"/>
    <mergeCell ref="G77:G80"/>
    <mergeCell ref="B21:B23"/>
    <mergeCell ref="G5:G8"/>
    <mergeCell ref="A2:A3"/>
    <mergeCell ref="G21:G24"/>
    <mergeCell ref="G25:G28"/>
    <mergeCell ref="G29:G32"/>
    <mergeCell ref="G33:G36"/>
    <mergeCell ref="G37:G40"/>
    <mergeCell ref="C53:C55"/>
    <mergeCell ref="A41:A44"/>
    <mergeCell ref="G57:G60"/>
    <mergeCell ref="G45:G48"/>
    <mergeCell ref="G49:G52"/>
    <mergeCell ref="G53:G56"/>
    <mergeCell ref="G61:G64"/>
    <mergeCell ref="B41:B43"/>
    <mergeCell ref="C9:C11"/>
    <mergeCell ref="A21:A24"/>
    <mergeCell ref="C21:C23"/>
    <mergeCell ref="A5:A8"/>
    <mergeCell ref="C161:C163"/>
    <mergeCell ref="A153:A156"/>
    <mergeCell ref="G89:G92"/>
    <mergeCell ref="G117:G120"/>
    <mergeCell ref="A81:A84"/>
    <mergeCell ref="A69:A72"/>
    <mergeCell ref="B117:B119"/>
    <mergeCell ref="A129:A132"/>
    <mergeCell ref="C137:C139"/>
    <mergeCell ref="B137:B139"/>
    <mergeCell ref="C129:C131"/>
    <mergeCell ref="A121:A124"/>
    <mergeCell ref="A137:A140"/>
    <mergeCell ref="G133:G136"/>
    <mergeCell ref="G113:G116"/>
    <mergeCell ref="G109:G112"/>
    <mergeCell ref="G97:G100"/>
    <mergeCell ref="G105:G108"/>
    <mergeCell ref="A101:A104"/>
    <mergeCell ref="B101:B103"/>
    <mergeCell ref="C101:C103"/>
    <mergeCell ref="C121:C123"/>
    <mergeCell ref="B113:B115"/>
    <mergeCell ref="A125:A128"/>
    <mergeCell ref="H161:H164"/>
    <mergeCell ref="A105:A108"/>
    <mergeCell ref="B133:B135"/>
    <mergeCell ref="C113:C115"/>
    <mergeCell ref="B125:B127"/>
    <mergeCell ref="C117:C119"/>
    <mergeCell ref="G161:G164"/>
    <mergeCell ref="G121:G124"/>
    <mergeCell ref="G153:G156"/>
    <mergeCell ref="G137:G140"/>
    <mergeCell ref="G129:G132"/>
    <mergeCell ref="G141:G144"/>
    <mergeCell ref="G145:G148"/>
    <mergeCell ref="B157:B159"/>
    <mergeCell ref="A157:A160"/>
    <mergeCell ref="B145:B147"/>
    <mergeCell ref="H157:H160"/>
    <mergeCell ref="A161:A164"/>
    <mergeCell ref="B153:B155"/>
    <mergeCell ref="C157:C159"/>
    <mergeCell ref="A149:A152"/>
    <mergeCell ref="B149:B151"/>
    <mergeCell ref="C149:C151"/>
    <mergeCell ref="B161:B163"/>
    <mergeCell ref="G149:G152"/>
    <mergeCell ref="G157:G160"/>
    <mergeCell ref="C141:C143"/>
    <mergeCell ref="H149:H152"/>
    <mergeCell ref="H145:H148"/>
    <mergeCell ref="H141:H144"/>
    <mergeCell ref="B141:B143"/>
    <mergeCell ref="C89:C91"/>
    <mergeCell ref="A77:A80"/>
    <mergeCell ref="C97:C99"/>
    <mergeCell ref="A89:A92"/>
    <mergeCell ref="B89:B91"/>
    <mergeCell ref="B81:B83"/>
    <mergeCell ref="C145:C147"/>
    <mergeCell ref="A133:A136"/>
    <mergeCell ref="B129:B131"/>
    <mergeCell ref="B109:B111"/>
    <mergeCell ref="H89:H92"/>
    <mergeCell ref="H93:H96"/>
    <mergeCell ref="B97:B99"/>
    <mergeCell ref="H153:H156"/>
    <mergeCell ref="C153:C155"/>
    <mergeCell ref="H137:H140"/>
    <mergeCell ref="H121:H124"/>
  </mergeCells>
  <pageMargins left="0.7" right="0.7" top="0.75" bottom="0.75" header="0.3" footer="0.3"/>
  <pageSetup paperSize="10000" fitToWidth="0" fitToHeight="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V296"/>
  <sheetViews>
    <sheetView showGridLines="0" topLeftCell="A28" workbookViewId="0">
      <selection activeCell="O9" sqref="O9"/>
    </sheetView>
  </sheetViews>
  <sheetFormatPr defaultColWidth="9" defaultRowHeight="15.75"/>
  <cols>
    <col min="1" max="1" width="2.7109375" style="179" customWidth="1"/>
    <col min="2" max="2" width="4.5703125" style="180" customWidth="1"/>
    <col min="3" max="3" width="13.28515625" style="180" customWidth="1"/>
    <col min="4" max="4" width="2.7109375" style="180" customWidth="1"/>
    <col min="5" max="5" width="2.28515625" style="180" customWidth="1"/>
    <col min="6" max="6" width="7.7109375" style="180" customWidth="1"/>
    <col min="7" max="7" width="6.28515625" style="180" customWidth="1"/>
    <col min="8" max="8" width="7.7109375" style="180" customWidth="1"/>
    <col min="9" max="9" width="8.140625" style="180" customWidth="1"/>
    <col min="10" max="10" width="12.7109375" style="180" customWidth="1"/>
    <col min="11" max="11" width="15" style="180" customWidth="1"/>
    <col min="12" max="12" width="13.7109375" style="180" customWidth="1"/>
    <col min="13" max="13" width="1.42578125" style="181" customWidth="1"/>
    <col min="14" max="14" width="7.5703125" style="182" customWidth="1"/>
    <col min="15" max="15" width="9.140625" style="183" customWidth="1"/>
    <col min="16" max="16" width="13.5703125" style="184" customWidth="1"/>
    <col min="17" max="18" width="50.7109375" style="184" customWidth="1"/>
    <col min="19" max="19" width="9.140625" style="185" customWidth="1"/>
    <col min="20" max="20" width="25.28515625" style="186" customWidth="1"/>
    <col min="21" max="21" width="11.140625" style="186" customWidth="1"/>
    <col min="22" max="22" width="52.5703125" style="187" customWidth="1"/>
    <col min="23" max="23" width="61.5703125" style="187" customWidth="1"/>
    <col min="24" max="26" width="9.140625" style="183" customWidth="1"/>
    <col min="27" max="256" width="9.140625" style="188" customWidth="1"/>
  </cols>
  <sheetData>
    <row r="1" spans="1:33">
      <c r="A1" s="189" t="s">
        <v>186</v>
      </c>
      <c r="C1" s="189"/>
      <c r="D1" s="190" t="s">
        <v>3</v>
      </c>
      <c r="E1" s="191" t="s">
        <v>188</v>
      </c>
      <c r="G1" s="192"/>
      <c r="H1" s="192"/>
      <c r="K1" s="189" t="s">
        <v>59</v>
      </c>
      <c r="L1" s="193" t="str">
        <f>": "&amp;Biodata!C4</f>
        <v>:  X / IPS_5</v>
      </c>
      <c r="M1" s="194"/>
      <c r="O1" s="598">
        <v>3</v>
      </c>
      <c r="P1" s="638"/>
      <c r="R1" s="195"/>
    </row>
    <row r="2" spans="1:33">
      <c r="A2" s="189" t="s">
        <v>187</v>
      </c>
      <c r="C2" s="193"/>
      <c r="D2" s="190" t="s">
        <v>3</v>
      </c>
      <c r="E2" s="196" t="s">
        <v>189</v>
      </c>
      <c r="G2" s="193"/>
      <c r="H2" s="193"/>
      <c r="K2" s="192" t="s">
        <v>13</v>
      </c>
      <c r="L2" s="193" t="str">
        <f>":  "&amp;LEGER!N2</f>
        <v>:  1 / Ganjil</v>
      </c>
      <c r="M2" s="194"/>
      <c r="O2" s="598"/>
      <c r="P2" s="638"/>
      <c r="R2" s="195"/>
    </row>
    <row r="3" spans="1:33">
      <c r="A3" s="189" t="s">
        <v>14</v>
      </c>
      <c r="C3" s="193"/>
      <c r="D3" s="190" t="s">
        <v>3</v>
      </c>
      <c r="E3" s="644" t="str">
        <f>VLOOKUP(nomor,Biodata,3,0)</f>
        <v>AGUNG BUDI PRASTAWA</v>
      </c>
      <c r="F3" s="644"/>
      <c r="G3" s="644"/>
      <c r="H3" s="644"/>
      <c r="I3" s="644"/>
      <c r="J3" s="644"/>
      <c r="K3" s="192" t="s">
        <v>47</v>
      </c>
      <c r="L3" s="193" t="str">
        <f>":  "&amp;LEGER!N3</f>
        <v>:  2018 / 2019</v>
      </c>
      <c r="M3" s="194"/>
      <c r="O3" s="197"/>
      <c r="P3" s="198">
        <v>11671040</v>
      </c>
    </row>
    <row r="4" spans="1:33">
      <c r="A4" s="199" t="s">
        <v>190</v>
      </c>
      <c r="B4" s="200"/>
      <c r="C4" s="201"/>
      <c r="D4" s="202" t="s">
        <v>3</v>
      </c>
      <c r="E4" s="643" t="str">
        <f>VLOOKUP(nomor,Biodata,2,0)</f>
        <v>181910014</v>
      </c>
      <c r="F4" s="643"/>
      <c r="G4" s="643"/>
      <c r="H4" s="203" t="str">
        <f>"/    "&amp;IFERROR(VLOOKUP(nomor,Biodata!A9:D50,4,0),"")</f>
        <v>/    -</v>
      </c>
      <c r="I4" s="199"/>
      <c r="J4" s="199"/>
      <c r="K4" s="199"/>
      <c r="L4" s="199"/>
      <c r="M4" s="194"/>
      <c r="O4" s="204"/>
      <c r="P4" s="205"/>
      <c r="Q4" s="206"/>
      <c r="R4" s="206"/>
      <c r="W4" s="207"/>
      <c r="X4" s="208"/>
    </row>
    <row r="5" spans="1:33">
      <c r="A5" s="209"/>
      <c r="B5" s="189"/>
      <c r="C5" s="189"/>
      <c r="D5" s="189"/>
      <c r="E5" s="190"/>
      <c r="F5" s="210"/>
      <c r="G5" s="211"/>
      <c r="H5" s="212"/>
      <c r="I5" s="189"/>
      <c r="J5" s="189"/>
      <c r="K5" s="189"/>
      <c r="L5" s="189"/>
      <c r="M5" s="194"/>
      <c r="O5" s="213"/>
      <c r="P5" s="206"/>
      <c r="Q5" s="206"/>
      <c r="R5" s="206"/>
      <c r="W5" s="207"/>
      <c r="X5" s="208"/>
    </row>
    <row r="6" spans="1:33" ht="18.75">
      <c r="A6" s="209"/>
      <c r="B6" s="639" t="s">
        <v>61</v>
      </c>
      <c r="C6" s="639"/>
      <c r="D6" s="639"/>
      <c r="E6" s="639"/>
      <c r="F6" s="639"/>
      <c r="G6" s="639"/>
      <c r="H6" s="639"/>
      <c r="I6" s="639"/>
      <c r="J6" s="639"/>
      <c r="K6" s="639"/>
      <c r="L6" s="639"/>
      <c r="M6" s="190"/>
      <c r="W6" s="207"/>
      <c r="X6" s="208"/>
    </row>
    <row r="7" spans="1:33" ht="24.95" customHeight="1">
      <c r="A7" s="196" t="s">
        <v>271</v>
      </c>
      <c r="B7" s="193"/>
      <c r="C7" s="189"/>
      <c r="D7" s="189"/>
      <c r="E7" s="189"/>
      <c r="F7" s="189"/>
      <c r="G7" s="189"/>
      <c r="H7" s="189"/>
      <c r="I7" s="189"/>
      <c r="J7" s="189"/>
      <c r="K7" s="189"/>
      <c r="L7" s="189"/>
      <c r="M7" s="214"/>
      <c r="W7" s="207"/>
      <c r="X7" s="208"/>
    </row>
    <row r="8" spans="1:33" ht="24.95" customHeight="1">
      <c r="A8" s="209"/>
      <c r="B8" s="215" t="s">
        <v>62</v>
      </c>
      <c r="C8" s="216"/>
      <c r="D8" s="216"/>
      <c r="E8" s="216"/>
      <c r="F8" s="216"/>
      <c r="G8" s="216"/>
      <c r="H8" s="216"/>
      <c r="I8" s="216"/>
      <c r="J8" s="216"/>
      <c r="K8" s="216"/>
      <c r="L8" s="216"/>
      <c r="M8" s="214"/>
      <c r="O8" s="217"/>
      <c r="P8" s="218"/>
      <c r="Q8" s="219" t="s">
        <v>74</v>
      </c>
      <c r="R8" s="219" t="s">
        <v>73</v>
      </c>
      <c r="T8" s="569" t="s">
        <v>155</v>
      </c>
      <c r="U8" s="569"/>
      <c r="V8" s="569"/>
      <c r="W8" s="569"/>
      <c r="X8" s="208"/>
    </row>
    <row r="9" spans="1:33" ht="50.1" customHeight="1">
      <c r="A9" s="209"/>
      <c r="B9" s="624" t="s">
        <v>4</v>
      </c>
      <c r="C9" s="609"/>
      <c r="D9" s="220"/>
      <c r="E9" s="608" t="s">
        <v>64</v>
      </c>
      <c r="F9" s="608"/>
      <c r="G9" s="608"/>
      <c r="H9" s="608"/>
      <c r="I9" s="608"/>
      <c r="J9" s="608"/>
      <c r="K9" s="608"/>
      <c r="L9" s="609"/>
      <c r="M9" s="214"/>
      <c r="O9" s="217"/>
      <c r="P9" s="221" t="s">
        <v>71</v>
      </c>
      <c r="Q9" s="222" t="s">
        <v>156</v>
      </c>
      <c r="R9" s="222" t="s">
        <v>156</v>
      </c>
      <c r="T9" s="223" t="s">
        <v>148</v>
      </c>
      <c r="U9" s="223" t="s">
        <v>71</v>
      </c>
      <c r="V9" s="223" t="s">
        <v>75</v>
      </c>
      <c r="W9" s="224" t="s">
        <v>147</v>
      </c>
      <c r="X9" s="208"/>
    </row>
    <row r="10" spans="1:33" ht="50.1" customHeight="1">
      <c r="A10" s="209"/>
      <c r="B10" s="620" t="str">
        <f>IFERROR(VLOOKUP($E$4&amp;"a",leggerx1,20,0),"")</f>
        <v>B</v>
      </c>
      <c r="C10" s="621"/>
      <c r="D10" s="225"/>
      <c r="E10" s="610" t="str">
        <f>IFERROR(VLOOKUP(B10,$P$10:$Q$13,2,0),"")</f>
        <v>Selalu bersyukur dan selalu berdoa sebelum melakukan kegiatan, memiliki toleran pada agama yang berbeda, ketaatan beribadah mulai berkembang.</v>
      </c>
      <c r="F10" s="610"/>
      <c r="G10" s="610"/>
      <c r="H10" s="610"/>
      <c r="I10" s="610"/>
      <c r="J10" s="610"/>
      <c r="K10" s="610"/>
      <c r="L10" s="611"/>
      <c r="M10" s="214"/>
      <c r="O10" s="217"/>
      <c r="P10" s="226" t="s">
        <v>288</v>
      </c>
      <c r="Q10" s="227" t="s">
        <v>169</v>
      </c>
      <c r="R10" s="227" t="s">
        <v>172</v>
      </c>
      <c r="S10" s="228"/>
      <c r="T10" s="565" t="str">
        <f>C35</f>
        <v>Pendidikan Agama dan Budi Pekerti</v>
      </c>
      <c r="U10" s="226" t="s">
        <v>7</v>
      </c>
      <c r="V10" s="229" t="s">
        <v>310</v>
      </c>
      <c r="W10" s="230" t="s">
        <v>311</v>
      </c>
      <c r="X10" s="208"/>
    </row>
    <row r="11" spans="1:33" ht="50.1" customHeight="1">
      <c r="A11" s="209"/>
      <c r="B11" s="620"/>
      <c r="C11" s="621"/>
      <c r="D11" s="225"/>
      <c r="E11" s="610"/>
      <c r="F11" s="610"/>
      <c r="G11" s="610"/>
      <c r="H11" s="610"/>
      <c r="I11" s="610"/>
      <c r="J11" s="610"/>
      <c r="K11" s="610"/>
      <c r="L11" s="611"/>
      <c r="M11" s="214"/>
      <c r="O11" s="217"/>
      <c r="P11" s="226" t="s">
        <v>6</v>
      </c>
      <c r="Q11" s="227" t="s">
        <v>170</v>
      </c>
      <c r="R11" s="227" t="s">
        <v>173</v>
      </c>
      <c r="S11" s="231"/>
      <c r="T11" s="565"/>
      <c r="U11" s="226" t="s">
        <v>6</v>
      </c>
      <c r="V11" s="229" t="s">
        <v>308</v>
      </c>
      <c r="W11" s="232" t="s">
        <v>307</v>
      </c>
      <c r="X11" s="208"/>
    </row>
    <row r="12" spans="1:33" ht="50.1" customHeight="1">
      <c r="A12" s="209"/>
      <c r="B12" s="622"/>
      <c r="C12" s="623"/>
      <c r="D12" s="233"/>
      <c r="E12" s="612"/>
      <c r="F12" s="612"/>
      <c r="G12" s="612"/>
      <c r="H12" s="612"/>
      <c r="I12" s="612"/>
      <c r="J12" s="612"/>
      <c r="K12" s="612"/>
      <c r="L12" s="613"/>
      <c r="M12" s="214"/>
      <c r="O12" s="217"/>
      <c r="P12" s="226" t="s">
        <v>18</v>
      </c>
      <c r="Q12" s="227" t="s">
        <v>171</v>
      </c>
      <c r="R12" s="227" t="s">
        <v>174</v>
      </c>
      <c r="S12" s="228"/>
      <c r="T12" s="565"/>
      <c r="U12" s="226" t="s">
        <v>18</v>
      </c>
      <c r="V12" s="229" t="s">
        <v>305</v>
      </c>
      <c r="W12" s="232" t="s">
        <v>309</v>
      </c>
      <c r="X12" s="208"/>
    </row>
    <row r="13" spans="1:33" s="234" customFormat="1" ht="35.1" customHeight="1">
      <c r="A13" s="209"/>
      <c r="B13" s="216"/>
      <c r="C13" s="235"/>
      <c r="D13" s="235"/>
      <c r="E13" s="236"/>
      <c r="F13" s="236"/>
      <c r="G13" s="236"/>
      <c r="H13" s="236"/>
      <c r="I13" s="236"/>
      <c r="J13" s="236"/>
      <c r="K13" s="236"/>
      <c r="L13" s="236"/>
      <c r="M13" s="214"/>
      <c r="N13" s="237"/>
      <c r="O13" s="217"/>
      <c r="P13" s="226" t="s">
        <v>297</v>
      </c>
      <c r="Q13" s="227" t="s">
        <v>181</v>
      </c>
      <c r="R13" s="227" t="s">
        <v>182</v>
      </c>
      <c r="S13" s="228"/>
      <c r="T13" s="565"/>
      <c r="U13" s="226" t="s">
        <v>19</v>
      </c>
      <c r="V13" s="229" t="s">
        <v>306</v>
      </c>
      <c r="W13" s="232" t="s">
        <v>304</v>
      </c>
      <c r="X13" s="208"/>
      <c r="Y13" s="183"/>
      <c r="Z13" s="183"/>
      <c r="AA13" s="188"/>
      <c r="AB13" s="188"/>
      <c r="AC13" s="188"/>
      <c r="AD13" s="188"/>
      <c r="AE13" s="188"/>
      <c r="AF13" s="188"/>
      <c r="AG13" s="188"/>
    </row>
    <row r="14" spans="1:33" ht="30" customHeight="1">
      <c r="A14" s="209"/>
      <c r="B14" s="193" t="s">
        <v>63</v>
      </c>
      <c r="C14" s="189"/>
      <c r="D14" s="189"/>
      <c r="E14" s="189"/>
      <c r="F14" s="189"/>
      <c r="G14" s="189"/>
      <c r="H14" s="189"/>
      <c r="I14" s="189"/>
      <c r="J14" s="189"/>
      <c r="K14" s="189"/>
      <c r="L14" s="189"/>
      <c r="M14" s="214"/>
      <c r="O14" s="217"/>
      <c r="P14" s="238"/>
      <c r="Q14" s="238"/>
      <c r="T14" s="565" t="str">
        <f>C36</f>
        <v>Pendidikan Pancasila dan Kewarganegaraan</v>
      </c>
      <c r="U14" s="226" t="s">
        <v>7</v>
      </c>
      <c r="V14" s="229" t="s">
        <v>310</v>
      </c>
      <c r="W14" s="230" t="s">
        <v>311</v>
      </c>
      <c r="X14" s="208"/>
    </row>
    <row r="15" spans="1:33" ht="50.1" customHeight="1">
      <c r="A15" s="209"/>
      <c r="B15" s="624" t="s">
        <v>4</v>
      </c>
      <c r="C15" s="609"/>
      <c r="D15" s="220"/>
      <c r="E15" s="608" t="s">
        <v>64</v>
      </c>
      <c r="F15" s="608"/>
      <c r="G15" s="608"/>
      <c r="H15" s="608"/>
      <c r="I15" s="608"/>
      <c r="J15" s="608"/>
      <c r="K15" s="608"/>
      <c r="L15" s="609"/>
      <c r="M15" s="214"/>
      <c r="O15" s="217"/>
      <c r="P15" s="239"/>
      <c r="T15" s="565"/>
      <c r="U15" s="226" t="s">
        <v>6</v>
      </c>
      <c r="V15" s="229" t="s">
        <v>308</v>
      </c>
      <c r="W15" s="232" t="s">
        <v>307</v>
      </c>
      <c r="X15" s="208"/>
    </row>
    <row r="16" spans="1:33" ht="50.1" customHeight="1">
      <c r="A16" s="209"/>
      <c r="B16" s="620" t="str">
        <f>IFERROR(VLOOKUP($E$4&amp;"a",leggerx1,21,0),"")</f>
        <v>B</v>
      </c>
      <c r="C16" s="621"/>
      <c r="D16" s="225"/>
      <c r="E16" s="614" t="str">
        <f>IFERROR(VLOOKUP(B16,$P$10:$R$13,3,0),"")</f>
        <v>Memiliki sikap santun, disiplin, tanggung jawab yang baik, sikap kepedulian mulai meningkat.</v>
      </c>
      <c r="F16" s="614"/>
      <c r="G16" s="614"/>
      <c r="H16" s="614"/>
      <c r="I16" s="614"/>
      <c r="J16" s="614"/>
      <c r="K16" s="614"/>
      <c r="L16" s="615"/>
      <c r="M16" s="214"/>
      <c r="O16" s="217"/>
      <c r="P16" s="240"/>
      <c r="Q16" s="241"/>
      <c r="R16" s="242"/>
      <c r="T16" s="565"/>
      <c r="U16" s="226" t="s">
        <v>18</v>
      </c>
      <c r="V16" s="229" t="s">
        <v>305</v>
      </c>
      <c r="W16" s="232" t="s">
        <v>309</v>
      </c>
      <c r="X16" s="208"/>
    </row>
    <row r="17" spans="1:26" ht="50.1" customHeight="1">
      <c r="A17" s="209"/>
      <c r="B17" s="620"/>
      <c r="C17" s="621"/>
      <c r="D17" s="225"/>
      <c r="E17" s="616"/>
      <c r="F17" s="616"/>
      <c r="G17" s="616"/>
      <c r="H17" s="616"/>
      <c r="I17" s="616"/>
      <c r="J17" s="616"/>
      <c r="K17" s="616"/>
      <c r="L17" s="617"/>
      <c r="M17" s="214"/>
      <c r="O17" s="217"/>
      <c r="P17" s="240"/>
      <c r="Q17" s="241"/>
      <c r="R17" s="243"/>
      <c r="S17" s="244"/>
      <c r="T17" s="565"/>
      <c r="U17" s="226" t="s">
        <v>19</v>
      </c>
      <c r="V17" s="229" t="s">
        <v>306</v>
      </c>
      <c r="W17" s="232" t="s">
        <v>304</v>
      </c>
      <c r="X17" s="208"/>
    </row>
    <row r="18" spans="1:26" ht="50.1" customHeight="1">
      <c r="A18" s="209"/>
      <c r="B18" s="622"/>
      <c r="C18" s="623"/>
      <c r="D18" s="233"/>
      <c r="E18" s="618"/>
      <c r="F18" s="618"/>
      <c r="G18" s="618"/>
      <c r="H18" s="618"/>
      <c r="I18" s="618"/>
      <c r="J18" s="618"/>
      <c r="K18" s="618"/>
      <c r="L18" s="619"/>
      <c r="M18" s="214"/>
      <c r="O18" s="217"/>
      <c r="P18" s="240"/>
      <c r="Q18" s="241"/>
      <c r="R18" s="243"/>
      <c r="S18" s="244"/>
      <c r="T18" s="565" t="str">
        <f>C37</f>
        <v>Bahasa Indonesia</v>
      </c>
      <c r="U18" s="226" t="s">
        <v>7</v>
      </c>
      <c r="V18" s="229" t="s">
        <v>310</v>
      </c>
      <c r="W18" s="230" t="s">
        <v>311</v>
      </c>
      <c r="X18" s="208"/>
    </row>
    <row r="19" spans="1:26" s="245" customFormat="1" ht="14.1" customHeight="1">
      <c r="A19" s="246"/>
      <c r="B19" s="247"/>
      <c r="C19" s="248"/>
      <c r="D19" s="248"/>
      <c r="E19" s="249"/>
      <c r="F19" s="249"/>
      <c r="G19" s="249"/>
      <c r="H19" s="249"/>
      <c r="I19" s="249"/>
      <c r="J19" s="249"/>
      <c r="K19" s="249"/>
      <c r="L19" s="249"/>
      <c r="M19" s="247"/>
      <c r="N19" s="250"/>
      <c r="O19" s="251"/>
      <c r="P19" s="252"/>
      <c r="Q19" s="186"/>
      <c r="R19" s="253"/>
      <c r="S19" s="254"/>
      <c r="T19" s="565"/>
      <c r="U19" s="226" t="s">
        <v>6</v>
      </c>
      <c r="V19" s="229" t="s">
        <v>308</v>
      </c>
      <c r="W19" s="232" t="s">
        <v>307</v>
      </c>
      <c r="X19" s="207"/>
      <c r="Y19" s="187"/>
      <c r="Z19" s="187"/>
    </row>
    <row r="20" spans="1:26" s="245" customFormat="1" ht="14.1" customHeight="1">
      <c r="A20" s="246"/>
      <c r="B20" s="247"/>
      <c r="C20" s="248"/>
      <c r="D20" s="248"/>
      <c r="E20" s="249"/>
      <c r="F20" s="249"/>
      <c r="G20" s="249"/>
      <c r="H20" s="249"/>
      <c r="I20" s="249"/>
      <c r="J20" s="249"/>
      <c r="K20" s="249"/>
      <c r="L20" s="249"/>
      <c r="M20" s="247"/>
      <c r="N20" s="250"/>
      <c r="O20" s="251"/>
      <c r="P20" s="252"/>
      <c r="Q20" s="186"/>
      <c r="R20" s="255"/>
      <c r="S20" s="254"/>
      <c r="T20" s="565"/>
      <c r="U20" s="226" t="s">
        <v>18</v>
      </c>
      <c r="V20" s="229" t="s">
        <v>305</v>
      </c>
      <c r="W20" s="232" t="s">
        <v>309</v>
      </c>
      <c r="X20" s="207"/>
      <c r="Y20" s="187"/>
      <c r="Z20" s="187"/>
    </row>
    <row r="21" spans="1:26" s="245" customFormat="1" ht="14.1" customHeight="1">
      <c r="A21" s="246"/>
      <c r="B21" s="247"/>
      <c r="C21" s="248"/>
      <c r="D21" s="248"/>
      <c r="E21" s="249"/>
      <c r="F21" s="249"/>
      <c r="G21" s="249"/>
      <c r="H21" s="249"/>
      <c r="I21" s="249"/>
      <c r="J21" s="249"/>
      <c r="K21" s="249"/>
      <c r="L21" s="249"/>
      <c r="M21" s="247"/>
      <c r="N21" s="250"/>
      <c r="O21" s="251"/>
      <c r="P21" s="252"/>
      <c r="Q21" s="253"/>
      <c r="R21" s="253"/>
      <c r="S21" s="254"/>
      <c r="T21" s="565"/>
      <c r="U21" s="226" t="s">
        <v>19</v>
      </c>
      <c r="V21" s="229" t="s">
        <v>306</v>
      </c>
      <c r="W21" s="232" t="s">
        <v>304</v>
      </c>
      <c r="X21" s="207"/>
      <c r="Y21" s="187"/>
      <c r="Z21" s="187"/>
    </row>
    <row r="22" spans="1:26" s="245" customFormat="1" ht="14.1" customHeight="1">
      <c r="A22" s="246"/>
      <c r="B22" s="247"/>
      <c r="C22" s="248"/>
      <c r="D22" s="248"/>
      <c r="E22" s="249"/>
      <c r="F22" s="249"/>
      <c r="G22" s="249"/>
      <c r="H22" s="249"/>
      <c r="I22" s="249"/>
      <c r="J22" s="249"/>
      <c r="K22" s="249"/>
      <c r="L22" s="249"/>
      <c r="M22" s="247"/>
      <c r="N22" s="250"/>
      <c r="O22" s="251"/>
      <c r="P22" s="252"/>
      <c r="Q22" s="253"/>
      <c r="R22" s="253"/>
      <c r="S22" s="254"/>
      <c r="T22" s="565" t="str">
        <f>C38</f>
        <v>Matematika</v>
      </c>
      <c r="U22" s="226" t="s">
        <v>7</v>
      </c>
      <c r="V22" s="229" t="s">
        <v>310</v>
      </c>
      <c r="W22" s="230" t="s">
        <v>311</v>
      </c>
      <c r="X22" s="207"/>
      <c r="Y22" s="187"/>
      <c r="Z22" s="187"/>
    </row>
    <row r="23" spans="1:26" s="245" customFormat="1" ht="14.1" customHeight="1">
      <c r="A23" s="246"/>
      <c r="B23" s="247"/>
      <c r="C23" s="248"/>
      <c r="D23" s="248"/>
      <c r="E23" s="249"/>
      <c r="F23" s="249"/>
      <c r="G23" s="249"/>
      <c r="H23" s="249"/>
      <c r="I23" s="249"/>
      <c r="J23" s="249"/>
      <c r="K23" s="249"/>
      <c r="L23" s="249"/>
      <c r="M23" s="247"/>
      <c r="N23" s="250"/>
      <c r="O23" s="251"/>
      <c r="P23" s="252"/>
      <c r="Q23" s="253"/>
      <c r="R23" s="253"/>
      <c r="S23" s="254"/>
      <c r="T23" s="565"/>
      <c r="U23" s="226" t="s">
        <v>6</v>
      </c>
      <c r="V23" s="229" t="s">
        <v>308</v>
      </c>
      <c r="W23" s="232" t="s">
        <v>307</v>
      </c>
      <c r="X23" s="207"/>
      <c r="Y23" s="187"/>
      <c r="Z23" s="187"/>
    </row>
    <row r="24" spans="1:26" s="245" customFormat="1" ht="14.1" customHeight="1">
      <c r="A24" s="246"/>
      <c r="B24" s="247"/>
      <c r="C24" s="248"/>
      <c r="D24" s="248"/>
      <c r="E24" s="249"/>
      <c r="F24" s="249"/>
      <c r="G24" s="249"/>
      <c r="H24" s="249"/>
      <c r="I24" s="249"/>
      <c r="J24" s="249"/>
      <c r="K24" s="249"/>
      <c r="L24" s="249"/>
      <c r="M24" s="247"/>
      <c r="N24" s="250"/>
      <c r="O24" s="251"/>
      <c r="P24" s="252"/>
      <c r="Q24" s="253"/>
      <c r="R24" s="253"/>
      <c r="S24" s="254"/>
      <c r="T24" s="565"/>
      <c r="U24" s="226" t="s">
        <v>18</v>
      </c>
      <c r="V24" s="229" t="s">
        <v>305</v>
      </c>
      <c r="W24" s="232" t="s">
        <v>309</v>
      </c>
      <c r="X24" s="207"/>
      <c r="Y24" s="187"/>
      <c r="Z24" s="187"/>
    </row>
    <row r="25" spans="1:26" s="245" customFormat="1" ht="14.1" customHeight="1">
      <c r="A25" s="246"/>
      <c r="B25" s="247"/>
      <c r="C25" s="248"/>
      <c r="D25" s="248"/>
      <c r="E25" s="249"/>
      <c r="F25" s="249"/>
      <c r="G25" s="249"/>
      <c r="H25" s="249"/>
      <c r="I25" s="249"/>
      <c r="J25" s="249"/>
      <c r="K25" s="249"/>
      <c r="L25" s="249"/>
      <c r="M25" s="247"/>
      <c r="N25" s="250"/>
      <c r="O25" s="251"/>
      <c r="P25" s="252"/>
      <c r="Q25" s="253"/>
      <c r="R25" s="253"/>
      <c r="S25" s="254"/>
      <c r="T25" s="565"/>
      <c r="U25" s="226" t="s">
        <v>19</v>
      </c>
      <c r="V25" s="229" t="s">
        <v>306</v>
      </c>
      <c r="W25" s="232" t="s">
        <v>304</v>
      </c>
      <c r="X25" s="207"/>
      <c r="Y25" s="187"/>
      <c r="Z25" s="187"/>
    </row>
    <row r="26" spans="1:26" s="245" customFormat="1" ht="14.1" customHeight="1">
      <c r="A26" s="246"/>
      <c r="B26" s="247"/>
      <c r="C26" s="248"/>
      <c r="D26" s="248"/>
      <c r="E26" s="249"/>
      <c r="F26" s="249"/>
      <c r="G26" s="249"/>
      <c r="H26" s="249"/>
      <c r="I26" s="249"/>
      <c r="J26" s="249"/>
      <c r="K26" s="249"/>
      <c r="L26" s="249"/>
      <c r="M26" s="247"/>
      <c r="N26" s="250"/>
      <c r="O26" s="251"/>
      <c r="P26" s="252"/>
      <c r="Q26" s="253"/>
      <c r="R26" s="253"/>
      <c r="S26" s="254"/>
      <c r="T26" s="565" t="str">
        <f>C39</f>
        <v>Sejarah Indonesia</v>
      </c>
      <c r="U26" s="226" t="s">
        <v>7</v>
      </c>
      <c r="V26" s="229" t="s">
        <v>310</v>
      </c>
      <c r="W26" s="230" t="s">
        <v>311</v>
      </c>
      <c r="X26" s="207"/>
      <c r="Y26" s="187"/>
      <c r="Z26" s="187"/>
    </row>
    <row r="27" spans="1:26" s="245" customFormat="1" ht="14.1" customHeight="1">
      <c r="A27" s="246"/>
      <c r="B27" s="247"/>
      <c r="C27" s="248"/>
      <c r="D27" s="248"/>
      <c r="E27" s="249"/>
      <c r="F27" s="249"/>
      <c r="G27" s="249"/>
      <c r="H27" s="249"/>
      <c r="I27" s="249"/>
      <c r="J27" s="249"/>
      <c r="K27" s="249"/>
      <c r="L27" s="249"/>
      <c r="M27" s="247"/>
      <c r="N27" s="250"/>
      <c r="O27" s="251"/>
      <c r="P27" s="252"/>
      <c r="Q27" s="253"/>
      <c r="R27" s="253"/>
      <c r="S27" s="254"/>
      <c r="T27" s="565"/>
      <c r="U27" s="226" t="s">
        <v>6</v>
      </c>
      <c r="V27" s="229" t="s">
        <v>308</v>
      </c>
      <c r="W27" s="232" t="s">
        <v>307</v>
      </c>
      <c r="X27" s="207"/>
      <c r="Y27" s="187"/>
      <c r="Z27" s="187"/>
    </row>
    <row r="28" spans="1:26" s="245" customFormat="1" ht="14.1" customHeight="1">
      <c r="A28" s="246"/>
      <c r="B28" s="247"/>
      <c r="C28" s="248"/>
      <c r="D28" s="248"/>
      <c r="E28" s="249"/>
      <c r="F28" s="249"/>
      <c r="G28" s="249"/>
      <c r="H28" s="249"/>
      <c r="I28" s="249"/>
      <c r="J28" s="249"/>
      <c r="K28" s="249"/>
      <c r="L28" s="249"/>
      <c r="M28" s="247"/>
      <c r="N28" s="250"/>
      <c r="O28" s="251"/>
      <c r="P28" s="252"/>
      <c r="Q28" s="253"/>
      <c r="R28" s="253"/>
      <c r="S28" s="254"/>
      <c r="T28" s="565"/>
      <c r="U28" s="226" t="s">
        <v>18</v>
      </c>
      <c r="V28" s="229" t="s">
        <v>305</v>
      </c>
      <c r="W28" s="232" t="s">
        <v>309</v>
      </c>
      <c r="X28" s="207"/>
      <c r="Y28" s="187"/>
      <c r="Z28" s="187"/>
    </row>
    <row r="29" spans="1:26" s="245" customFormat="1" ht="14.1" customHeight="1">
      <c r="A29" s="246"/>
      <c r="B29" s="247"/>
      <c r="C29" s="248"/>
      <c r="D29" s="248"/>
      <c r="E29" s="249"/>
      <c r="F29" s="249"/>
      <c r="G29" s="249"/>
      <c r="H29" s="249"/>
      <c r="I29" s="249"/>
      <c r="J29" s="249"/>
      <c r="K29" s="249"/>
      <c r="L29" s="249"/>
      <c r="M29" s="247"/>
      <c r="N29" s="250"/>
      <c r="O29" s="251"/>
      <c r="P29" s="252"/>
      <c r="Q29" s="253"/>
      <c r="R29" s="253"/>
      <c r="S29" s="254"/>
      <c r="T29" s="565"/>
      <c r="U29" s="226" t="s">
        <v>19</v>
      </c>
      <c r="V29" s="229" t="s">
        <v>306</v>
      </c>
      <c r="W29" s="232" t="s">
        <v>304</v>
      </c>
      <c r="X29" s="207"/>
      <c r="Y29" s="187"/>
      <c r="Z29" s="187"/>
    </row>
    <row r="30" spans="1:26" s="245" customFormat="1" ht="14.1" customHeight="1">
      <c r="A30" s="246"/>
      <c r="B30" s="247"/>
      <c r="C30" s="248"/>
      <c r="D30" s="248"/>
      <c r="E30" s="249"/>
      <c r="F30" s="249"/>
      <c r="G30" s="249"/>
      <c r="H30" s="249"/>
      <c r="I30" s="249"/>
      <c r="J30" s="249"/>
      <c r="K30" s="249"/>
      <c r="L30" s="249"/>
      <c r="M30" s="247"/>
      <c r="N30" s="250"/>
      <c r="O30" s="251"/>
      <c r="P30" s="252"/>
      <c r="Q30" s="253"/>
      <c r="R30" s="253"/>
      <c r="S30" s="254"/>
      <c r="T30" s="565" t="str">
        <f>C40</f>
        <v>Bahasa Inggris</v>
      </c>
      <c r="U30" s="226" t="s">
        <v>7</v>
      </c>
      <c r="V30" s="229" t="s">
        <v>310</v>
      </c>
      <c r="W30" s="230" t="s">
        <v>311</v>
      </c>
      <c r="X30" s="207"/>
      <c r="Y30" s="187"/>
      <c r="Z30" s="187"/>
    </row>
    <row r="31" spans="1:26">
      <c r="A31" s="196" t="s">
        <v>290</v>
      </c>
      <c r="B31" s="193"/>
      <c r="C31" s="193"/>
      <c r="D31" s="193"/>
      <c r="E31" s="189"/>
      <c r="F31" s="189"/>
      <c r="G31" s="189"/>
      <c r="H31" s="189"/>
      <c r="I31" s="189"/>
      <c r="J31" s="189"/>
      <c r="K31" s="189"/>
      <c r="L31" s="189"/>
      <c r="M31" s="214"/>
      <c r="T31" s="565"/>
      <c r="U31" s="226" t="s">
        <v>6</v>
      </c>
      <c r="V31" s="229" t="s">
        <v>308</v>
      </c>
      <c r="W31" s="232" t="s">
        <v>307</v>
      </c>
      <c r="X31" s="208"/>
    </row>
    <row r="32" spans="1:26">
      <c r="A32" s="196"/>
      <c r="B32" s="189" t="s">
        <v>312</v>
      </c>
      <c r="C32" s="193"/>
      <c r="D32" s="193"/>
      <c r="E32" s="189"/>
      <c r="F32" s="256"/>
      <c r="G32" s="189"/>
      <c r="H32" s="189"/>
      <c r="I32" s="189"/>
      <c r="J32" s="189"/>
      <c r="K32" s="189"/>
      <c r="L32" s="189"/>
      <c r="M32" s="214"/>
      <c r="T32" s="565"/>
      <c r="U32" s="226" t="s">
        <v>18</v>
      </c>
      <c r="V32" s="229" t="s">
        <v>305</v>
      </c>
      <c r="W32" s="232" t="s">
        <v>309</v>
      </c>
      <c r="X32" s="208"/>
    </row>
    <row r="33" spans="1:24" ht="20.100000000000001" customHeight="1">
      <c r="A33" s="209"/>
      <c r="B33" s="257" t="s">
        <v>291</v>
      </c>
      <c r="C33" s="604" t="s">
        <v>184</v>
      </c>
      <c r="D33" s="604"/>
      <c r="E33" s="604"/>
      <c r="F33" s="604"/>
      <c r="G33" s="604"/>
      <c r="H33" s="258" t="s">
        <v>65</v>
      </c>
      <c r="I33" s="258" t="s">
        <v>4</v>
      </c>
      <c r="J33" s="588" t="s">
        <v>64</v>
      </c>
      <c r="K33" s="588"/>
      <c r="L33" s="588"/>
      <c r="M33" s="259"/>
      <c r="S33" s="260"/>
      <c r="T33" s="565"/>
      <c r="U33" s="226" t="s">
        <v>19</v>
      </c>
      <c r="V33" s="229" t="s">
        <v>306</v>
      </c>
      <c r="W33" s="232" t="s">
        <v>304</v>
      </c>
      <c r="X33" s="208"/>
    </row>
    <row r="34" spans="1:24" ht="20.100000000000001" customHeight="1">
      <c r="A34" s="209"/>
      <c r="B34" s="261" t="s">
        <v>264</v>
      </c>
      <c r="C34" s="262"/>
      <c r="D34" s="262"/>
      <c r="E34" s="262"/>
      <c r="F34" s="262"/>
      <c r="G34" s="262"/>
      <c r="H34" s="263"/>
      <c r="I34" s="263"/>
      <c r="J34" s="264"/>
      <c r="K34" s="264"/>
      <c r="L34" s="265"/>
      <c r="M34" s="259"/>
      <c r="S34" s="260"/>
      <c r="T34" s="565" t="str">
        <f>C42</f>
        <v>Seni Budaya</v>
      </c>
      <c r="U34" s="226" t="s">
        <v>7</v>
      </c>
      <c r="V34" s="229" t="s">
        <v>310</v>
      </c>
      <c r="W34" s="230" t="s">
        <v>311</v>
      </c>
    </row>
    <row r="35" spans="1:24" ht="33" customHeight="1">
      <c r="A35" s="266"/>
      <c r="B35" s="267">
        <v>1</v>
      </c>
      <c r="C35" s="592" t="str">
        <f>LEGER!F$6</f>
        <v>Pendidikan Agama dan Budi Pekerti</v>
      </c>
      <c r="D35" s="593"/>
      <c r="E35" s="593"/>
      <c r="F35" s="593"/>
      <c r="G35" s="594"/>
      <c r="H35" s="268">
        <f>IFERROR(VLOOKUP($E$4&amp;"A",leggerx1,3,0),"")</f>
        <v>55</v>
      </c>
      <c r="I35" s="268" t="str">
        <f>IFERROR(VLOOKUP($E$4&amp;"C",leggerx1,3,0),"")</f>
        <v>D</v>
      </c>
      <c r="J35" s="601" t="str">
        <f>IFERROR(VLOOKUP(I35,$U$10:$W$13,2,0)," ")</f>
        <v>Baru menguasai sebagian kecil kompetensi pada KI-3, perlu bimbingan</v>
      </c>
      <c r="K35" s="602"/>
      <c r="L35" s="603"/>
      <c r="M35" s="269"/>
      <c r="N35" s="270"/>
      <c r="S35" s="260"/>
      <c r="T35" s="565"/>
      <c r="U35" s="226" t="s">
        <v>6</v>
      </c>
      <c r="V35" s="229" t="s">
        <v>308</v>
      </c>
      <c r="W35" s="232" t="s">
        <v>307</v>
      </c>
    </row>
    <row r="36" spans="1:24" ht="33" customHeight="1">
      <c r="A36" s="266"/>
      <c r="B36" s="271">
        <v>2</v>
      </c>
      <c r="C36" s="581" t="str">
        <f>LEGER!G$6</f>
        <v>Pendidikan Pancasila dan Kewarganegaraan</v>
      </c>
      <c r="D36" s="582"/>
      <c r="E36" s="582"/>
      <c r="F36" s="582"/>
      <c r="G36" s="583"/>
      <c r="H36" s="272">
        <f>IFERROR(VLOOKUP($E$4&amp;"A",leggerx1,4,0),"")</f>
        <v>18</v>
      </c>
      <c r="I36" s="272" t="str">
        <f>IFERROR(VLOOKUP($E$4&amp;"C",leggerx1,4,0),"")</f>
        <v>D</v>
      </c>
      <c r="J36" s="566" t="str">
        <f>IFERROR(VLOOKUP(I36,$U$14:$W$17,2,0),"")</f>
        <v>Baru menguasai sebagian kecil kompetensi pada KI-3, perlu bimbingan</v>
      </c>
      <c r="K36" s="567"/>
      <c r="L36" s="568"/>
      <c r="M36" s="273"/>
      <c r="S36" s="260"/>
      <c r="T36" s="565"/>
      <c r="U36" s="226" t="s">
        <v>18</v>
      </c>
      <c r="V36" s="229" t="s">
        <v>305</v>
      </c>
      <c r="W36" s="232" t="s">
        <v>309</v>
      </c>
    </row>
    <row r="37" spans="1:24" ht="33" customHeight="1">
      <c r="A37" s="266"/>
      <c r="B37" s="271">
        <v>3</v>
      </c>
      <c r="C37" s="581" t="str">
        <f>LEGER!H$6</f>
        <v>Bahasa Indonesia</v>
      </c>
      <c r="D37" s="582"/>
      <c r="E37" s="582"/>
      <c r="F37" s="582"/>
      <c r="G37" s="583"/>
      <c r="H37" s="272">
        <f>IFERROR(VLOOKUP($E$4&amp;"A",leggerx1,5,0),"")</f>
        <v>72</v>
      </c>
      <c r="I37" s="272" t="str">
        <f>IFERROR(VLOOKUP($E$4&amp;"C",leggerx1,5,0),"")</f>
        <v>C</v>
      </c>
      <c r="J37" s="566" t="str">
        <f>IFERROR(VLOOKUP(I37,$U$18:$W$21,2,0),"")</f>
        <v>Cukup, telah menguasai beberapa kompetensi pada KI-3</v>
      </c>
      <c r="K37" s="567"/>
      <c r="L37" s="568"/>
      <c r="M37" s="259"/>
      <c r="S37" s="260"/>
      <c r="T37" s="565"/>
      <c r="U37" s="226" t="s">
        <v>19</v>
      </c>
      <c r="V37" s="229" t="s">
        <v>306</v>
      </c>
      <c r="W37" s="232" t="s">
        <v>304</v>
      </c>
    </row>
    <row r="38" spans="1:24" ht="33" customHeight="1">
      <c r="A38" s="266"/>
      <c r="B38" s="271">
        <v>4</v>
      </c>
      <c r="C38" s="581" t="str">
        <f>LEGER!I$6</f>
        <v>Matematika</v>
      </c>
      <c r="D38" s="582"/>
      <c r="E38" s="582"/>
      <c r="F38" s="582"/>
      <c r="G38" s="583"/>
      <c r="H38" s="272">
        <f>IFERROR(VLOOKUP($E$4&amp;"A",leggerx1,6,0),"")</f>
        <v>56</v>
      </c>
      <c r="I38" s="272" t="str">
        <f>IFERROR(VLOOKUP($E$4&amp;"C",leggerx1,6,0),"")</f>
        <v>D</v>
      </c>
      <c r="J38" s="566" t="str">
        <f>IFERROR(VLOOKUP(I38,$U$22:$W$29,2,0),"")</f>
        <v>Baru menguasai sebagian kecil kompetensi pada KI-3, perlu bimbingan</v>
      </c>
      <c r="K38" s="567"/>
      <c r="L38" s="568"/>
      <c r="M38" s="259"/>
      <c r="S38" s="260"/>
      <c r="T38" s="565" t="str">
        <f>C43</f>
        <v>Pendidikan Jasmani, Olah Raga dan Kesehatan</v>
      </c>
      <c r="U38" s="226" t="s">
        <v>7</v>
      </c>
      <c r="V38" s="229" t="s">
        <v>310</v>
      </c>
      <c r="W38" s="230" t="s">
        <v>311</v>
      </c>
    </row>
    <row r="39" spans="1:24" ht="33" customHeight="1">
      <c r="A39" s="266"/>
      <c r="B39" s="271">
        <v>5</v>
      </c>
      <c r="C39" s="581" t="str">
        <f>LEGER!J$6</f>
        <v>Sejarah Indonesia</v>
      </c>
      <c r="D39" s="582"/>
      <c r="E39" s="582"/>
      <c r="F39" s="582"/>
      <c r="G39" s="583"/>
      <c r="H39" s="272">
        <f>IFERROR(VLOOKUP($E$4&amp;"A",leggerx1,7,0),"")</f>
        <v>68</v>
      </c>
      <c r="I39" s="272" t="str">
        <f>IFERROR(VLOOKUP($E$4&amp;"C",leggerx1,7,0),"")</f>
        <v>D</v>
      </c>
      <c r="J39" s="566" t="str">
        <f>IFERROR(VLOOKUP(I39,$U$26:$W$29,2,0),"")</f>
        <v>Baru menguasai sebagian kecil kompetensi pada KI-3, perlu bimbingan</v>
      </c>
      <c r="K39" s="567"/>
      <c r="L39" s="568"/>
      <c r="M39" s="259"/>
      <c r="S39" s="260"/>
      <c r="T39" s="565"/>
      <c r="U39" s="226" t="s">
        <v>6</v>
      </c>
      <c r="V39" s="229" t="s">
        <v>308</v>
      </c>
      <c r="W39" s="232" t="s">
        <v>307</v>
      </c>
    </row>
    <row r="40" spans="1:24" ht="33" customHeight="1">
      <c r="A40" s="266"/>
      <c r="B40" s="274">
        <v>6</v>
      </c>
      <c r="C40" s="658" t="str">
        <f>LEGER!K$6</f>
        <v>Bahasa Inggris</v>
      </c>
      <c r="D40" s="659"/>
      <c r="E40" s="659"/>
      <c r="F40" s="659"/>
      <c r="G40" s="660"/>
      <c r="H40" s="275">
        <f>IFERROR(VLOOKUP($E$4&amp;"A",leggerx1,8,0),"")</f>
        <v>74</v>
      </c>
      <c r="I40" s="275" t="str">
        <f>IFERROR(VLOOKUP($E$4&amp;"C",leggerx1,8,0),"")</f>
        <v>C</v>
      </c>
      <c r="J40" s="640" t="str">
        <f>IFERROR(VLOOKUP(I40,$U$30:$W$33,2,0),"")</f>
        <v>Cukup, telah menguasai beberapa kompetensi pada KI-3</v>
      </c>
      <c r="K40" s="641"/>
      <c r="L40" s="642"/>
      <c r="M40" s="259"/>
      <c r="S40" s="260"/>
      <c r="T40" s="565"/>
      <c r="U40" s="226" t="s">
        <v>18</v>
      </c>
      <c r="V40" s="229" t="s">
        <v>305</v>
      </c>
      <c r="W40" s="232" t="s">
        <v>309</v>
      </c>
    </row>
    <row r="41" spans="1:24" ht="20.100000000000001" customHeight="1">
      <c r="A41" s="266"/>
      <c r="B41" s="276" t="s">
        <v>265</v>
      </c>
      <c r="C41" s="277"/>
      <c r="D41" s="277"/>
      <c r="E41" s="277"/>
      <c r="F41" s="277"/>
      <c r="G41" s="277"/>
      <c r="H41" s="278"/>
      <c r="I41" s="278"/>
      <c r="J41" s="181"/>
      <c r="K41" s="279"/>
      <c r="L41" s="280"/>
      <c r="M41" s="259"/>
      <c r="S41" s="260"/>
      <c r="T41" s="565"/>
      <c r="U41" s="226" t="s">
        <v>19</v>
      </c>
      <c r="V41" s="229" t="s">
        <v>306</v>
      </c>
      <c r="W41" s="232" t="s">
        <v>304</v>
      </c>
    </row>
    <row r="42" spans="1:24" ht="33" customHeight="1">
      <c r="A42" s="266"/>
      <c r="B42" s="267">
        <v>1</v>
      </c>
      <c r="C42" s="592" t="str">
        <f>LEGER!L$6</f>
        <v>Seni Budaya</v>
      </c>
      <c r="D42" s="593"/>
      <c r="E42" s="593"/>
      <c r="F42" s="593"/>
      <c r="G42" s="594"/>
      <c r="H42" s="268">
        <f>IFERROR(VLOOKUP($E$4&amp;"A",leggerx1,9,0),"")</f>
        <v>74</v>
      </c>
      <c r="I42" s="268" t="str">
        <f>IFERROR(VLOOKUP($E$4&amp;"C",leggerx1,9,0),"")</f>
        <v>C</v>
      </c>
      <c r="J42" s="601" t="str">
        <f>IFERROR(VLOOKUP(I42,$U$34:$W$37,2,0),"")</f>
        <v>Cukup, telah menguasai beberapa kompetensi pada KI-3</v>
      </c>
      <c r="K42" s="602"/>
      <c r="L42" s="603"/>
      <c r="M42" s="259"/>
      <c r="S42" s="260"/>
      <c r="T42" s="565" t="str">
        <f>C44</f>
        <v>Prakarya dan Kewirausahaan</v>
      </c>
      <c r="U42" s="226" t="s">
        <v>7</v>
      </c>
      <c r="V42" s="229" t="s">
        <v>310</v>
      </c>
      <c r="W42" s="230" t="s">
        <v>311</v>
      </c>
    </row>
    <row r="43" spans="1:24" ht="33" customHeight="1">
      <c r="A43" s="266"/>
      <c r="B43" s="271">
        <v>2</v>
      </c>
      <c r="C43" s="581" t="str">
        <f>LEGER!M$6</f>
        <v>Pendidikan Jasmani, Olah Raga dan Kesehatan</v>
      </c>
      <c r="D43" s="582"/>
      <c r="E43" s="582"/>
      <c r="F43" s="582"/>
      <c r="G43" s="583"/>
      <c r="H43" s="281">
        <f>IFERROR(VLOOKUP($E$4&amp;"A",leggerx1,10,0),"")</f>
        <v>63</v>
      </c>
      <c r="I43" s="281" t="str">
        <f>IFERROR(VLOOKUP($E$4&amp;"C",leggerx1,10,0),"")</f>
        <v>D</v>
      </c>
      <c r="J43" s="566" t="str">
        <f>IFERROR(VLOOKUP(I43,$U$38:$W$41,2,0),"")</f>
        <v>Baru menguasai sebagian kecil kompetensi pada KI-3, perlu bimbingan</v>
      </c>
      <c r="K43" s="567"/>
      <c r="L43" s="568"/>
      <c r="M43" s="259"/>
      <c r="S43" s="260"/>
      <c r="T43" s="565"/>
      <c r="U43" s="226" t="s">
        <v>6</v>
      </c>
      <c r="V43" s="229" t="s">
        <v>308</v>
      </c>
      <c r="W43" s="232" t="s">
        <v>307</v>
      </c>
    </row>
    <row r="44" spans="1:24" ht="33" customHeight="1">
      <c r="A44" s="266"/>
      <c r="B44" s="271">
        <v>3</v>
      </c>
      <c r="C44" s="581" t="str">
        <f>LEGER!N$6</f>
        <v>Prakarya dan Kewirausahaan</v>
      </c>
      <c r="D44" s="582"/>
      <c r="E44" s="582"/>
      <c r="F44" s="582"/>
      <c r="G44" s="583"/>
      <c r="H44" s="281">
        <f>IFERROR(VLOOKUP($E$4&amp;"A",leggerx1,11,0),"")</f>
        <v>35</v>
      </c>
      <c r="I44" s="281" t="str">
        <f>IFERROR(VLOOKUP($E$4&amp;"C",leggerx1,11,0),"")</f>
        <v>D</v>
      </c>
      <c r="J44" s="566" t="str">
        <f>IFERROR(VLOOKUP(I44,$U$42:$W$45,2,0),"")</f>
        <v>Baru menguasai sebagian kecil kompetensi pada KI-3, perlu bimbingan</v>
      </c>
      <c r="K44" s="567"/>
      <c r="L44" s="568"/>
      <c r="M44" s="259"/>
      <c r="S44" s="260"/>
      <c r="T44" s="565"/>
      <c r="U44" s="226" t="s">
        <v>18</v>
      </c>
      <c r="V44" s="229" t="s">
        <v>305</v>
      </c>
      <c r="W44" s="232" t="s">
        <v>309</v>
      </c>
    </row>
    <row r="45" spans="1:24" ht="33" customHeight="1">
      <c r="A45" s="266"/>
      <c r="B45" s="274">
        <v>4</v>
      </c>
      <c r="C45" s="658" t="str">
        <f>LEGER!O$6</f>
        <v>Bahasa Sunda</v>
      </c>
      <c r="D45" s="659"/>
      <c r="E45" s="659"/>
      <c r="F45" s="659"/>
      <c r="G45" s="660"/>
      <c r="H45" s="282">
        <f>IFERROR(VLOOKUP($E$4&amp;"A",leggerx1,12,0),"")</f>
        <v>28</v>
      </c>
      <c r="I45" s="282" t="str">
        <f>IFERROR(VLOOKUP($E$4&amp;"C",leggerx1,12,0),"")</f>
        <v>D</v>
      </c>
      <c r="J45" s="640" t="str">
        <f>IFERROR(VLOOKUP(I45,$U$46:$W$49,2,0),"")</f>
        <v>Baru menguasai sebagian kecil kompetensi pada KI-3, perlu bimbingan</v>
      </c>
      <c r="K45" s="641"/>
      <c r="L45" s="642"/>
      <c r="M45" s="259"/>
      <c r="T45" s="565"/>
      <c r="U45" s="226" t="s">
        <v>19</v>
      </c>
      <c r="V45" s="229" t="s">
        <v>306</v>
      </c>
      <c r="W45" s="232" t="s">
        <v>304</v>
      </c>
    </row>
    <row r="46" spans="1:24" ht="20.100000000000001" customHeight="1">
      <c r="A46" s="209"/>
      <c r="B46" s="276" t="s">
        <v>266</v>
      </c>
      <c r="C46" s="277"/>
      <c r="D46" s="277"/>
      <c r="E46" s="277"/>
      <c r="F46" s="277"/>
      <c r="G46" s="277"/>
      <c r="H46" s="278"/>
      <c r="I46" s="278"/>
      <c r="J46" s="181"/>
      <c r="K46" s="279"/>
      <c r="L46" s="280"/>
      <c r="M46" s="259"/>
      <c r="T46" s="565" t="str">
        <f>C45</f>
        <v>Bahasa Sunda</v>
      </c>
      <c r="U46" s="226" t="s">
        <v>7</v>
      </c>
      <c r="V46" s="229" t="s">
        <v>310</v>
      </c>
      <c r="W46" s="230" t="s">
        <v>311</v>
      </c>
    </row>
    <row r="47" spans="1:24" ht="33" customHeight="1">
      <c r="A47" s="266"/>
      <c r="B47" s="267">
        <v>1</v>
      </c>
      <c r="C47" s="592" t="str">
        <f>LEGER!P$6</f>
        <v>Sejarah IPS</v>
      </c>
      <c r="D47" s="593"/>
      <c r="E47" s="593"/>
      <c r="F47" s="593"/>
      <c r="G47" s="594"/>
      <c r="H47" s="283">
        <f>IFERROR(VLOOKUP($E$4&amp;"A",leggerx1,13,0),"")</f>
        <v>70</v>
      </c>
      <c r="I47" s="283" t="str">
        <f>IFERROR(VLOOKUP($E$4&amp;"C",leggerx1,13,0),"")</f>
        <v>C</v>
      </c>
      <c r="J47" s="601" t="str">
        <f>IFERROR(VLOOKUP(I47,$U$50:$W$53,2,0),"")</f>
        <v>Cukup, telah menguasai beberapa kompetensi pada KI-3</v>
      </c>
      <c r="K47" s="602"/>
      <c r="L47" s="603"/>
      <c r="M47" s="259"/>
      <c r="T47" s="565"/>
      <c r="U47" s="226" t="s">
        <v>6</v>
      </c>
      <c r="V47" s="229" t="s">
        <v>308</v>
      </c>
      <c r="W47" s="232" t="s">
        <v>307</v>
      </c>
    </row>
    <row r="48" spans="1:24" ht="33" customHeight="1">
      <c r="A48" s="266"/>
      <c r="B48" s="271">
        <v>2</v>
      </c>
      <c r="C48" s="581" t="str">
        <f>LEGER!Q$6</f>
        <v>G e o g r a f i</v>
      </c>
      <c r="D48" s="582"/>
      <c r="E48" s="582"/>
      <c r="F48" s="582"/>
      <c r="G48" s="583"/>
      <c r="H48" s="281">
        <f>IFERROR(VLOOKUP($E$4&amp;"A",leggerx1,14,0),"")</f>
        <v>30</v>
      </c>
      <c r="I48" s="281" t="str">
        <f>IFERROR(VLOOKUP($E$4&amp;"C",leggerx1,14,0),"")</f>
        <v>D</v>
      </c>
      <c r="J48" s="566" t="str">
        <f>IFERROR(VLOOKUP(I48,$U$54:$W$57,2,0),"")</f>
        <v>Baru menguasai sebagian kecil kompetensi pada KI-3, perlu bimbingan</v>
      </c>
      <c r="K48" s="567"/>
      <c r="L48" s="568"/>
      <c r="M48" s="259"/>
      <c r="T48" s="565"/>
      <c r="U48" s="226" t="s">
        <v>18</v>
      </c>
      <c r="V48" s="229" t="s">
        <v>305</v>
      </c>
      <c r="W48" s="232" t="s">
        <v>309</v>
      </c>
    </row>
    <row r="49" spans="1:26" ht="33" customHeight="1">
      <c r="A49" s="266"/>
      <c r="B49" s="284">
        <v>3</v>
      </c>
      <c r="C49" s="577" t="str">
        <f>LEGER!R$6</f>
        <v>S o s i o l o g i</v>
      </c>
      <c r="D49" s="578"/>
      <c r="E49" s="578"/>
      <c r="F49" s="578"/>
      <c r="G49" s="579"/>
      <c r="H49" s="285">
        <f>IFERROR(VLOOKUP($E$4&amp;"A",leggerx1,15,0),"")</f>
        <v>70</v>
      </c>
      <c r="I49" s="285" t="str">
        <f>IFERROR(VLOOKUP($E$4&amp;"C",leggerx1,15,0),"")</f>
        <v>C</v>
      </c>
      <c r="J49" s="566" t="str">
        <f>IFERROR(VLOOKUP(I49,$U$58:$W$61,2,0),"")</f>
        <v>Cukup, telah menguasai beberapa kompetensi pada KI-3</v>
      </c>
      <c r="K49" s="567"/>
      <c r="L49" s="568"/>
      <c r="M49" s="259"/>
      <c r="T49" s="565"/>
      <c r="U49" s="226" t="s">
        <v>19</v>
      </c>
      <c r="V49" s="229" t="s">
        <v>306</v>
      </c>
      <c r="W49" s="232" t="s">
        <v>304</v>
      </c>
    </row>
    <row r="50" spans="1:26" ht="33" customHeight="1">
      <c r="A50" s="266"/>
      <c r="B50" s="271">
        <v>4</v>
      </c>
      <c r="C50" s="581" t="str">
        <f>LEGER!S$6</f>
        <v>E k o n o m i</v>
      </c>
      <c r="D50" s="582"/>
      <c r="E50" s="582"/>
      <c r="F50" s="582"/>
      <c r="G50" s="583"/>
      <c r="H50" s="281">
        <f>IFERROR(VLOOKUP($E$4&amp;"A",leggerx1,16,0),"")</f>
        <v>57</v>
      </c>
      <c r="I50" s="281" t="str">
        <f>IFERROR(VLOOKUP($E$4&amp;"C",leggerx1,16,0),"")</f>
        <v>D</v>
      </c>
      <c r="J50" s="566" t="str">
        <f>IFERROR(VLOOKUP(I50,$U$62:$W$65,2,0),"")</f>
        <v>Baru menguasai sebagian kecil kompetensi pada KI-3, perlu bimbingan</v>
      </c>
      <c r="K50" s="567"/>
      <c r="L50" s="568"/>
      <c r="M50" s="259"/>
      <c r="T50" s="565" t="str">
        <f>C47</f>
        <v>Sejarah IPS</v>
      </c>
      <c r="U50" s="226" t="s">
        <v>7</v>
      </c>
      <c r="V50" s="229" t="s">
        <v>310</v>
      </c>
      <c r="W50" s="230" t="s">
        <v>311</v>
      </c>
    </row>
    <row r="51" spans="1:26" ht="33" customHeight="1">
      <c r="A51" s="266"/>
      <c r="B51" s="284">
        <v>5</v>
      </c>
      <c r="C51" s="577" t="str">
        <f>LEGER!T$6</f>
        <v>Bahasa &amp; Sastra Inggris</v>
      </c>
      <c r="D51" s="578"/>
      <c r="E51" s="578"/>
      <c r="F51" s="578"/>
      <c r="G51" s="579"/>
      <c r="H51" s="285">
        <f>IFERROR(VLOOKUP($E$4&amp;"A",leggerx1,17,0),"")</f>
        <v>58</v>
      </c>
      <c r="I51" s="285" t="str">
        <f>IFERROR(VLOOKUP($E$4&amp;"C",leggerx1,17,0),"")</f>
        <v>D</v>
      </c>
      <c r="J51" s="566" t="str">
        <f>IFERROR(VLOOKUP(I51,$U$66:$W$69,2,0),"")</f>
        <v>Baru menguasai sebagian kecil kompetensi pada KI-3, perlu bimbingan</v>
      </c>
      <c r="K51" s="567"/>
      <c r="L51" s="568"/>
      <c r="M51" s="259"/>
      <c r="T51" s="565"/>
      <c r="U51" s="226" t="s">
        <v>6</v>
      </c>
      <c r="V51" s="229" t="s">
        <v>308</v>
      </c>
      <c r="W51" s="232" t="s">
        <v>307</v>
      </c>
    </row>
    <row r="52" spans="1:26" ht="33" customHeight="1">
      <c r="A52" s="266"/>
      <c r="B52" s="271">
        <v>6</v>
      </c>
      <c r="C52" s="581" t="str">
        <f>LEGER!U$6</f>
        <v>B i o l o g i</v>
      </c>
      <c r="D52" s="582"/>
      <c r="E52" s="582"/>
      <c r="F52" s="582"/>
      <c r="G52" s="583"/>
      <c r="H52" s="281">
        <f>IFERROR(VLOOKUP($E$4&amp;"A",leggerx1,18,0),"")</f>
        <v>20</v>
      </c>
      <c r="I52" s="281" t="str">
        <f>IFERROR(VLOOKUP($E$4&amp;"C",leggerx1,18,0),"")</f>
        <v>D</v>
      </c>
      <c r="J52" s="566" t="str">
        <f>IFERROR(VLOOKUP(I52,$U$70:$W$73,2,0),"")</f>
        <v>Baru menguasai sebagian kecil kompetensi pada KI-3, perlu bimbingan</v>
      </c>
      <c r="K52" s="567"/>
      <c r="L52" s="568"/>
      <c r="M52" s="259"/>
      <c r="T52" s="565"/>
      <c r="U52" s="226" t="s">
        <v>18</v>
      </c>
      <c r="V52" s="229" t="s">
        <v>305</v>
      </c>
      <c r="W52" s="232" t="s">
        <v>309</v>
      </c>
    </row>
    <row r="53" spans="1:26" ht="33" customHeight="1">
      <c r="A53" s="209"/>
      <c r="B53" s="274">
        <v>7</v>
      </c>
      <c r="C53" s="658" t="str">
        <f>LEGER!V$6</f>
        <v>Baca Tulis Qur'an</v>
      </c>
      <c r="D53" s="659"/>
      <c r="E53" s="659"/>
      <c r="F53" s="659"/>
      <c r="G53" s="660"/>
      <c r="H53" s="282">
        <f>IFERROR(VLOOKUP($E$4&amp;"A",leggerx1,19,0),"")</f>
        <v>75</v>
      </c>
      <c r="I53" s="282" t="str">
        <f>IFERROR(VLOOKUP($E$4&amp;"C",leggerx1,19,0),"")</f>
        <v>C</v>
      </c>
      <c r="J53" s="640" t="str">
        <f>IFERROR(VLOOKUP(I53,$U$74:$W$77,2,0),"")</f>
        <v>Cukup, telah menguasai beberapa kompetensi pada KI-3</v>
      </c>
      <c r="K53" s="641"/>
      <c r="L53" s="642"/>
      <c r="M53" s="259"/>
      <c r="T53" s="565"/>
      <c r="U53" s="226" t="s">
        <v>19</v>
      </c>
      <c r="V53" s="229" t="s">
        <v>306</v>
      </c>
      <c r="W53" s="232" t="s">
        <v>304</v>
      </c>
    </row>
    <row r="54" spans="1:26" ht="15" customHeight="1">
      <c r="A54" s="286"/>
      <c r="B54" s="235"/>
      <c r="C54" s="236"/>
      <c r="D54" s="236"/>
      <c r="E54" s="236"/>
      <c r="F54" s="236"/>
      <c r="G54" s="236"/>
      <c r="H54" s="287"/>
      <c r="I54" s="288"/>
      <c r="J54" s="289"/>
      <c r="K54" s="288"/>
      <c r="L54" s="289"/>
      <c r="M54" s="259"/>
      <c r="T54" s="565" t="str">
        <f>C48</f>
        <v>G e o g r a f i</v>
      </c>
      <c r="U54" s="226" t="s">
        <v>7</v>
      </c>
      <c r="V54" s="229" t="s">
        <v>310</v>
      </c>
      <c r="W54" s="230" t="s">
        <v>311</v>
      </c>
    </row>
    <row r="55" spans="1:26" s="234" customFormat="1" ht="15" customHeight="1">
      <c r="A55" s="286"/>
      <c r="B55" s="290"/>
      <c r="C55" s="291"/>
      <c r="D55" s="291"/>
      <c r="E55" s="291"/>
      <c r="F55" s="291"/>
      <c r="G55" s="291"/>
      <c r="H55" s="292"/>
      <c r="I55" s="293"/>
      <c r="J55" s="294"/>
      <c r="K55" s="293"/>
      <c r="L55" s="294"/>
      <c r="M55" s="214"/>
      <c r="N55" s="237"/>
      <c r="O55" s="184"/>
      <c r="P55" s="184"/>
      <c r="Q55" s="184"/>
      <c r="R55" s="184"/>
      <c r="S55" s="241"/>
      <c r="T55" s="565"/>
      <c r="U55" s="295" t="s">
        <v>6</v>
      </c>
      <c r="V55" s="229" t="s">
        <v>308</v>
      </c>
      <c r="W55" s="232" t="s">
        <v>307</v>
      </c>
      <c r="X55" s="184"/>
      <c r="Y55" s="184"/>
      <c r="Z55" s="184"/>
    </row>
    <row r="56" spans="1:26" s="234" customFormat="1" ht="15" customHeight="1">
      <c r="A56" s="286"/>
      <c r="B56" s="290"/>
      <c r="C56" s="291"/>
      <c r="D56" s="291"/>
      <c r="E56" s="291"/>
      <c r="F56" s="291"/>
      <c r="G56" s="291"/>
      <c r="H56" s="292"/>
      <c r="I56" s="293"/>
      <c r="J56" s="294"/>
      <c r="K56" s="293"/>
      <c r="L56" s="294"/>
      <c r="M56" s="214"/>
      <c r="N56" s="237"/>
      <c r="O56" s="184"/>
      <c r="P56" s="184"/>
      <c r="Q56" s="184"/>
      <c r="R56" s="184"/>
      <c r="S56" s="241"/>
      <c r="T56" s="565"/>
      <c r="U56" s="295" t="s">
        <v>18</v>
      </c>
      <c r="V56" s="229" t="s">
        <v>305</v>
      </c>
      <c r="W56" s="232" t="s">
        <v>309</v>
      </c>
      <c r="X56" s="184"/>
      <c r="Y56" s="184"/>
      <c r="Z56" s="184"/>
    </row>
    <row r="57" spans="1:26">
      <c r="A57" s="196" t="s">
        <v>289</v>
      </c>
      <c r="B57" s="193"/>
      <c r="C57" s="193"/>
      <c r="D57" s="193"/>
      <c r="E57" s="189"/>
      <c r="F57" s="189"/>
      <c r="G57" s="189"/>
      <c r="H57" s="189"/>
      <c r="I57" s="189"/>
      <c r="J57" s="189"/>
      <c r="K57" s="189"/>
      <c r="L57" s="189"/>
      <c r="M57" s="259"/>
      <c r="T57" s="565"/>
      <c r="U57" s="226" t="s">
        <v>19</v>
      </c>
      <c r="V57" s="229" t="s">
        <v>306</v>
      </c>
      <c r="W57" s="232" t="s">
        <v>304</v>
      </c>
    </row>
    <row r="58" spans="1:26">
      <c r="A58" s="196"/>
      <c r="B58" s="189" t="s">
        <v>312</v>
      </c>
      <c r="C58" s="193"/>
      <c r="D58" s="193"/>
      <c r="E58" s="189"/>
      <c r="F58" s="189"/>
      <c r="G58" s="189"/>
      <c r="H58" s="189"/>
      <c r="I58" s="189"/>
      <c r="J58" s="189"/>
      <c r="K58" s="189"/>
      <c r="L58" s="189"/>
      <c r="M58" s="259"/>
      <c r="T58" s="565" t="str">
        <f>C49</f>
        <v>S o s i o l o g i</v>
      </c>
      <c r="U58" s="226" t="s">
        <v>7</v>
      </c>
      <c r="V58" s="229" t="s">
        <v>310</v>
      </c>
      <c r="W58" s="230" t="s">
        <v>311</v>
      </c>
    </row>
    <row r="59" spans="1:26" ht="15">
      <c r="A59" s="209"/>
      <c r="B59" s="257" t="s">
        <v>291</v>
      </c>
      <c r="C59" s="604" t="s">
        <v>184</v>
      </c>
      <c r="D59" s="604"/>
      <c r="E59" s="604"/>
      <c r="F59" s="604"/>
      <c r="G59" s="604"/>
      <c r="H59" s="258" t="s">
        <v>65</v>
      </c>
      <c r="I59" s="296" t="s">
        <v>4</v>
      </c>
      <c r="J59" s="588" t="s">
        <v>64</v>
      </c>
      <c r="K59" s="588"/>
      <c r="L59" s="588"/>
      <c r="M59" s="259"/>
      <c r="T59" s="565"/>
      <c r="U59" s="226" t="s">
        <v>6</v>
      </c>
      <c r="V59" s="229" t="s">
        <v>308</v>
      </c>
      <c r="W59" s="232" t="s">
        <v>307</v>
      </c>
    </row>
    <row r="60" spans="1:26" ht="17.100000000000001" customHeight="1">
      <c r="A60" s="209"/>
      <c r="B60" s="297" t="s">
        <v>264</v>
      </c>
      <c r="C60" s="298"/>
      <c r="D60" s="298"/>
      <c r="E60" s="298"/>
      <c r="F60" s="298"/>
      <c r="G60" s="298"/>
      <c r="H60" s="264"/>
      <c r="I60" s="264"/>
      <c r="J60" s="264"/>
      <c r="K60" s="264"/>
      <c r="L60" s="265"/>
      <c r="M60" s="259"/>
      <c r="T60" s="565"/>
      <c r="U60" s="226" t="s">
        <v>18</v>
      </c>
      <c r="V60" s="229" t="s">
        <v>305</v>
      </c>
      <c r="W60" s="232" t="s">
        <v>309</v>
      </c>
    </row>
    <row r="61" spans="1:26" ht="30.95" customHeight="1">
      <c r="A61" s="266"/>
      <c r="B61" s="267">
        <v>1</v>
      </c>
      <c r="C61" s="661" t="str">
        <f>LEGER!F$6</f>
        <v>Pendidikan Agama dan Budi Pekerti</v>
      </c>
      <c r="D61" s="661"/>
      <c r="E61" s="661"/>
      <c r="F61" s="661"/>
      <c r="G61" s="661"/>
      <c r="H61" s="268">
        <f>IFERROR(VLOOKUP($E$4&amp;"B",leggerx1,3,0),"")</f>
        <v>80</v>
      </c>
      <c r="I61" s="268" t="str">
        <f>IFERROR(VLOOKUP($E$4&amp;"D",leggerx1,3,0),"")</f>
        <v>B</v>
      </c>
      <c r="J61" s="601" t="str">
        <f>IFERROR(VLOOKUP(I61,$U$10:$W$13,3,0)," ")</f>
        <v>Sudah menguasai sebagian besar keterampilan pada KI-4 dengan baik</v>
      </c>
      <c r="K61" s="602"/>
      <c r="L61" s="603"/>
      <c r="M61" s="259"/>
      <c r="T61" s="565"/>
      <c r="U61" s="226" t="s">
        <v>19</v>
      </c>
      <c r="V61" s="229" t="s">
        <v>306</v>
      </c>
      <c r="W61" s="232" t="s">
        <v>304</v>
      </c>
    </row>
    <row r="62" spans="1:26" ht="30.95" customHeight="1">
      <c r="A62" s="266"/>
      <c r="B62" s="271">
        <v>2</v>
      </c>
      <c r="C62" s="580" t="str">
        <f>LEGER!G$6</f>
        <v>Pendidikan Pancasila dan Kewarganegaraan</v>
      </c>
      <c r="D62" s="580"/>
      <c r="E62" s="580"/>
      <c r="F62" s="580"/>
      <c r="G62" s="580"/>
      <c r="H62" s="272">
        <f>IFERROR(VLOOKUP($E$4&amp;"B",leggerx1,4,0),"")</f>
        <v>80</v>
      </c>
      <c r="I62" s="272" t="str">
        <f>IFERROR(VLOOKUP($E$4&amp;"D",leggerx1,4,0),"")</f>
        <v>B</v>
      </c>
      <c r="J62" s="566" t="str">
        <f>IFERROR(VLOOKUP(I62,$U$14:$W$17,3,0),"")</f>
        <v>Sudah menguasai sebagian besar keterampilan pada KI-4 dengan baik</v>
      </c>
      <c r="K62" s="567"/>
      <c r="L62" s="568"/>
      <c r="M62" s="259"/>
      <c r="T62" s="565" t="str">
        <f>C50</f>
        <v>E k o n o m i</v>
      </c>
      <c r="U62" s="226" t="s">
        <v>7</v>
      </c>
      <c r="V62" s="229" t="s">
        <v>310</v>
      </c>
      <c r="W62" s="230" t="s">
        <v>311</v>
      </c>
    </row>
    <row r="63" spans="1:26" ht="30.95" customHeight="1">
      <c r="A63" s="266"/>
      <c r="B63" s="271">
        <v>3</v>
      </c>
      <c r="C63" s="580" t="str">
        <f>LEGER!H$6</f>
        <v>Bahasa Indonesia</v>
      </c>
      <c r="D63" s="580"/>
      <c r="E63" s="580"/>
      <c r="F63" s="580"/>
      <c r="G63" s="580"/>
      <c r="H63" s="272">
        <f>IFERROR(VLOOKUP($E$4&amp;"B",leggerx1,5,0),"")</f>
        <v>71</v>
      </c>
      <c r="I63" s="272" t="str">
        <f>IFERROR(VLOOKUP($E$4&amp;"D",leggerx1,5,0),"")</f>
        <v>C</v>
      </c>
      <c r="J63" s="566" t="str">
        <f>IFERROR(VLOOKUP(I63,$U$18:$W$21,3,0),"")</f>
        <v>Cukup, sudah menguasai beberapa kompetensi keterampilan pada KI-4</v>
      </c>
      <c r="K63" s="567"/>
      <c r="L63" s="568"/>
      <c r="M63" s="299"/>
      <c r="N63" s="270"/>
      <c r="O63" s="300"/>
      <c r="T63" s="565"/>
      <c r="U63" s="226" t="s">
        <v>6</v>
      </c>
      <c r="V63" s="229" t="s">
        <v>308</v>
      </c>
      <c r="W63" s="232" t="s">
        <v>307</v>
      </c>
    </row>
    <row r="64" spans="1:26" ht="30.95" customHeight="1">
      <c r="A64" s="266"/>
      <c r="B64" s="271">
        <v>4</v>
      </c>
      <c r="C64" s="580" t="str">
        <f>LEGER!I$6</f>
        <v>Matematika</v>
      </c>
      <c r="D64" s="580"/>
      <c r="E64" s="580"/>
      <c r="F64" s="580"/>
      <c r="G64" s="580"/>
      <c r="H64" s="272">
        <f>IFERROR(VLOOKUP($E$4&amp;"B",leggerx1,6,0),"")</f>
        <v>50</v>
      </c>
      <c r="I64" s="272" t="str">
        <f>IFERROR(VLOOKUP($E$4&amp;"D",leggerx1,6,0),"")</f>
        <v>D</v>
      </c>
      <c r="J64" s="566" t="str">
        <f>IFERROR(VLOOKUP(I64,$U$22:$W$29,3,0),"")</f>
        <v>Baru menguasai sebagian kecil kompetensi keterampilan, perlu bimbingan</v>
      </c>
      <c r="K64" s="567"/>
      <c r="L64" s="568"/>
      <c r="M64" s="259"/>
      <c r="T64" s="565"/>
      <c r="U64" s="226" t="s">
        <v>18</v>
      </c>
      <c r="V64" s="229" t="s">
        <v>305</v>
      </c>
      <c r="W64" s="232" t="s">
        <v>309</v>
      </c>
    </row>
    <row r="65" spans="1:33" ht="30.95" customHeight="1">
      <c r="A65" s="266"/>
      <c r="B65" s="271">
        <v>5</v>
      </c>
      <c r="C65" s="580" t="str">
        <f>LEGER!J$6</f>
        <v>Sejarah Indonesia</v>
      </c>
      <c r="D65" s="580"/>
      <c r="E65" s="580"/>
      <c r="F65" s="580"/>
      <c r="G65" s="580"/>
      <c r="H65" s="272">
        <f>IFERROR(VLOOKUP($E$4&amp;"B",leggerx1,7,0),"")</f>
        <v>60</v>
      </c>
      <c r="I65" s="272" t="str">
        <f>IFERROR(VLOOKUP($E$4&amp;"D",leggerx1,7,0),"")</f>
        <v>D</v>
      </c>
      <c r="J65" s="566" t="str">
        <f>IFERROR(VLOOKUP(I65,$U$26:$W$29,3,0),"")</f>
        <v>Baru menguasai sebagian kecil kompetensi keterampilan, perlu bimbingan</v>
      </c>
      <c r="K65" s="567"/>
      <c r="L65" s="568"/>
      <c r="M65" s="259"/>
      <c r="T65" s="565"/>
      <c r="U65" s="226" t="s">
        <v>19</v>
      </c>
      <c r="V65" s="229" t="s">
        <v>306</v>
      </c>
      <c r="W65" s="232" t="s">
        <v>304</v>
      </c>
    </row>
    <row r="66" spans="1:33" ht="30.95" customHeight="1">
      <c r="A66" s="266"/>
      <c r="B66" s="274">
        <v>6</v>
      </c>
      <c r="C66" s="576" t="str">
        <f>LEGER!K$6</f>
        <v>Bahasa Inggris</v>
      </c>
      <c r="D66" s="576"/>
      <c r="E66" s="576"/>
      <c r="F66" s="576"/>
      <c r="G66" s="576"/>
      <c r="H66" s="275">
        <f>IFERROR(VLOOKUP($E$4&amp;"B",leggerx1,8,0),"")</f>
        <v>70</v>
      </c>
      <c r="I66" s="275" t="str">
        <f>IFERROR(VLOOKUP($E$4&amp;"D",leggerx1,8,0),"")</f>
        <v>C</v>
      </c>
      <c r="J66" s="640" t="str">
        <f>IFERROR(VLOOKUP(I66,$U$30:$W$33,3,0),"")</f>
        <v>Cukup, sudah menguasai beberapa kompetensi keterampilan pada KI-4</v>
      </c>
      <c r="K66" s="641"/>
      <c r="L66" s="642"/>
      <c r="M66" s="259"/>
      <c r="T66" s="565" t="str">
        <f>C51</f>
        <v>Bahasa &amp; Sastra Inggris</v>
      </c>
      <c r="U66" s="226" t="s">
        <v>7</v>
      </c>
      <c r="V66" s="229" t="s">
        <v>310</v>
      </c>
      <c r="W66" s="230" t="s">
        <v>311</v>
      </c>
    </row>
    <row r="67" spans="1:33" ht="17.100000000000001" customHeight="1">
      <c r="A67" s="266"/>
      <c r="B67" s="301" t="s">
        <v>265</v>
      </c>
      <c r="C67" s="302"/>
      <c r="D67" s="302"/>
      <c r="E67" s="302"/>
      <c r="F67" s="302"/>
      <c r="G67" s="302"/>
      <c r="H67" s="215"/>
      <c r="I67" s="278"/>
      <c r="J67" s="279"/>
      <c r="K67" s="303"/>
      <c r="L67" s="304"/>
      <c r="M67" s="259"/>
      <c r="T67" s="565"/>
      <c r="U67" s="226" t="s">
        <v>6</v>
      </c>
      <c r="V67" s="229" t="s">
        <v>308</v>
      </c>
      <c r="W67" s="232" t="s">
        <v>307</v>
      </c>
    </row>
    <row r="68" spans="1:33" ht="30.95" customHeight="1">
      <c r="A68" s="266"/>
      <c r="B68" s="267">
        <v>1</v>
      </c>
      <c r="C68" s="661" t="str">
        <f>LEGER!L$6</f>
        <v>Seni Budaya</v>
      </c>
      <c r="D68" s="661"/>
      <c r="E68" s="661"/>
      <c r="F68" s="661"/>
      <c r="G68" s="661"/>
      <c r="H68" s="268">
        <f>IFERROR(VLOOKUP($E$4&amp;"B",leggerx1,9,0),"")</f>
        <v>70</v>
      </c>
      <c r="I68" s="268" t="str">
        <f>IFERROR(VLOOKUP($E$4&amp;"D",leggerx1,9,0),"")</f>
        <v>C</v>
      </c>
      <c r="J68" s="601" t="str">
        <f>IFERROR(VLOOKUP(I68,$U$34:$W$37,3,0),"")</f>
        <v>Cukup, sudah menguasai beberapa kompetensi keterampilan pada KI-4</v>
      </c>
      <c r="K68" s="602"/>
      <c r="L68" s="603"/>
      <c r="M68" s="259"/>
      <c r="T68" s="565"/>
      <c r="U68" s="226" t="s">
        <v>18</v>
      </c>
      <c r="V68" s="229" t="s">
        <v>305</v>
      </c>
      <c r="W68" s="232" t="s">
        <v>309</v>
      </c>
    </row>
    <row r="69" spans="1:33" ht="30.95" customHeight="1">
      <c r="A69" s="266"/>
      <c r="B69" s="271">
        <v>2</v>
      </c>
      <c r="C69" s="580" t="str">
        <f>LEGER!M$6</f>
        <v>Pendidikan Jasmani, Olah Raga dan Kesehatan</v>
      </c>
      <c r="D69" s="580"/>
      <c r="E69" s="580"/>
      <c r="F69" s="580"/>
      <c r="G69" s="580"/>
      <c r="H69" s="281">
        <f>IFERROR(VLOOKUP($E$4&amp;"B",leggerx1,10,0),"")</f>
        <v>52</v>
      </c>
      <c r="I69" s="281" t="str">
        <f>IFERROR(VLOOKUP($E$4&amp;"D",leggerx1,10,0),"")</f>
        <v>D</v>
      </c>
      <c r="J69" s="566" t="str">
        <f>IFERROR(VLOOKUP(I69,$U$38:$W$41,3,0),"")</f>
        <v>Baru menguasai sebagian kecil kompetensi keterampilan, perlu bimbingan</v>
      </c>
      <c r="K69" s="567"/>
      <c r="L69" s="568"/>
      <c r="M69" s="259"/>
      <c r="T69" s="565"/>
      <c r="U69" s="226" t="s">
        <v>19</v>
      </c>
      <c r="V69" s="229" t="s">
        <v>306</v>
      </c>
      <c r="W69" s="232" t="s">
        <v>304</v>
      </c>
    </row>
    <row r="70" spans="1:33" ht="30.95" customHeight="1">
      <c r="A70" s="266"/>
      <c r="B70" s="271">
        <v>3</v>
      </c>
      <c r="C70" s="580" t="str">
        <f>LEGER!N$6</f>
        <v>Prakarya dan Kewirausahaan</v>
      </c>
      <c r="D70" s="580"/>
      <c r="E70" s="580"/>
      <c r="F70" s="580"/>
      <c r="G70" s="580"/>
      <c r="H70" s="281">
        <f>IFERROR(VLOOKUP($E$4&amp;"B",leggerx1,11,0),"")</f>
        <v>80</v>
      </c>
      <c r="I70" s="281" t="str">
        <f>IFERROR(VLOOKUP($E$4&amp;"D",leggerx1,11,0),"")</f>
        <v>B</v>
      </c>
      <c r="J70" s="566" t="str">
        <f>IFERROR(VLOOKUP(I70,$U$42:$W$45,3,0),"")</f>
        <v>Sudah menguasai sebagian besar keterampilan pada KI-4 dengan baik</v>
      </c>
      <c r="K70" s="567"/>
      <c r="L70" s="568"/>
      <c r="M70" s="259"/>
      <c r="T70" s="565" t="str">
        <f>C52</f>
        <v>B i o l o g i</v>
      </c>
      <c r="U70" s="226" t="s">
        <v>7</v>
      </c>
      <c r="V70" s="229" t="s">
        <v>310</v>
      </c>
      <c r="W70" s="230" t="s">
        <v>311</v>
      </c>
    </row>
    <row r="71" spans="1:33" ht="30.95" customHeight="1">
      <c r="A71" s="266"/>
      <c r="B71" s="274">
        <v>4</v>
      </c>
      <c r="C71" s="576" t="str">
        <f>LEGER!O$6</f>
        <v>Bahasa Sunda</v>
      </c>
      <c r="D71" s="576"/>
      <c r="E71" s="576"/>
      <c r="F71" s="576"/>
      <c r="G71" s="576"/>
      <c r="H71" s="282">
        <f>IFERROR(VLOOKUP($E$4&amp;"B",leggerx1,12,0),"")</f>
        <v>35</v>
      </c>
      <c r="I71" s="282" t="str">
        <f>IFERROR(VLOOKUP($E$4&amp;"D",leggerx1,12,0),"")</f>
        <v>D</v>
      </c>
      <c r="J71" s="640" t="str">
        <f>IFERROR(VLOOKUP(I71,$U$46:$W$57,3,0),"")</f>
        <v>Baru menguasai sebagian kecil kompetensi keterampilan, perlu bimbingan</v>
      </c>
      <c r="K71" s="641"/>
      <c r="L71" s="642"/>
      <c r="M71" s="259"/>
      <c r="T71" s="565"/>
      <c r="U71" s="226" t="s">
        <v>6</v>
      </c>
      <c r="V71" s="229" t="s">
        <v>308</v>
      </c>
      <c r="W71" s="232" t="s">
        <v>307</v>
      </c>
    </row>
    <row r="72" spans="1:33" ht="17.100000000000001" customHeight="1">
      <c r="A72" s="209"/>
      <c r="B72" s="301" t="s">
        <v>266</v>
      </c>
      <c r="C72" s="302"/>
      <c r="D72" s="302"/>
      <c r="E72" s="302"/>
      <c r="F72" s="302"/>
      <c r="G72" s="302"/>
      <c r="H72" s="215"/>
      <c r="I72" s="278"/>
      <c r="J72" s="279"/>
      <c r="K72" s="303"/>
      <c r="L72" s="304"/>
      <c r="M72" s="259"/>
      <c r="T72" s="565"/>
      <c r="U72" s="226" t="s">
        <v>18</v>
      </c>
      <c r="V72" s="229" t="s">
        <v>305</v>
      </c>
      <c r="W72" s="232" t="s">
        <v>309</v>
      </c>
    </row>
    <row r="73" spans="1:33" ht="30.95" customHeight="1">
      <c r="A73" s="266"/>
      <c r="B73" s="267">
        <v>1</v>
      </c>
      <c r="C73" s="661" t="str">
        <f>LEGER!P$6</f>
        <v>Sejarah IPS</v>
      </c>
      <c r="D73" s="661"/>
      <c r="E73" s="661"/>
      <c r="F73" s="661"/>
      <c r="G73" s="661"/>
      <c r="H73" s="283">
        <f>IFERROR(VLOOKUP($E$4&amp;"B",leggerx1,13,0),"")</f>
        <v>70</v>
      </c>
      <c r="I73" s="283" t="str">
        <f>IFERROR(VLOOKUP($E$4&amp;"D",leggerx1,13,0),"")</f>
        <v>C</v>
      </c>
      <c r="J73" s="601" t="str">
        <f>IFERROR(VLOOKUP(I73,$U$50:$W$53,3,0),"")</f>
        <v>Cukup, sudah menguasai beberapa kompetensi keterampilan pada KI-4</v>
      </c>
      <c r="K73" s="602"/>
      <c r="L73" s="603"/>
      <c r="M73" s="259"/>
      <c r="T73" s="565"/>
      <c r="U73" s="226" t="s">
        <v>19</v>
      </c>
      <c r="V73" s="229" t="s">
        <v>306</v>
      </c>
      <c r="W73" s="232" t="s">
        <v>304</v>
      </c>
    </row>
    <row r="74" spans="1:33" ht="30.95" customHeight="1">
      <c r="A74" s="266"/>
      <c r="B74" s="271">
        <v>2</v>
      </c>
      <c r="C74" s="580" t="str">
        <f>LEGER!Q$6</f>
        <v>G e o g r a f i</v>
      </c>
      <c r="D74" s="580"/>
      <c r="E74" s="580"/>
      <c r="F74" s="580"/>
      <c r="G74" s="580"/>
      <c r="H74" s="281" t="str">
        <f>IFERROR(VLOOKUP($E$4&amp;"B",leggerx1,14,0),"")</f>
        <v>37,5</v>
      </c>
      <c r="I74" s="281" t="str">
        <f>IFERROR(VLOOKUP($E$4&amp;"D",leggerx1,14,0),"")</f>
        <v>--</v>
      </c>
      <c r="J74" s="566" t="str">
        <f>IFERROR(VLOOKUP(I74,$U$54:$W$57,3,0),"")</f>
        <v/>
      </c>
      <c r="K74" s="567"/>
      <c r="L74" s="568"/>
      <c r="M74" s="259"/>
      <c r="T74" s="305" t="str">
        <f>C53</f>
        <v>Baca Tulis Qur'an</v>
      </c>
      <c r="U74" s="226" t="s">
        <v>7</v>
      </c>
      <c r="V74" s="229" t="s">
        <v>310</v>
      </c>
      <c r="W74" s="230" t="s">
        <v>311</v>
      </c>
    </row>
    <row r="75" spans="1:33" ht="30.95" customHeight="1">
      <c r="A75" s="266"/>
      <c r="B75" s="271">
        <v>3</v>
      </c>
      <c r="C75" s="580" t="str">
        <f>LEGER!R$6</f>
        <v>S o s i o l o g i</v>
      </c>
      <c r="D75" s="580"/>
      <c r="E75" s="580"/>
      <c r="F75" s="580"/>
      <c r="G75" s="580"/>
      <c r="H75" s="281">
        <f>IFERROR(VLOOKUP($E$4&amp;"B",leggerx1,15,0),"")</f>
        <v>70</v>
      </c>
      <c r="I75" s="281" t="str">
        <f>IFERROR(VLOOKUP($E$4&amp;"D",leggerx1,15,0),"")</f>
        <v>C</v>
      </c>
      <c r="J75" s="566" t="str">
        <f>IFERROR(VLOOKUP(I75,$U$58:$W$61,3,0),"")</f>
        <v>Cukup, sudah menguasai beberapa kompetensi keterampilan pada KI-4</v>
      </c>
      <c r="K75" s="567"/>
      <c r="L75" s="568"/>
      <c r="M75" s="259"/>
      <c r="T75" s="305"/>
      <c r="U75" s="226" t="s">
        <v>6</v>
      </c>
      <c r="V75" s="229" t="s">
        <v>308</v>
      </c>
      <c r="W75" s="232" t="s">
        <v>307</v>
      </c>
    </row>
    <row r="76" spans="1:33" ht="30.95" customHeight="1">
      <c r="A76" s="266"/>
      <c r="B76" s="271">
        <v>4</v>
      </c>
      <c r="C76" s="580" t="str">
        <f>LEGER!S$6</f>
        <v>E k o n o m i</v>
      </c>
      <c r="D76" s="580"/>
      <c r="E76" s="580"/>
      <c r="F76" s="580"/>
      <c r="G76" s="580"/>
      <c r="H76" s="281">
        <f>IFERROR(VLOOKUP($E$4&amp;"B",leggerx1,16,0),"")</f>
        <v>59</v>
      </c>
      <c r="I76" s="281" t="str">
        <f>IFERROR(VLOOKUP($E$4&amp;"D",leggerx1,16,0),"")</f>
        <v>D</v>
      </c>
      <c r="J76" s="566" t="str">
        <f>IFERROR(VLOOKUP(I76,$U$62:$W$65,3,0),"")</f>
        <v>Baru menguasai sebagian kecil kompetensi keterampilan, perlu bimbingan</v>
      </c>
      <c r="K76" s="567"/>
      <c r="L76" s="568"/>
      <c r="M76" s="259"/>
      <c r="T76" s="305"/>
      <c r="U76" s="226" t="s">
        <v>18</v>
      </c>
      <c r="V76" s="229" t="s">
        <v>305</v>
      </c>
      <c r="W76" s="232" t="s">
        <v>309</v>
      </c>
    </row>
    <row r="77" spans="1:33" ht="30.95" customHeight="1">
      <c r="A77" s="266"/>
      <c r="B77" s="271">
        <v>5</v>
      </c>
      <c r="C77" s="580" t="str">
        <f>LEGER!T$6</f>
        <v>Bahasa &amp; Sastra Inggris</v>
      </c>
      <c r="D77" s="580"/>
      <c r="E77" s="580"/>
      <c r="F77" s="580"/>
      <c r="G77" s="580"/>
      <c r="H77" s="306">
        <f>IFERROR(VLOOKUP($E$4&amp;"B",leggerx1,17,0),"")</f>
        <v>10</v>
      </c>
      <c r="I77" s="306" t="str">
        <f>IFERROR(VLOOKUP($E$4&amp;"D",leggerx1,17,0),"")</f>
        <v>D</v>
      </c>
      <c r="J77" s="566" t="str">
        <f>IFERROR(VLOOKUP(I77,$U$66:$W$69,3,0),"")</f>
        <v>Baru menguasai sebagian kecil kompetensi keterampilan, perlu bimbingan</v>
      </c>
      <c r="K77" s="567"/>
      <c r="L77" s="568"/>
      <c r="M77" s="259"/>
      <c r="T77" s="307"/>
      <c r="U77" s="226" t="s">
        <v>19</v>
      </c>
      <c r="V77" s="229" t="s">
        <v>306</v>
      </c>
      <c r="W77" s="232" t="s">
        <v>304</v>
      </c>
    </row>
    <row r="78" spans="1:33" ht="30.95" customHeight="1">
      <c r="A78" s="266"/>
      <c r="B78" s="271">
        <v>6</v>
      </c>
      <c r="C78" s="580" t="str">
        <f>LEGER!U$6</f>
        <v>B i o l o g i</v>
      </c>
      <c r="D78" s="580"/>
      <c r="E78" s="580"/>
      <c r="F78" s="580"/>
      <c r="G78" s="580"/>
      <c r="H78" s="281">
        <f>IFERROR(VLOOKUP($E$4&amp;"B",leggerx1,18,0),"")</f>
        <v>40</v>
      </c>
      <c r="I78" s="281" t="str">
        <f>IFERROR(VLOOKUP($E$4&amp;"D",leggerx1,18,0),"")</f>
        <v>D</v>
      </c>
      <c r="J78" s="566" t="str">
        <f>IFERROR(VLOOKUP(I78,$U$70:$W$73,3,0),"")</f>
        <v>Baru menguasai sebagian kecil kompetensi keterampilan, perlu bimbingan</v>
      </c>
      <c r="K78" s="567"/>
      <c r="L78" s="568"/>
      <c r="M78" s="259"/>
      <c r="T78" s="308"/>
      <c r="U78" s="252"/>
      <c r="V78" s="309"/>
      <c r="W78" s="310"/>
    </row>
    <row r="79" spans="1:33" ht="30.95" customHeight="1">
      <c r="A79" s="209"/>
      <c r="B79" s="274">
        <v>7</v>
      </c>
      <c r="C79" s="576" t="str">
        <f>LEGER!V$6</f>
        <v>Baca Tulis Qur'an</v>
      </c>
      <c r="D79" s="576"/>
      <c r="E79" s="576"/>
      <c r="F79" s="576"/>
      <c r="G79" s="576"/>
      <c r="H79" s="282">
        <f>IFERROR(VLOOKUP($E$4&amp;"B",leggerx1,19,0),"")</f>
        <v>73</v>
      </c>
      <c r="I79" s="282" t="str">
        <f>IFERROR(VLOOKUP($E$4&amp;"D",leggerx1,19,0),"")</f>
        <v>C</v>
      </c>
      <c r="J79" s="640" t="str">
        <f>IFERROR(VLOOKUP(I79,$U$74:$W$77,3,0),"")</f>
        <v>Cukup, sudah menguasai beberapa kompetensi keterampilan pada KI-4</v>
      </c>
      <c r="K79" s="641"/>
      <c r="L79" s="642"/>
      <c r="M79" s="259"/>
      <c r="T79" s="308"/>
      <c r="U79" s="252"/>
      <c r="V79" s="309"/>
      <c r="W79" s="309"/>
    </row>
    <row r="80" spans="1:33" s="245" customFormat="1" ht="12" customHeight="1">
      <c r="A80" s="311"/>
      <c r="B80" s="248"/>
      <c r="C80" s="312"/>
      <c r="D80" s="312"/>
      <c r="E80" s="312"/>
      <c r="F80" s="312"/>
      <c r="G80" s="312"/>
      <c r="H80" s="313"/>
      <c r="I80" s="314"/>
      <c r="J80" s="315"/>
      <c r="K80" s="314"/>
      <c r="L80" s="315"/>
      <c r="M80" s="247"/>
      <c r="N80" s="250"/>
      <c r="O80" s="183"/>
      <c r="P80" s="184"/>
      <c r="Q80" s="184"/>
      <c r="R80" s="184"/>
      <c r="S80" s="185"/>
      <c r="T80" s="308"/>
      <c r="U80" s="252"/>
      <c r="V80" s="309"/>
      <c r="W80" s="309"/>
      <c r="X80" s="183"/>
      <c r="Y80" s="183"/>
      <c r="Z80" s="183"/>
      <c r="AA80" s="188"/>
      <c r="AB80" s="188"/>
      <c r="AC80" s="188"/>
      <c r="AD80" s="188"/>
      <c r="AE80" s="188"/>
      <c r="AF80" s="188"/>
      <c r="AG80" s="188"/>
    </row>
    <row r="81" spans="1:33">
      <c r="A81" s="311"/>
      <c r="B81" s="316" t="s">
        <v>313</v>
      </c>
      <c r="C81" s="236"/>
      <c r="D81" s="236"/>
      <c r="E81" s="236"/>
      <c r="F81" s="236"/>
      <c r="G81" s="236"/>
      <c r="H81" s="287"/>
      <c r="I81" s="288"/>
      <c r="J81" s="289"/>
      <c r="K81" s="288"/>
      <c r="L81" s="317"/>
      <c r="M81" s="259"/>
      <c r="T81" s="308"/>
      <c r="U81" s="252"/>
      <c r="V81" s="309"/>
      <c r="W81" s="309"/>
    </row>
    <row r="82" spans="1:33" ht="17.100000000000001" customHeight="1">
      <c r="A82" s="311"/>
      <c r="B82" s="318"/>
      <c r="C82" s="625" t="s">
        <v>314</v>
      </c>
      <c r="D82" s="626"/>
      <c r="E82" s="670" t="s">
        <v>4</v>
      </c>
      <c r="F82" s="670"/>
      <c r="G82" s="670"/>
      <c r="H82" s="670"/>
      <c r="I82" s="670"/>
      <c r="J82" s="670"/>
      <c r="K82" s="670"/>
      <c r="L82" s="317"/>
      <c r="M82" s="259"/>
      <c r="T82" s="308"/>
      <c r="U82" s="252"/>
      <c r="V82" s="309"/>
      <c r="W82" s="310"/>
    </row>
    <row r="83" spans="1:33" ht="17.100000000000001" customHeight="1">
      <c r="A83" s="311"/>
      <c r="B83" s="302"/>
      <c r="C83" s="627"/>
      <c r="D83" s="628"/>
      <c r="E83" s="587" t="s">
        <v>267</v>
      </c>
      <c r="F83" s="587"/>
      <c r="G83" s="587"/>
      <c r="H83" s="587" t="s">
        <v>268</v>
      </c>
      <c r="I83" s="587"/>
      <c r="J83" s="319" t="s">
        <v>269</v>
      </c>
      <c r="K83" s="320" t="s">
        <v>270</v>
      </c>
      <c r="L83" s="317"/>
      <c r="M83" s="259"/>
      <c r="T83" s="308"/>
      <c r="U83" s="252"/>
      <c r="V83" s="309"/>
      <c r="W83" s="309"/>
    </row>
    <row r="84" spans="1:33" ht="17.100000000000001" customHeight="1">
      <c r="A84" s="311"/>
      <c r="B84" s="318"/>
      <c r="C84" s="662">
        <v>70</v>
      </c>
      <c r="D84" s="663"/>
      <c r="E84" s="584" t="s">
        <v>300</v>
      </c>
      <c r="F84" s="584"/>
      <c r="G84" s="584"/>
      <c r="H84" s="584" t="s">
        <v>301</v>
      </c>
      <c r="I84" s="584"/>
      <c r="J84" s="321" t="s">
        <v>302</v>
      </c>
      <c r="K84" s="321" t="s">
        <v>303</v>
      </c>
      <c r="L84" s="317"/>
      <c r="M84" s="259"/>
      <c r="T84" s="322"/>
      <c r="U84" s="252"/>
      <c r="V84" s="309"/>
      <c r="W84" s="309"/>
    </row>
    <row r="85" spans="1:33">
      <c r="A85" s="311"/>
      <c r="B85" s="235"/>
      <c r="C85" s="236"/>
      <c r="D85" s="236"/>
      <c r="E85" s="236"/>
      <c r="F85" s="236"/>
      <c r="G85" s="236"/>
      <c r="H85" s="287"/>
      <c r="I85" s="288"/>
      <c r="J85" s="289"/>
      <c r="K85" s="288"/>
      <c r="L85" s="289"/>
      <c r="M85" s="259"/>
      <c r="T85" s="322"/>
      <c r="U85" s="252"/>
      <c r="V85" s="309"/>
      <c r="W85" s="309"/>
    </row>
    <row r="86" spans="1:33">
      <c r="A86" s="302" t="s">
        <v>292</v>
      </c>
      <c r="B86" s="215"/>
      <c r="C86" s="323"/>
      <c r="D86" s="323"/>
      <c r="E86" s="323"/>
      <c r="F86" s="323"/>
      <c r="G86" s="323"/>
      <c r="H86" s="323"/>
      <c r="I86" s="323"/>
      <c r="J86" s="323"/>
      <c r="K86" s="323"/>
      <c r="L86" s="189"/>
      <c r="M86" s="194"/>
    </row>
    <row r="87" spans="1:33" ht="28.5">
      <c r="A87" s="209"/>
      <c r="B87" s="324" t="s">
        <v>192</v>
      </c>
      <c r="C87" s="589" t="s">
        <v>185</v>
      </c>
      <c r="D87" s="590"/>
      <c r="E87" s="591"/>
      <c r="F87" s="325" t="s">
        <v>4</v>
      </c>
      <c r="G87" s="589" t="s">
        <v>64</v>
      </c>
      <c r="H87" s="590"/>
      <c r="I87" s="590"/>
      <c r="J87" s="590"/>
      <c r="K87" s="590"/>
      <c r="L87" s="591"/>
      <c r="M87" s="194"/>
      <c r="P87" s="585" t="s">
        <v>158</v>
      </c>
      <c r="Q87" s="586"/>
    </row>
    <row r="88" spans="1:33" ht="15">
      <c r="A88" s="209"/>
      <c r="B88" s="326">
        <v>1</v>
      </c>
      <c r="C88" s="655" t="str">
        <f>VLOOKUP($E$4&amp;"A",leggerx1,25,0)</f>
        <v>Pend. Kepramukaan</v>
      </c>
      <c r="D88" s="656"/>
      <c r="E88" s="657"/>
      <c r="F88" s="326" t="str">
        <f>VLOOKUP($E$4&amp;"A",leggerx1,26,0)</f>
        <v>-</v>
      </c>
      <c r="G88" s="605" t="str">
        <f>VLOOKUP(F88,$P$88:$Q$92,2,0)</f>
        <v>--</v>
      </c>
      <c r="H88" s="606"/>
      <c r="I88" s="606"/>
      <c r="J88" s="606"/>
      <c r="K88" s="606"/>
      <c r="L88" s="607"/>
      <c r="M88" s="194"/>
      <c r="P88" s="295" t="s">
        <v>288</v>
      </c>
      <c r="Q88" s="327" t="s">
        <v>259</v>
      </c>
    </row>
    <row r="89" spans="1:33" ht="15">
      <c r="A89" s="209"/>
      <c r="B89" s="271">
        <v>2</v>
      </c>
      <c r="C89" s="652" t="str">
        <f>VLOOKUP($E$4&amp;"B",leggerx1,25,0)</f>
        <v>-</v>
      </c>
      <c r="D89" s="653"/>
      <c r="E89" s="654"/>
      <c r="F89" s="328" t="str">
        <f>VLOOKUP($E$4&amp;"B",leggerx1,26,0)</f>
        <v>-</v>
      </c>
      <c r="G89" s="570" t="str">
        <f>VLOOKUP(F89,$P$88:$Q$92,2,0)</f>
        <v>--</v>
      </c>
      <c r="H89" s="571"/>
      <c r="I89" s="571"/>
      <c r="J89" s="571"/>
      <c r="K89" s="571"/>
      <c r="L89" s="572"/>
      <c r="M89" s="194"/>
      <c r="P89" s="295" t="s">
        <v>6</v>
      </c>
      <c r="Q89" s="327" t="s">
        <v>260</v>
      </c>
    </row>
    <row r="90" spans="1:33" ht="15">
      <c r="A90" s="209"/>
      <c r="B90" s="271">
        <v>3</v>
      </c>
      <c r="C90" s="652" t="str">
        <f>VLOOKUP($E$4&amp;"C",leggerx1,25,0)</f>
        <v>-</v>
      </c>
      <c r="D90" s="653"/>
      <c r="E90" s="654"/>
      <c r="F90" s="328" t="str">
        <f>VLOOKUP($E$4&amp;"C",leggerx1,26,0)</f>
        <v>-</v>
      </c>
      <c r="G90" s="648" t="str">
        <f>VLOOKUP(F90,$P$88:$Q$92,2,0)</f>
        <v>--</v>
      </c>
      <c r="H90" s="649"/>
      <c r="I90" s="649"/>
      <c r="J90" s="649"/>
      <c r="K90" s="649"/>
      <c r="L90" s="650"/>
      <c r="M90" s="194"/>
      <c r="P90" s="295" t="s">
        <v>18</v>
      </c>
      <c r="Q90" s="327" t="s">
        <v>258</v>
      </c>
    </row>
    <row r="91" spans="1:33" ht="15">
      <c r="A91" s="209"/>
      <c r="B91" s="274">
        <v>4</v>
      </c>
      <c r="C91" s="595" t="str">
        <f>VLOOKUP($E$4&amp;"D",leggerx1,25,0)</f>
        <v>-</v>
      </c>
      <c r="D91" s="596"/>
      <c r="E91" s="597"/>
      <c r="F91" s="329" t="str">
        <f>VLOOKUP($E$4&amp;"D",leggerx1,26,0)</f>
        <v>-</v>
      </c>
      <c r="G91" s="645" t="str">
        <f>VLOOKUP(F91,$P$88:$Q$92,2,0)</f>
        <v>--</v>
      </c>
      <c r="H91" s="646"/>
      <c r="I91" s="646"/>
      <c r="J91" s="646"/>
      <c r="K91" s="646"/>
      <c r="L91" s="647"/>
      <c r="M91" s="194"/>
      <c r="P91" s="295" t="s">
        <v>297</v>
      </c>
      <c r="Q91" s="327" t="s">
        <v>261</v>
      </c>
    </row>
    <row r="92" spans="1:33" s="245" customFormat="1">
      <c r="A92" s="209"/>
      <c r="B92" s="189"/>
      <c r="C92" s="189"/>
      <c r="D92" s="189"/>
      <c r="E92" s="189"/>
      <c r="F92" s="189"/>
      <c r="G92" s="189"/>
      <c r="H92" s="189"/>
      <c r="I92" s="189"/>
      <c r="J92" s="189"/>
      <c r="K92" s="189"/>
      <c r="L92" s="189"/>
      <c r="M92" s="247"/>
      <c r="N92" s="250"/>
      <c r="O92" s="183"/>
      <c r="P92" s="295" t="s">
        <v>36</v>
      </c>
      <c r="Q92" s="330" t="s">
        <v>179</v>
      </c>
      <c r="R92" s="184"/>
      <c r="S92" s="185"/>
      <c r="T92" s="186"/>
      <c r="U92" s="186"/>
      <c r="V92" s="187"/>
      <c r="W92" s="187"/>
      <c r="X92" s="183"/>
      <c r="Y92" s="183"/>
      <c r="Z92" s="183"/>
      <c r="AA92" s="188"/>
      <c r="AB92" s="188"/>
      <c r="AC92" s="188"/>
      <c r="AD92" s="188"/>
      <c r="AE92" s="188"/>
      <c r="AF92" s="188"/>
      <c r="AG92" s="188"/>
    </row>
    <row r="93" spans="1:33">
      <c r="A93" s="302" t="s">
        <v>293</v>
      </c>
      <c r="B93" s="215"/>
      <c r="C93" s="215"/>
      <c r="D93" s="215"/>
      <c r="E93" s="216"/>
      <c r="F93" s="216"/>
      <c r="G93" s="216"/>
      <c r="H93" s="323"/>
      <c r="I93" s="323"/>
      <c r="J93" s="323"/>
      <c r="K93" s="323"/>
      <c r="L93" s="189"/>
      <c r="M93" s="194"/>
    </row>
    <row r="94" spans="1:33" ht="15">
      <c r="A94" s="209"/>
      <c r="B94" s="324" t="s">
        <v>192</v>
      </c>
      <c r="C94" s="667" t="s">
        <v>146</v>
      </c>
      <c r="D94" s="667"/>
      <c r="E94" s="667"/>
      <c r="F94" s="668"/>
      <c r="G94" s="589" t="s">
        <v>166</v>
      </c>
      <c r="H94" s="590"/>
      <c r="I94" s="590"/>
      <c r="J94" s="590"/>
      <c r="K94" s="590"/>
      <c r="L94" s="591"/>
      <c r="M94" s="194"/>
    </row>
    <row r="95" spans="1:33" ht="15">
      <c r="A95" s="209"/>
      <c r="B95" s="326">
        <v>1</v>
      </c>
      <c r="C95" s="669" t="str">
        <f>VLOOKUP($E$4&amp;"A",catatan,2,0)</f>
        <v>-</v>
      </c>
      <c r="D95" s="669"/>
      <c r="E95" s="669"/>
      <c r="F95" s="669"/>
      <c r="G95" s="632" t="str">
        <f>VLOOKUP($E$4&amp;"A",catatan,3,0)</f>
        <v>-</v>
      </c>
      <c r="H95" s="633"/>
      <c r="I95" s="633"/>
      <c r="J95" s="633"/>
      <c r="K95" s="633"/>
      <c r="L95" s="634"/>
      <c r="M95" s="194"/>
    </row>
    <row r="96" spans="1:33" ht="15">
      <c r="A96" s="209"/>
      <c r="B96" s="271">
        <v>2</v>
      </c>
      <c r="C96" s="651" t="str">
        <f>VLOOKUP($E$4&amp;"B",catatan,2,0)</f>
        <v>-</v>
      </c>
      <c r="D96" s="651"/>
      <c r="E96" s="651"/>
      <c r="F96" s="651"/>
      <c r="G96" s="629" t="str">
        <f>VLOOKUP($E$4&amp;"B",catatan,3,0)</f>
        <v>-</v>
      </c>
      <c r="H96" s="630"/>
      <c r="I96" s="630"/>
      <c r="J96" s="630"/>
      <c r="K96" s="630"/>
      <c r="L96" s="631"/>
      <c r="M96" s="194"/>
    </row>
    <row r="97" spans="1:33" ht="15">
      <c r="A97" s="209"/>
      <c r="B97" s="271">
        <v>3</v>
      </c>
      <c r="C97" s="651" t="str">
        <f>VLOOKUP($E$4&amp;"C",catatan,2,0)</f>
        <v>-</v>
      </c>
      <c r="D97" s="651"/>
      <c r="E97" s="651"/>
      <c r="F97" s="651"/>
      <c r="G97" s="629" t="str">
        <f>VLOOKUP($E$4&amp;"C",catatan,3,0)</f>
        <v>-</v>
      </c>
      <c r="H97" s="630"/>
      <c r="I97" s="630"/>
      <c r="J97" s="630"/>
      <c r="K97" s="630"/>
      <c r="L97" s="631"/>
      <c r="M97" s="194"/>
    </row>
    <row r="98" spans="1:33" ht="15">
      <c r="A98" s="209"/>
      <c r="B98" s="274">
        <v>4</v>
      </c>
      <c r="C98" s="666" t="str">
        <f>VLOOKUP($E$4&amp;"D",catatan,2,0)</f>
        <v>-</v>
      </c>
      <c r="D98" s="666"/>
      <c r="E98" s="666"/>
      <c r="F98" s="666"/>
      <c r="G98" s="635" t="str">
        <f>VLOOKUP($E$4&amp;"D",catatan,3,0)</f>
        <v>-</v>
      </c>
      <c r="H98" s="636"/>
      <c r="I98" s="636"/>
      <c r="J98" s="636"/>
      <c r="K98" s="636"/>
      <c r="L98" s="637"/>
      <c r="M98" s="194"/>
    </row>
    <row r="99" spans="1:33" s="245" customFormat="1">
      <c r="A99" s="209"/>
      <c r="B99" s="189"/>
      <c r="C99" s="189"/>
      <c r="D99" s="189"/>
      <c r="E99" s="189"/>
      <c r="F99" s="189"/>
      <c r="G99" s="189"/>
      <c r="H99" s="189"/>
      <c r="I99" s="189"/>
      <c r="J99" s="189"/>
      <c r="K99" s="189"/>
      <c r="L99" s="189"/>
      <c r="M99" s="247"/>
      <c r="N99" s="250"/>
      <c r="O99" s="183"/>
      <c r="P99" s="184"/>
      <c r="Q99" s="184"/>
      <c r="R99" s="184"/>
      <c r="S99" s="185"/>
      <c r="T99" s="186"/>
      <c r="U99" s="186"/>
      <c r="V99" s="187"/>
      <c r="W99" s="187"/>
      <c r="X99" s="183"/>
      <c r="Y99" s="183"/>
      <c r="Z99" s="183"/>
      <c r="AA99" s="188"/>
      <c r="AB99" s="188"/>
      <c r="AC99" s="188"/>
      <c r="AD99" s="188"/>
      <c r="AE99" s="188"/>
      <c r="AF99" s="188"/>
      <c r="AG99" s="188"/>
    </row>
    <row r="100" spans="1:33">
      <c r="A100" s="302" t="s">
        <v>294</v>
      </c>
      <c r="B100" s="215"/>
      <c r="C100" s="215"/>
      <c r="D100" s="215"/>
      <c r="E100" s="216"/>
      <c r="F100" s="216"/>
      <c r="G100" s="216"/>
      <c r="H100" s="189"/>
      <c r="I100" s="189"/>
      <c r="J100" s="189"/>
      <c r="K100" s="189"/>
      <c r="L100" s="189"/>
      <c r="M100" s="194"/>
    </row>
    <row r="101" spans="1:33">
      <c r="A101" s="209"/>
      <c r="B101" s="599" t="s">
        <v>175</v>
      </c>
      <c r="C101" s="600"/>
      <c r="D101" s="331"/>
      <c r="E101" s="332" t="s">
        <v>3</v>
      </c>
      <c r="F101" s="333">
        <f>VLOOKUP($E$4&amp;"A",leggerx1,22,0)</f>
        <v>0</v>
      </c>
      <c r="G101" s="334" t="s">
        <v>178</v>
      </c>
      <c r="H101" s="323"/>
      <c r="I101" s="323"/>
      <c r="J101" s="323"/>
      <c r="K101" s="323"/>
      <c r="L101" s="189"/>
      <c r="M101" s="194"/>
    </row>
    <row r="102" spans="1:33">
      <c r="A102" s="209"/>
      <c r="B102" s="599" t="s">
        <v>176</v>
      </c>
      <c r="C102" s="600"/>
      <c r="D102" s="331"/>
      <c r="E102" s="332" t="s">
        <v>3</v>
      </c>
      <c r="F102" s="333">
        <f>VLOOKUP($E$4&amp;"A",leggerx1,23,0)</f>
        <v>0</v>
      </c>
      <c r="G102" s="334" t="s">
        <v>178</v>
      </c>
      <c r="H102" s="323"/>
      <c r="I102" s="323"/>
      <c r="J102" s="323"/>
      <c r="K102" s="323"/>
      <c r="M102" s="194"/>
    </row>
    <row r="103" spans="1:33">
      <c r="A103" s="209"/>
      <c r="B103" s="599" t="s">
        <v>177</v>
      </c>
      <c r="C103" s="600"/>
      <c r="D103" s="331"/>
      <c r="E103" s="332" t="s">
        <v>3</v>
      </c>
      <c r="F103" s="333">
        <f>VLOOKUP($E$4&amp;"A",leggerx1,24,0)</f>
        <v>0</v>
      </c>
      <c r="G103" s="334" t="s">
        <v>178</v>
      </c>
      <c r="H103" s="323"/>
      <c r="I103" s="323"/>
      <c r="J103" s="323"/>
      <c r="K103" s="323"/>
      <c r="M103" s="194"/>
    </row>
    <row r="104" spans="1:33">
      <c r="A104" s="209"/>
      <c r="B104" s="189"/>
      <c r="C104" s="189"/>
      <c r="D104" s="189"/>
      <c r="E104" s="189"/>
      <c r="F104" s="189"/>
      <c r="G104" s="189"/>
      <c r="H104" s="189"/>
      <c r="I104" s="323"/>
      <c r="J104" s="323"/>
      <c r="K104" s="323"/>
      <c r="L104" s="189"/>
      <c r="M104" s="194"/>
    </row>
    <row r="105" spans="1:33">
      <c r="A105" s="302" t="s">
        <v>295</v>
      </c>
      <c r="B105" s="215"/>
      <c r="C105" s="323"/>
      <c r="D105" s="323"/>
      <c r="E105" s="323"/>
      <c r="F105" s="323"/>
      <c r="G105" s="323"/>
      <c r="H105" s="323"/>
      <c r="I105" s="323"/>
      <c r="J105" s="323"/>
      <c r="K105" s="323"/>
      <c r="L105" s="335" t="s">
        <v>350</v>
      </c>
      <c r="M105" s="194"/>
    </row>
    <row r="106" spans="1:33" ht="35.1" customHeight="1">
      <c r="A106" s="209"/>
      <c r="B106" s="664" t="str">
        <f>VLOOKUP(E4&amp;"A",leger10,30,0)</f>
        <v>Luangkan waktu untuk belajar, hadir di kelas, rajin ke sekolah, &amp; perbaiki mapel yang belum tuntas !</v>
      </c>
      <c r="C106" s="665"/>
      <c r="D106" s="665"/>
      <c r="E106" s="665"/>
      <c r="F106" s="665"/>
      <c r="G106" s="665"/>
      <c r="H106" s="665"/>
      <c r="I106" s="665"/>
      <c r="J106" s="665"/>
      <c r="K106" s="665"/>
      <c r="L106" s="336">
        <f>VLOOKUP(E4&amp;"A",leger10,29,0)</f>
        <v>24</v>
      </c>
      <c r="M106" s="194"/>
    </row>
    <row r="107" spans="1:33">
      <c r="A107" s="209"/>
      <c r="B107" s="323"/>
      <c r="C107" s="323"/>
      <c r="D107" s="323"/>
      <c r="E107" s="323"/>
      <c r="F107" s="323"/>
      <c r="G107" s="323"/>
      <c r="H107" s="323"/>
      <c r="I107" s="323"/>
      <c r="J107" s="323"/>
      <c r="K107" s="323"/>
      <c r="L107" s="189"/>
      <c r="M107" s="194"/>
    </row>
    <row r="108" spans="1:33">
      <c r="A108" s="302" t="s">
        <v>296</v>
      </c>
      <c r="B108" s="215"/>
      <c r="C108" s="323"/>
      <c r="D108" s="323"/>
      <c r="E108" s="323"/>
      <c r="F108" s="323"/>
      <c r="G108" s="323"/>
      <c r="H108" s="323"/>
      <c r="I108" s="323"/>
      <c r="J108" s="323"/>
      <c r="K108" s="323"/>
      <c r="L108" s="189"/>
      <c r="M108" s="194"/>
    </row>
    <row r="109" spans="1:33" ht="30" customHeight="1">
      <c r="A109" s="209"/>
      <c r="B109" s="573"/>
      <c r="C109" s="574"/>
      <c r="D109" s="574"/>
      <c r="E109" s="574"/>
      <c r="F109" s="574"/>
      <c r="G109" s="574"/>
      <c r="H109" s="574"/>
      <c r="I109" s="574"/>
      <c r="J109" s="574"/>
      <c r="K109" s="574"/>
      <c r="L109" s="575"/>
      <c r="M109" s="194"/>
    </row>
    <row r="110" spans="1:33" ht="12.75">
      <c r="A110" s="337"/>
      <c r="B110" s="194"/>
      <c r="C110" s="194"/>
      <c r="D110" s="194"/>
      <c r="E110" s="194"/>
      <c r="F110" s="194"/>
      <c r="G110" s="194"/>
      <c r="H110" s="194"/>
      <c r="I110" s="194"/>
      <c r="J110" s="194"/>
      <c r="K110" s="194"/>
      <c r="L110" s="194"/>
      <c r="M110" s="194"/>
      <c r="P110" s="183"/>
      <c r="Q110" s="183"/>
      <c r="R110" s="183"/>
      <c r="T110" s="185"/>
      <c r="U110" s="185"/>
      <c r="V110" s="183"/>
      <c r="W110" s="183"/>
    </row>
    <row r="111" spans="1:33" ht="12.75">
      <c r="A111" s="337"/>
      <c r="B111" s="338"/>
      <c r="C111" s="338"/>
      <c r="D111" s="338"/>
      <c r="E111" s="338"/>
      <c r="F111" s="338"/>
      <c r="G111" s="338"/>
      <c r="H111" s="338"/>
      <c r="I111" s="338"/>
      <c r="J111" s="338"/>
      <c r="K111" s="338"/>
      <c r="L111" s="194"/>
      <c r="M111" s="194"/>
      <c r="P111" s="183"/>
      <c r="Q111" s="183"/>
      <c r="R111" s="183"/>
      <c r="T111" s="185"/>
      <c r="U111" s="185"/>
      <c r="V111" s="183"/>
      <c r="W111" s="183"/>
    </row>
    <row r="112" spans="1:33">
      <c r="A112" s="209"/>
      <c r="B112" s="323"/>
      <c r="C112" s="339" t="s">
        <v>39</v>
      </c>
      <c r="D112" s="339"/>
      <c r="E112" s="193"/>
      <c r="F112" s="190"/>
      <c r="G112" s="190"/>
      <c r="H112" s="190"/>
      <c r="I112" s="189"/>
      <c r="J112" s="340" t="s">
        <v>428</v>
      </c>
      <c r="K112" s="323"/>
      <c r="L112" s="189"/>
      <c r="M112" s="194"/>
    </row>
    <row r="113" spans="1:13">
      <c r="A113" s="209"/>
      <c r="B113" s="189"/>
      <c r="C113" s="339" t="s">
        <v>46</v>
      </c>
      <c r="D113" s="339"/>
      <c r="E113" s="189"/>
      <c r="F113" s="189"/>
      <c r="G113" s="189"/>
      <c r="H113" s="189"/>
      <c r="I113" s="190"/>
      <c r="J113" s="339" t="s">
        <v>2</v>
      </c>
      <c r="K113" s="189"/>
      <c r="L113" s="189"/>
      <c r="M113" s="194"/>
    </row>
    <row r="114" spans="1:13">
      <c r="A114" s="209"/>
      <c r="B114" s="189"/>
      <c r="C114" s="339"/>
      <c r="D114" s="339"/>
      <c r="E114" s="189"/>
      <c r="F114" s="189"/>
      <c r="G114" s="189"/>
      <c r="H114" s="189"/>
      <c r="I114" s="341"/>
      <c r="J114" s="339"/>
      <c r="K114" s="189"/>
      <c r="L114" s="189"/>
      <c r="M114" s="194"/>
    </row>
    <row r="115" spans="1:13">
      <c r="A115" s="209"/>
      <c r="B115" s="323"/>
      <c r="C115" s="339"/>
      <c r="D115" s="339"/>
      <c r="E115" s="189"/>
      <c r="F115" s="189"/>
      <c r="G115" s="189"/>
      <c r="H115" s="189"/>
      <c r="I115" s="341"/>
      <c r="J115" s="339"/>
      <c r="K115" s="323"/>
      <c r="L115" s="189"/>
      <c r="M115" s="194"/>
    </row>
    <row r="116" spans="1:13">
      <c r="A116" s="209"/>
      <c r="B116" s="323"/>
      <c r="C116" s="342" t="s">
        <v>157</v>
      </c>
      <c r="D116" s="342"/>
      <c r="E116" s="189"/>
      <c r="F116" s="189"/>
      <c r="G116" s="189"/>
      <c r="H116" s="189"/>
      <c r="I116" s="341"/>
      <c r="J116" s="343" t="str">
        <f>Biodata!E4</f>
        <v>Harun Arrosid, S.Pd.I</v>
      </c>
      <c r="K116" s="323"/>
      <c r="L116" s="189"/>
      <c r="M116" s="194"/>
    </row>
    <row r="117" spans="1:13">
      <c r="A117" s="209"/>
      <c r="B117" s="216"/>
      <c r="C117" s="189"/>
      <c r="D117" s="189"/>
      <c r="E117" s="189"/>
      <c r="F117" s="189"/>
      <c r="G117" s="189"/>
      <c r="H117" s="189"/>
      <c r="I117" s="344"/>
      <c r="J117" s="345" t="str">
        <f>"NIP :"&amp;Biodata!E5</f>
        <v>NIP :--</v>
      </c>
      <c r="K117" s="216"/>
      <c r="L117" s="189"/>
      <c r="M117" s="194"/>
    </row>
    <row r="118" spans="1:13">
      <c r="A118" s="209"/>
      <c r="B118" s="189"/>
      <c r="C118" s="189"/>
      <c r="D118" s="189"/>
      <c r="E118" s="189"/>
      <c r="F118" s="216"/>
      <c r="G118" s="339"/>
      <c r="H118" s="339" t="s">
        <v>39</v>
      </c>
      <c r="I118" s="341"/>
      <c r="J118" s="189"/>
      <c r="K118" s="189"/>
      <c r="L118" s="189"/>
      <c r="M118" s="194"/>
    </row>
    <row r="119" spans="1:13">
      <c r="A119" s="209"/>
      <c r="B119" s="189"/>
      <c r="C119" s="189"/>
      <c r="D119" s="189"/>
      <c r="E119" s="189"/>
      <c r="F119" s="189"/>
      <c r="G119" s="339"/>
      <c r="H119" s="339" t="s">
        <v>1</v>
      </c>
      <c r="I119" s="189"/>
      <c r="J119" s="189"/>
      <c r="K119" s="189"/>
      <c r="L119" s="189"/>
      <c r="M119" s="194"/>
    </row>
    <row r="120" spans="1:13">
      <c r="A120" s="209"/>
      <c r="B120" s="189"/>
      <c r="C120" s="189"/>
      <c r="D120" s="189"/>
      <c r="E120" s="189"/>
      <c r="F120" s="189"/>
      <c r="G120" s="346"/>
      <c r="H120" s="189"/>
      <c r="I120" s="189"/>
      <c r="J120" s="189"/>
      <c r="K120" s="189"/>
      <c r="L120" s="189"/>
      <c r="M120" s="194"/>
    </row>
    <row r="121" spans="1:13">
      <c r="A121" s="209"/>
      <c r="B121" s="189"/>
      <c r="C121" s="189"/>
      <c r="D121" s="189"/>
      <c r="E121" s="189"/>
      <c r="F121" s="341"/>
      <c r="G121" s="339"/>
      <c r="H121" s="189"/>
      <c r="I121" s="189"/>
      <c r="J121" s="189"/>
      <c r="K121" s="189"/>
      <c r="L121" s="189"/>
      <c r="M121" s="194"/>
    </row>
    <row r="122" spans="1:13">
      <c r="A122" s="209"/>
      <c r="B122" s="189"/>
      <c r="C122" s="189"/>
      <c r="D122" s="189"/>
      <c r="E122" s="189"/>
      <c r="F122" s="341"/>
      <c r="G122" s="347"/>
      <c r="H122" s="347" t="s">
        <v>37</v>
      </c>
      <c r="I122" s="189"/>
      <c r="J122" s="189"/>
      <c r="K122" s="193"/>
      <c r="L122" s="189"/>
      <c r="M122" s="194"/>
    </row>
    <row r="123" spans="1:13">
      <c r="A123" s="209"/>
      <c r="B123" s="189"/>
      <c r="C123" s="189"/>
      <c r="D123" s="189"/>
      <c r="E123" s="189"/>
      <c r="F123" s="189"/>
      <c r="G123" s="10"/>
      <c r="H123" s="10" t="s">
        <v>144</v>
      </c>
      <c r="I123" s="189"/>
      <c r="J123" s="189"/>
      <c r="K123" s="189"/>
      <c r="L123" s="189"/>
      <c r="M123" s="194"/>
    </row>
    <row r="124" spans="1:13">
      <c r="A124" s="209"/>
      <c r="B124" s="189"/>
      <c r="C124" s="189"/>
      <c r="D124" s="189"/>
      <c r="E124" s="189"/>
      <c r="F124" s="189"/>
      <c r="G124" s="188"/>
      <c r="H124" s="189"/>
      <c r="I124" s="189"/>
      <c r="J124" s="189"/>
      <c r="K124" s="189"/>
      <c r="L124" s="189"/>
      <c r="M124" s="194"/>
    </row>
    <row r="125" spans="1:13">
      <c r="A125" s="209"/>
      <c r="B125" s="189"/>
      <c r="C125" s="189"/>
      <c r="D125" s="189"/>
      <c r="E125" s="189"/>
      <c r="F125" s="189"/>
      <c r="G125" s="189"/>
      <c r="H125" s="189"/>
      <c r="I125" s="189"/>
      <c r="J125" s="189"/>
      <c r="K125" s="189"/>
      <c r="L125" s="189"/>
      <c r="M125" s="194"/>
    </row>
    <row r="126" spans="1:13">
      <c r="A126" s="348"/>
      <c r="B126" s="349"/>
      <c r="C126" s="349"/>
      <c r="D126" s="349"/>
      <c r="E126" s="349"/>
      <c r="F126" s="349"/>
      <c r="G126" s="349"/>
      <c r="H126" s="349"/>
      <c r="I126" s="349"/>
      <c r="J126" s="349"/>
      <c r="K126" s="349"/>
      <c r="L126" s="349"/>
      <c r="M126" s="350"/>
    </row>
    <row r="127" spans="1:13">
      <c r="A127" s="348"/>
      <c r="B127" s="349"/>
      <c r="C127" s="349"/>
      <c r="D127" s="349"/>
      <c r="E127" s="349"/>
      <c r="F127" s="349"/>
      <c r="G127" s="349"/>
      <c r="H127" s="349"/>
      <c r="I127" s="349"/>
      <c r="J127" s="349"/>
      <c r="K127" s="349"/>
      <c r="L127" s="349"/>
      <c r="M127" s="350"/>
    </row>
    <row r="128" spans="1:13">
      <c r="A128" s="348"/>
      <c r="B128" s="349"/>
      <c r="C128" s="349"/>
      <c r="D128" s="349"/>
      <c r="E128" s="349"/>
      <c r="F128" s="349"/>
      <c r="G128" s="349"/>
      <c r="H128" s="349"/>
      <c r="I128" s="349"/>
      <c r="J128" s="349"/>
      <c r="K128" s="349"/>
      <c r="L128" s="349"/>
      <c r="M128" s="350"/>
    </row>
    <row r="129" spans="1:18">
      <c r="A129" s="348"/>
      <c r="B129" s="349"/>
      <c r="C129" s="349"/>
      <c r="D129" s="349"/>
      <c r="E129" s="349"/>
      <c r="F129" s="349"/>
      <c r="G129" s="349"/>
      <c r="H129" s="349"/>
      <c r="I129" s="349"/>
      <c r="J129" s="349"/>
      <c r="K129" s="349"/>
      <c r="L129" s="349"/>
      <c r="M129" s="350"/>
      <c r="O129" s="351"/>
      <c r="P129" s="352"/>
      <c r="Q129" s="352"/>
      <c r="R129" s="352"/>
    </row>
    <row r="130" spans="1:18">
      <c r="A130" s="348"/>
      <c r="B130" s="349"/>
      <c r="C130" s="349"/>
      <c r="D130" s="349"/>
      <c r="E130" s="349"/>
      <c r="F130" s="349"/>
      <c r="G130" s="349"/>
      <c r="H130" s="349"/>
      <c r="I130" s="349"/>
      <c r="J130" s="349"/>
      <c r="K130" s="349"/>
      <c r="L130" s="349"/>
      <c r="M130" s="350"/>
      <c r="O130" s="217"/>
      <c r="R130" s="239"/>
    </row>
    <row r="131" spans="1:18">
      <c r="A131" s="348"/>
      <c r="B131" s="349"/>
      <c r="C131" s="349"/>
      <c r="D131" s="349"/>
      <c r="E131" s="349"/>
      <c r="F131" s="349"/>
      <c r="G131" s="349"/>
      <c r="H131" s="349"/>
      <c r="I131" s="349"/>
      <c r="J131" s="349"/>
      <c r="K131" s="349"/>
      <c r="L131" s="349"/>
      <c r="M131" s="350"/>
      <c r="O131" s="217"/>
      <c r="R131" s="239"/>
    </row>
    <row r="132" spans="1:18">
      <c r="A132" s="348"/>
      <c r="B132" s="349"/>
      <c r="C132" s="349"/>
      <c r="D132" s="349"/>
      <c r="E132" s="349"/>
      <c r="F132" s="349"/>
      <c r="G132" s="349"/>
      <c r="H132" s="349"/>
      <c r="I132" s="349"/>
      <c r="J132" s="349"/>
      <c r="K132" s="349"/>
      <c r="L132" s="349"/>
      <c r="M132" s="350"/>
      <c r="O132" s="217"/>
      <c r="R132" s="239"/>
    </row>
    <row r="133" spans="1:18">
      <c r="A133" s="348"/>
      <c r="B133" s="349"/>
      <c r="C133" s="349"/>
      <c r="D133" s="349"/>
      <c r="E133" s="349"/>
      <c r="F133" s="349"/>
      <c r="G133" s="349"/>
      <c r="H133" s="349"/>
      <c r="I133" s="349"/>
      <c r="J133" s="349"/>
      <c r="K133" s="349"/>
      <c r="L133" s="349"/>
      <c r="M133" s="350"/>
      <c r="O133" s="217"/>
      <c r="R133" s="239"/>
    </row>
    <row r="134" spans="1:18">
      <c r="A134" s="348"/>
      <c r="B134" s="349"/>
      <c r="C134" s="349"/>
      <c r="D134" s="349"/>
      <c r="E134" s="349"/>
      <c r="F134" s="349"/>
      <c r="G134" s="349"/>
      <c r="H134" s="349"/>
      <c r="I134" s="349"/>
      <c r="J134" s="349"/>
      <c r="K134" s="349"/>
      <c r="L134" s="349"/>
      <c r="M134" s="350"/>
      <c r="O134" s="217"/>
      <c r="R134" s="239"/>
    </row>
    <row r="135" spans="1:18">
      <c r="A135" s="348"/>
      <c r="B135" s="349"/>
      <c r="C135" s="349"/>
      <c r="D135" s="349"/>
      <c r="E135" s="349"/>
      <c r="F135" s="349"/>
      <c r="G135" s="349"/>
      <c r="H135" s="349"/>
      <c r="I135" s="349"/>
      <c r="J135" s="349"/>
      <c r="K135" s="349"/>
      <c r="L135" s="349"/>
      <c r="M135" s="350"/>
      <c r="O135" s="217"/>
      <c r="R135" s="239"/>
    </row>
    <row r="136" spans="1:18">
      <c r="A136" s="348"/>
      <c r="B136" s="349"/>
      <c r="C136" s="349"/>
      <c r="D136" s="349"/>
      <c r="E136" s="349"/>
      <c r="F136" s="349"/>
      <c r="G136" s="349"/>
      <c r="H136" s="349"/>
      <c r="I136" s="349"/>
      <c r="J136" s="349"/>
      <c r="K136" s="349"/>
      <c r="L136" s="349"/>
      <c r="M136" s="350"/>
    </row>
    <row r="137" spans="1:18">
      <c r="A137" s="348"/>
      <c r="B137" s="349"/>
      <c r="C137" s="349"/>
      <c r="D137" s="349"/>
      <c r="E137" s="349"/>
      <c r="F137" s="349"/>
      <c r="G137" s="349"/>
      <c r="H137" s="349"/>
      <c r="I137" s="349"/>
      <c r="J137" s="349"/>
      <c r="K137" s="349"/>
      <c r="L137" s="349"/>
      <c r="M137" s="350"/>
    </row>
    <row r="138" spans="1:18">
      <c r="A138" s="348"/>
      <c r="B138" s="349"/>
      <c r="C138" s="349"/>
      <c r="D138" s="349"/>
      <c r="E138" s="349"/>
      <c r="F138" s="349"/>
      <c r="G138" s="349"/>
      <c r="H138" s="349"/>
      <c r="I138" s="349"/>
      <c r="J138" s="349"/>
      <c r="K138" s="349"/>
      <c r="L138" s="349"/>
      <c r="M138" s="350"/>
    </row>
    <row r="139" spans="1:18">
      <c r="A139" s="348"/>
      <c r="B139" s="349"/>
      <c r="C139" s="349"/>
      <c r="D139" s="349"/>
      <c r="E139" s="349"/>
      <c r="F139" s="349"/>
      <c r="G139" s="349"/>
      <c r="H139" s="349"/>
      <c r="I139" s="349"/>
      <c r="J139" s="349"/>
      <c r="K139" s="349"/>
      <c r="L139" s="349"/>
      <c r="M139" s="350"/>
    </row>
    <row r="140" spans="1:18">
      <c r="A140" s="348"/>
      <c r="B140" s="349"/>
      <c r="C140" s="349"/>
      <c r="D140" s="349"/>
      <c r="E140" s="349"/>
      <c r="F140" s="349"/>
      <c r="G140" s="349"/>
      <c r="H140" s="349"/>
      <c r="I140" s="349"/>
      <c r="J140" s="349"/>
      <c r="K140" s="349"/>
      <c r="L140" s="349"/>
      <c r="M140" s="350"/>
    </row>
    <row r="141" spans="1:18">
      <c r="A141" s="348"/>
      <c r="B141" s="349"/>
      <c r="C141" s="349"/>
      <c r="D141" s="349"/>
      <c r="E141" s="349"/>
      <c r="F141" s="349"/>
      <c r="G141" s="349"/>
      <c r="H141" s="349"/>
      <c r="I141" s="349"/>
      <c r="J141" s="349"/>
      <c r="K141" s="349"/>
      <c r="L141" s="349"/>
      <c r="M141" s="350"/>
    </row>
    <row r="142" spans="1:18">
      <c r="A142" s="348"/>
      <c r="B142" s="349"/>
      <c r="C142" s="349"/>
      <c r="D142" s="349"/>
      <c r="E142" s="349"/>
      <c r="F142" s="349"/>
      <c r="G142" s="349"/>
      <c r="H142" s="349"/>
      <c r="I142" s="349"/>
      <c r="J142" s="349"/>
      <c r="K142" s="349"/>
      <c r="L142" s="349"/>
      <c r="M142" s="350"/>
    </row>
    <row r="143" spans="1:18">
      <c r="A143" s="348"/>
      <c r="B143" s="349"/>
      <c r="C143" s="349"/>
      <c r="D143" s="349"/>
      <c r="E143" s="349"/>
      <c r="F143" s="349"/>
      <c r="G143" s="349"/>
      <c r="H143" s="349"/>
      <c r="I143" s="349"/>
      <c r="J143" s="349"/>
      <c r="K143" s="349"/>
      <c r="L143" s="349"/>
      <c r="M143" s="350"/>
    </row>
    <row r="144" spans="1:18">
      <c r="A144" s="348"/>
      <c r="B144" s="349"/>
      <c r="C144" s="349"/>
      <c r="D144" s="349"/>
      <c r="E144" s="349"/>
      <c r="F144" s="349"/>
      <c r="G144" s="349"/>
      <c r="H144" s="349"/>
      <c r="I144" s="349"/>
      <c r="J144" s="349"/>
      <c r="K144" s="349"/>
      <c r="L144" s="349"/>
      <c r="M144" s="350"/>
    </row>
    <row r="145" spans="1:13">
      <c r="A145" s="348"/>
      <c r="B145" s="349"/>
      <c r="C145" s="349"/>
      <c r="D145" s="349"/>
      <c r="E145" s="349"/>
      <c r="F145" s="349"/>
      <c r="G145" s="349"/>
      <c r="H145" s="349"/>
      <c r="I145" s="349"/>
      <c r="J145" s="349"/>
      <c r="K145" s="349"/>
      <c r="L145" s="349"/>
      <c r="M145" s="350"/>
    </row>
    <row r="146" spans="1:13">
      <c r="A146" s="348"/>
      <c r="B146" s="349"/>
      <c r="C146" s="349"/>
      <c r="D146" s="349"/>
      <c r="E146" s="349"/>
      <c r="F146" s="349"/>
      <c r="G146" s="349"/>
      <c r="H146" s="349"/>
      <c r="I146" s="349"/>
      <c r="J146" s="349"/>
      <c r="K146" s="349"/>
      <c r="L146" s="349"/>
      <c r="M146" s="350"/>
    </row>
    <row r="147" spans="1:13">
      <c r="A147" s="348"/>
      <c r="B147" s="349"/>
      <c r="C147" s="349"/>
      <c r="D147" s="349"/>
      <c r="E147" s="349"/>
      <c r="F147" s="349"/>
      <c r="G147" s="349"/>
      <c r="H147" s="349"/>
      <c r="I147" s="349"/>
      <c r="J147" s="349"/>
      <c r="K147" s="349"/>
      <c r="L147" s="349"/>
      <c r="M147" s="350"/>
    </row>
    <row r="148" spans="1:13">
      <c r="A148" s="348"/>
      <c r="B148" s="349"/>
      <c r="C148" s="349"/>
      <c r="D148" s="349"/>
      <c r="E148" s="349"/>
      <c r="F148" s="349"/>
      <c r="G148" s="349"/>
      <c r="H148" s="349"/>
      <c r="I148" s="349"/>
      <c r="J148" s="349"/>
      <c r="K148" s="349"/>
      <c r="L148" s="349"/>
      <c r="M148" s="350"/>
    </row>
    <row r="149" spans="1:13">
      <c r="A149" s="348"/>
      <c r="B149" s="349"/>
      <c r="C149" s="349"/>
      <c r="D149" s="349"/>
      <c r="E149" s="349"/>
      <c r="F149" s="349"/>
      <c r="G149" s="349"/>
      <c r="H149" s="349"/>
      <c r="I149" s="349"/>
      <c r="J149" s="349"/>
      <c r="K149" s="349"/>
      <c r="L149" s="349"/>
      <c r="M149" s="350"/>
    </row>
    <row r="150" spans="1:13">
      <c r="A150" s="348"/>
      <c r="B150" s="349"/>
      <c r="C150" s="349"/>
      <c r="D150" s="349"/>
      <c r="E150" s="349"/>
      <c r="F150" s="349"/>
      <c r="G150" s="349"/>
      <c r="H150" s="349"/>
      <c r="I150" s="349"/>
      <c r="J150" s="349"/>
      <c r="K150" s="349"/>
      <c r="L150" s="349"/>
      <c r="M150" s="350"/>
    </row>
    <row r="151" spans="1:13">
      <c r="A151" s="348"/>
      <c r="B151" s="349"/>
      <c r="C151" s="349"/>
      <c r="D151" s="349"/>
      <c r="E151" s="349"/>
      <c r="F151" s="349"/>
      <c r="G151" s="349"/>
      <c r="H151" s="349"/>
      <c r="I151" s="349"/>
      <c r="J151" s="349"/>
      <c r="K151" s="349"/>
      <c r="L151" s="349"/>
      <c r="M151" s="350"/>
    </row>
    <row r="152" spans="1:13">
      <c r="A152" s="348"/>
      <c r="B152" s="349"/>
      <c r="C152" s="349"/>
      <c r="D152" s="349"/>
      <c r="E152" s="349"/>
      <c r="F152" s="349"/>
      <c r="G152" s="349"/>
      <c r="H152" s="349"/>
      <c r="I152" s="349"/>
      <c r="J152" s="349"/>
      <c r="K152" s="349"/>
      <c r="L152" s="349"/>
      <c r="M152" s="350"/>
    </row>
    <row r="153" spans="1:13">
      <c r="A153" s="348"/>
      <c r="B153" s="349"/>
      <c r="C153" s="349"/>
      <c r="D153" s="349"/>
      <c r="E153" s="349"/>
      <c r="F153" s="349"/>
      <c r="G153" s="349"/>
      <c r="H153" s="349"/>
      <c r="I153" s="349"/>
      <c r="J153" s="349"/>
      <c r="K153" s="349"/>
      <c r="L153" s="349"/>
      <c r="M153" s="350"/>
    </row>
    <row r="154" spans="1:13">
      <c r="A154" s="348"/>
      <c r="B154" s="349"/>
      <c r="C154" s="349"/>
      <c r="D154" s="349"/>
      <c r="E154" s="349"/>
      <c r="F154" s="349"/>
      <c r="G154" s="349"/>
      <c r="H154" s="349"/>
      <c r="I154" s="349"/>
      <c r="J154" s="349"/>
      <c r="K154" s="349"/>
      <c r="L154" s="349"/>
      <c r="M154" s="350"/>
    </row>
    <row r="155" spans="1:13">
      <c r="A155" s="348"/>
      <c r="B155" s="349"/>
      <c r="C155" s="349"/>
      <c r="D155" s="349"/>
      <c r="E155" s="349"/>
      <c r="F155" s="349"/>
      <c r="G155" s="349"/>
      <c r="H155" s="349"/>
      <c r="I155" s="349"/>
      <c r="J155" s="349"/>
      <c r="K155" s="349"/>
      <c r="L155" s="349"/>
      <c r="M155" s="350"/>
    </row>
    <row r="156" spans="1:13">
      <c r="A156" s="348"/>
      <c r="B156" s="349"/>
      <c r="C156" s="349"/>
      <c r="D156" s="349"/>
      <c r="E156" s="349"/>
      <c r="F156" s="349"/>
      <c r="G156" s="349"/>
      <c r="H156" s="349"/>
      <c r="I156" s="349"/>
      <c r="J156" s="349"/>
      <c r="K156" s="349"/>
      <c r="L156" s="349"/>
      <c r="M156" s="350"/>
    </row>
    <row r="157" spans="1:13">
      <c r="A157" s="348"/>
      <c r="B157" s="349"/>
      <c r="C157" s="349"/>
      <c r="D157" s="349"/>
      <c r="E157" s="349"/>
      <c r="F157" s="349"/>
      <c r="G157" s="349"/>
      <c r="H157" s="349"/>
      <c r="I157" s="349"/>
      <c r="J157" s="349"/>
      <c r="K157" s="349"/>
      <c r="L157" s="349"/>
      <c r="M157" s="350"/>
    </row>
    <row r="158" spans="1:13">
      <c r="A158" s="348"/>
      <c r="B158" s="349"/>
      <c r="C158" s="349"/>
      <c r="D158" s="349"/>
      <c r="E158" s="349"/>
      <c r="F158" s="349"/>
      <c r="G158" s="349"/>
      <c r="H158" s="349"/>
      <c r="I158" s="349"/>
      <c r="J158" s="349"/>
      <c r="K158" s="349"/>
      <c r="L158" s="349"/>
      <c r="M158" s="350"/>
    </row>
    <row r="159" spans="1:13">
      <c r="A159" s="348"/>
      <c r="B159" s="349"/>
      <c r="C159" s="349"/>
      <c r="D159" s="349"/>
      <c r="E159" s="349"/>
      <c r="F159" s="349"/>
      <c r="G159" s="349"/>
      <c r="H159" s="349"/>
      <c r="I159" s="349"/>
      <c r="J159" s="349"/>
      <c r="K159" s="349"/>
      <c r="L159" s="349"/>
      <c r="M159" s="350"/>
    </row>
    <row r="160" spans="1:13">
      <c r="A160" s="348"/>
      <c r="B160" s="349"/>
      <c r="C160" s="349"/>
      <c r="D160" s="349"/>
      <c r="E160" s="349"/>
      <c r="F160" s="349"/>
      <c r="G160" s="349"/>
      <c r="H160" s="349"/>
      <c r="I160" s="349"/>
      <c r="J160" s="349"/>
      <c r="K160" s="349"/>
      <c r="L160" s="349"/>
      <c r="M160" s="350"/>
    </row>
    <row r="161" spans="1:13">
      <c r="A161" s="348"/>
      <c r="B161" s="349"/>
      <c r="C161" s="349"/>
      <c r="D161" s="349"/>
      <c r="E161" s="349"/>
      <c r="F161" s="349"/>
      <c r="G161" s="349"/>
      <c r="H161" s="349"/>
      <c r="I161" s="349"/>
      <c r="J161" s="349"/>
      <c r="K161" s="349"/>
      <c r="L161" s="349"/>
      <c r="M161" s="350"/>
    </row>
    <row r="162" spans="1:13">
      <c r="A162" s="348"/>
      <c r="B162" s="349"/>
      <c r="C162" s="349"/>
      <c r="D162" s="349"/>
      <c r="E162" s="349"/>
      <c r="F162" s="349"/>
      <c r="G162" s="349"/>
      <c r="H162" s="349"/>
      <c r="I162" s="349"/>
      <c r="J162" s="349"/>
      <c r="K162" s="349"/>
      <c r="L162" s="349"/>
      <c r="M162" s="350"/>
    </row>
    <row r="163" spans="1:13">
      <c r="A163" s="348"/>
      <c r="B163" s="349"/>
      <c r="C163" s="349"/>
      <c r="D163" s="349"/>
      <c r="E163" s="349"/>
      <c r="F163" s="349"/>
      <c r="G163" s="349"/>
      <c r="H163" s="349"/>
      <c r="I163" s="349"/>
      <c r="J163" s="349"/>
      <c r="K163" s="349"/>
      <c r="L163" s="349"/>
      <c r="M163" s="350"/>
    </row>
    <row r="164" spans="1:13">
      <c r="A164" s="348"/>
      <c r="B164" s="349"/>
      <c r="C164" s="349"/>
      <c r="D164" s="349"/>
      <c r="E164" s="349"/>
      <c r="F164" s="349"/>
      <c r="G164" s="349"/>
      <c r="H164" s="349"/>
      <c r="I164" s="349"/>
      <c r="J164" s="349"/>
      <c r="K164" s="349"/>
      <c r="L164" s="349"/>
      <c r="M164" s="350"/>
    </row>
    <row r="165" spans="1:13">
      <c r="A165" s="348"/>
      <c r="B165" s="349"/>
      <c r="C165" s="349"/>
      <c r="D165" s="349"/>
      <c r="E165" s="349"/>
      <c r="F165" s="349"/>
      <c r="G165" s="349"/>
      <c r="H165" s="349"/>
      <c r="I165" s="349"/>
      <c r="J165" s="349"/>
      <c r="K165" s="349"/>
      <c r="L165" s="349"/>
      <c r="M165" s="350"/>
    </row>
    <row r="166" spans="1:13">
      <c r="A166" s="348"/>
      <c r="B166" s="349"/>
      <c r="C166" s="349"/>
      <c r="D166" s="349"/>
      <c r="E166" s="349"/>
      <c r="F166" s="349"/>
      <c r="G166" s="349"/>
      <c r="H166" s="349"/>
      <c r="I166" s="349"/>
      <c r="J166" s="349"/>
      <c r="K166" s="349"/>
      <c r="L166" s="349"/>
      <c r="M166" s="350"/>
    </row>
    <row r="167" spans="1:13">
      <c r="A167" s="348"/>
      <c r="B167" s="349"/>
      <c r="C167" s="349"/>
      <c r="D167" s="349"/>
      <c r="E167" s="349"/>
      <c r="F167" s="349"/>
      <c r="G167" s="349"/>
      <c r="H167" s="349"/>
      <c r="I167" s="349"/>
      <c r="J167" s="349"/>
      <c r="K167" s="349"/>
      <c r="L167" s="349"/>
      <c r="M167" s="350"/>
    </row>
    <row r="168" spans="1:13">
      <c r="A168" s="348"/>
      <c r="B168" s="349"/>
      <c r="C168" s="349"/>
      <c r="D168" s="349"/>
      <c r="E168" s="349"/>
      <c r="F168" s="349"/>
      <c r="G168" s="349"/>
      <c r="H168" s="349"/>
      <c r="I168" s="349"/>
      <c r="J168" s="349"/>
      <c r="K168" s="349"/>
      <c r="L168" s="349"/>
      <c r="M168" s="350"/>
    </row>
    <row r="169" spans="1:13">
      <c r="A169" s="348"/>
      <c r="B169" s="349"/>
      <c r="C169" s="349"/>
      <c r="D169" s="349"/>
      <c r="E169" s="349"/>
      <c r="F169" s="349"/>
      <c r="G169" s="349"/>
      <c r="H169" s="349"/>
      <c r="I169" s="349"/>
      <c r="J169" s="349"/>
      <c r="K169" s="349"/>
      <c r="L169" s="349"/>
      <c r="M169" s="350"/>
    </row>
    <row r="170" spans="1:13">
      <c r="A170" s="348"/>
      <c r="B170" s="349"/>
      <c r="C170" s="349"/>
      <c r="D170" s="349"/>
      <c r="E170" s="349"/>
      <c r="F170" s="349"/>
      <c r="G170" s="349"/>
      <c r="H170" s="349"/>
      <c r="I170" s="349"/>
      <c r="J170" s="349"/>
      <c r="K170" s="349"/>
      <c r="L170" s="349"/>
      <c r="M170" s="350"/>
    </row>
    <row r="171" spans="1:13">
      <c r="A171" s="348"/>
      <c r="B171" s="349"/>
      <c r="C171" s="349"/>
      <c r="D171" s="349"/>
      <c r="E171" s="349"/>
      <c r="F171" s="349"/>
      <c r="G171" s="349"/>
      <c r="H171" s="349"/>
      <c r="I171" s="349"/>
      <c r="J171" s="349"/>
      <c r="K171" s="349"/>
      <c r="L171" s="349"/>
      <c r="M171" s="350"/>
    </row>
    <row r="172" spans="1:13">
      <c r="A172" s="348"/>
      <c r="B172" s="349"/>
      <c r="C172" s="349"/>
      <c r="D172" s="349"/>
      <c r="E172" s="349"/>
      <c r="F172" s="349"/>
      <c r="G172" s="349"/>
      <c r="H172" s="349"/>
      <c r="I172" s="349"/>
      <c r="J172" s="349"/>
      <c r="K172" s="349"/>
      <c r="L172" s="349"/>
      <c r="M172" s="350"/>
    </row>
    <row r="173" spans="1:13">
      <c r="A173" s="348"/>
      <c r="B173" s="349"/>
      <c r="C173" s="349"/>
      <c r="D173" s="349"/>
      <c r="E173" s="349"/>
      <c r="F173" s="349"/>
      <c r="G173" s="349"/>
      <c r="H173" s="349"/>
      <c r="I173" s="349"/>
      <c r="J173" s="349"/>
      <c r="K173" s="349"/>
      <c r="L173" s="349"/>
      <c r="M173" s="350"/>
    </row>
    <row r="174" spans="1:13">
      <c r="A174" s="348"/>
      <c r="B174" s="349"/>
      <c r="C174" s="349"/>
      <c r="D174" s="349"/>
      <c r="E174" s="349"/>
      <c r="F174" s="349"/>
      <c r="G174" s="349"/>
      <c r="H174" s="349"/>
      <c r="I174" s="349"/>
      <c r="J174" s="349"/>
      <c r="K174" s="349"/>
      <c r="L174" s="349"/>
      <c r="M174" s="350"/>
    </row>
    <row r="175" spans="1:13">
      <c r="A175" s="348"/>
      <c r="B175" s="349"/>
      <c r="C175" s="349"/>
      <c r="D175" s="349"/>
      <c r="E175" s="349"/>
      <c r="F175" s="349"/>
      <c r="G175" s="349"/>
      <c r="H175" s="349"/>
      <c r="I175" s="349"/>
      <c r="J175" s="349"/>
      <c r="K175" s="349"/>
      <c r="L175" s="349"/>
      <c r="M175" s="350"/>
    </row>
    <row r="176" spans="1:13">
      <c r="A176" s="348"/>
      <c r="B176" s="349"/>
      <c r="C176" s="349"/>
      <c r="D176" s="349"/>
      <c r="E176" s="349"/>
      <c r="F176" s="349"/>
      <c r="G176" s="349"/>
      <c r="H176" s="349"/>
      <c r="I176" s="349"/>
      <c r="J176" s="349"/>
      <c r="K176" s="349"/>
      <c r="L176" s="349"/>
      <c r="M176" s="350"/>
    </row>
    <row r="177" spans="1:13">
      <c r="A177" s="348"/>
      <c r="B177" s="349"/>
      <c r="C177" s="349"/>
      <c r="D177" s="349"/>
      <c r="E177" s="349"/>
      <c r="F177" s="349"/>
      <c r="G177" s="349"/>
      <c r="H177" s="349"/>
      <c r="I177" s="349"/>
      <c r="J177" s="349"/>
      <c r="K177" s="349"/>
      <c r="L177" s="349"/>
      <c r="M177" s="350"/>
    </row>
    <row r="178" spans="1:13">
      <c r="A178" s="348"/>
      <c r="B178" s="349"/>
      <c r="C178" s="349"/>
      <c r="D178" s="349"/>
      <c r="E178" s="349"/>
      <c r="F178" s="349"/>
      <c r="G178" s="349"/>
      <c r="H178" s="349"/>
      <c r="I178" s="349"/>
      <c r="J178" s="349"/>
      <c r="K178" s="349"/>
      <c r="L178" s="349"/>
      <c r="M178" s="350"/>
    </row>
    <row r="179" spans="1:13">
      <c r="A179" s="348"/>
      <c r="B179" s="349"/>
      <c r="C179" s="349"/>
      <c r="D179" s="349"/>
      <c r="E179" s="349"/>
      <c r="F179" s="349"/>
      <c r="G179" s="349"/>
      <c r="H179" s="349"/>
      <c r="I179" s="349"/>
      <c r="J179" s="349"/>
      <c r="K179" s="349"/>
      <c r="L179" s="349"/>
      <c r="M179" s="350"/>
    </row>
    <row r="180" spans="1:13">
      <c r="A180" s="348"/>
      <c r="B180" s="349"/>
      <c r="C180" s="349"/>
      <c r="D180" s="349"/>
      <c r="E180" s="349"/>
      <c r="F180" s="349"/>
      <c r="G180" s="349"/>
      <c r="H180" s="349"/>
      <c r="I180" s="349"/>
      <c r="J180" s="349"/>
      <c r="K180" s="349"/>
      <c r="L180" s="349"/>
      <c r="M180" s="350"/>
    </row>
    <row r="181" spans="1:13">
      <c r="A181" s="348"/>
      <c r="B181" s="349"/>
      <c r="C181" s="349"/>
      <c r="D181" s="349"/>
      <c r="E181" s="349"/>
      <c r="F181" s="349"/>
      <c r="G181" s="349"/>
      <c r="H181" s="349"/>
      <c r="I181" s="349"/>
      <c r="J181" s="349"/>
      <c r="K181" s="349"/>
      <c r="L181" s="349"/>
      <c r="M181" s="350"/>
    </row>
    <row r="182" spans="1:13">
      <c r="A182" s="348"/>
      <c r="B182" s="349"/>
      <c r="C182" s="349"/>
      <c r="D182" s="349"/>
      <c r="E182" s="349"/>
      <c r="F182" s="349"/>
      <c r="G182" s="349"/>
      <c r="H182" s="349"/>
      <c r="I182" s="349"/>
      <c r="J182" s="349"/>
      <c r="K182" s="349"/>
      <c r="L182" s="349"/>
      <c r="M182" s="350"/>
    </row>
    <row r="183" spans="1:13">
      <c r="A183" s="348"/>
      <c r="B183" s="349"/>
      <c r="C183" s="349"/>
      <c r="D183" s="349"/>
      <c r="E183" s="349"/>
      <c r="F183" s="349"/>
      <c r="G183" s="349"/>
      <c r="H183" s="349"/>
      <c r="I183" s="349"/>
      <c r="J183" s="349"/>
      <c r="K183" s="349"/>
      <c r="L183" s="349"/>
      <c r="M183" s="350"/>
    </row>
    <row r="184" spans="1:13">
      <c r="A184" s="348"/>
      <c r="B184" s="349"/>
      <c r="C184" s="349"/>
      <c r="D184" s="349"/>
      <c r="E184" s="349"/>
      <c r="F184" s="349"/>
      <c r="G184" s="349"/>
      <c r="H184" s="349"/>
      <c r="I184" s="349"/>
      <c r="J184" s="349"/>
      <c r="K184" s="349"/>
      <c r="L184" s="349"/>
      <c r="M184" s="350"/>
    </row>
    <row r="185" spans="1:13">
      <c r="A185" s="348"/>
      <c r="B185" s="349"/>
      <c r="C185" s="349"/>
      <c r="D185" s="349"/>
      <c r="E185" s="349"/>
      <c r="F185" s="349"/>
      <c r="G185" s="349"/>
      <c r="H185" s="349"/>
      <c r="I185" s="349"/>
      <c r="J185" s="349"/>
      <c r="K185" s="349"/>
      <c r="L185" s="349"/>
      <c r="M185" s="350"/>
    </row>
    <row r="186" spans="1:13">
      <c r="A186" s="348"/>
      <c r="B186" s="349"/>
      <c r="C186" s="349"/>
      <c r="D186" s="349"/>
      <c r="E186" s="349"/>
      <c r="F186" s="349"/>
      <c r="G186" s="349"/>
      <c r="H186" s="349"/>
      <c r="I186" s="349"/>
      <c r="J186" s="349"/>
      <c r="K186" s="349"/>
      <c r="L186" s="349"/>
      <c r="M186" s="350"/>
    </row>
    <row r="187" spans="1:13">
      <c r="A187" s="348"/>
      <c r="B187" s="349"/>
      <c r="C187" s="349"/>
      <c r="D187" s="349"/>
      <c r="E187" s="349"/>
      <c r="F187" s="349"/>
      <c r="G187" s="349"/>
      <c r="H187" s="349"/>
      <c r="I187" s="349"/>
      <c r="J187" s="349"/>
      <c r="K187" s="349"/>
      <c r="L187" s="349"/>
      <c r="M187" s="350"/>
    </row>
    <row r="188" spans="1:13">
      <c r="A188" s="348"/>
      <c r="B188" s="349"/>
      <c r="C188" s="349"/>
      <c r="D188" s="349"/>
      <c r="E188" s="349"/>
      <c r="F188" s="349"/>
      <c r="G188" s="349"/>
      <c r="H188" s="349"/>
      <c r="I188" s="349"/>
      <c r="J188" s="349"/>
      <c r="K188" s="349"/>
      <c r="L188" s="349"/>
      <c r="M188" s="350"/>
    </row>
    <row r="189" spans="1:13">
      <c r="A189" s="348"/>
      <c r="B189" s="349"/>
      <c r="C189" s="349"/>
      <c r="D189" s="349"/>
      <c r="E189" s="349"/>
      <c r="F189" s="349"/>
      <c r="G189" s="349"/>
      <c r="H189" s="349"/>
      <c r="I189" s="349"/>
      <c r="J189" s="349"/>
      <c r="K189" s="349"/>
      <c r="L189" s="349"/>
      <c r="M189" s="350"/>
    </row>
    <row r="190" spans="1:13">
      <c r="A190" s="348"/>
      <c r="B190" s="349"/>
      <c r="C190" s="349"/>
      <c r="D190" s="349"/>
      <c r="E190" s="349"/>
      <c r="F190" s="349"/>
      <c r="G190" s="349"/>
      <c r="H190" s="349"/>
      <c r="I190" s="349"/>
      <c r="J190" s="349"/>
      <c r="K190" s="349"/>
      <c r="L190" s="349"/>
      <c r="M190" s="350"/>
    </row>
    <row r="191" spans="1:13">
      <c r="A191" s="348"/>
      <c r="B191" s="349"/>
      <c r="C191" s="349"/>
      <c r="D191" s="349"/>
      <c r="E191" s="349"/>
      <c r="F191" s="349"/>
      <c r="G191" s="349"/>
      <c r="H191" s="349"/>
      <c r="I191" s="349"/>
      <c r="J191" s="349"/>
      <c r="K191" s="349"/>
      <c r="L191" s="349"/>
      <c r="M191" s="350"/>
    </row>
    <row r="192" spans="1:13">
      <c r="A192" s="348"/>
      <c r="B192" s="349"/>
      <c r="C192" s="349"/>
      <c r="D192" s="349"/>
      <c r="E192" s="349"/>
      <c r="F192" s="349"/>
      <c r="G192" s="349"/>
      <c r="H192" s="349"/>
      <c r="I192" s="349"/>
      <c r="J192" s="349"/>
      <c r="K192" s="349"/>
      <c r="L192" s="349"/>
      <c r="M192" s="350"/>
    </row>
    <row r="193" spans="1:13">
      <c r="A193" s="348"/>
      <c r="B193" s="349"/>
      <c r="C193" s="349"/>
      <c r="D193" s="349"/>
      <c r="E193" s="349"/>
      <c r="F193" s="349"/>
      <c r="G193" s="349"/>
      <c r="H193" s="349"/>
      <c r="I193" s="349"/>
      <c r="J193" s="349"/>
      <c r="K193" s="349"/>
      <c r="L193" s="349"/>
      <c r="M193" s="350"/>
    </row>
    <row r="194" spans="1:13">
      <c r="A194" s="348"/>
      <c r="B194" s="349"/>
      <c r="C194" s="349"/>
      <c r="D194" s="349"/>
      <c r="E194" s="349"/>
      <c r="F194" s="349"/>
      <c r="G194" s="349"/>
      <c r="H194" s="349"/>
      <c r="I194" s="349"/>
      <c r="J194" s="349"/>
      <c r="K194" s="349"/>
      <c r="L194" s="349"/>
      <c r="M194" s="350"/>
    </row>
    <row r="195" spans="1:13">
      <c r="A195" s="348"/>
      <c r="B195" s="349"/>
      <c r="C195" s="349"/>
      <c r="D195" s="349"/>
      <c r="E195" s="349"/>
      <c r="F195" s="349"/>
      <c r="G195" s="349"/>
      <c r="H195" s="349"/>
      <c r="I195" s="349"/>
      <c r="J195" s="349"/>
      <c r="K195" s="349"/>
      <c r="L195" s="349"/>
      <c r="M195" s="350"/>
    </row>
    <row r="196" spans="1:13">
      <c r="A196" s="348"/>
      <c r="B196" s="349"/>
      <c r="C196" s="349"/>
      <c r="D196" s="349"/>
      <c r="E196" s="349"/>
      <c r="F196" s="349"/>
      <c r="G196" s="349"/>
      <c r="H196" s="349"/>
      <c r="I196" s="349"/>
      <c r="J196" s="349"/>
      <c r="K196" s="349"/>
      <c r="L196" s="349"/>
      <c r="M196" s="350"/>
    </row>
    <row r="197" spans="1:13">
      <c r="A197" s="348"/>
      <c r="B197" s="349"/>
      <c r="C197" s="349"/>
      <c r="D197" s="349"/>
      <c r="E197" s="349"/>
      <c r="F197" s="349"/>
      <c r="G197" s="349"/>
      <c r="H197" s="349"/>
      <c r="I197" s="349"/>
      <c r="J197" s="349"/>
      <c r="K197" s="349"/>
      <c r="L197" s="349"/>
      <c r="M197" s="350"/>
    </row>
    <row r="198" spans="1:13">
      <c r="A198" s="348"/>
      <c r="B198" s="349"/>
      <c r="C198" s="349"/>
      <c r="D198" s="349"/>
      <c r="E198" s="349"/>
      <c r="F198" s="349"/>
      <c r="G198" s="349"/>
      <c r="H198" s="349"/>
      <c r="I198" s="349"/>
      <c r="J198" s="349"/>
      <c r="K198" s="349"/>
      <c r="L198" s="349"/>
      <c r="M198" s="350"/>
    </row>
    <row r="199" spans="1:13">
      <c r="A199" s="348"/>
      <c r="B199" s="349"/>
      <c r="C199" s="349"/>
      <c r="D199" s="349"/>
      <c r="E199" s="349"/>
      <c r="F199" s="349"/>
      <c r="G199" s="349"/>
      <c r="H199" s="349"/>
      <c r="I199" s="349"/>
      <c r="J199" s="349"/>
      <c r="K199" s="349"/>
      <c r="L199" s="349"/>
      <c r="M199" s="350"/>
    </row>
    <row r="200" spans="1:13">
      <c r="A200" s="348"/>
      <c r="B200" s="349"/>
      <c r="C200" s="349"/>
      <c r="D200" s="349"/>
      <c r="E200" s="349"/>
      <c r="F200" s="349"/>
      <c r="G200" s="349"/>
      <c r="H200" s="349"/>
      <c r="I200" s="349"/>
      <c r="J200" s="349"/>
      <c r="K200" s="349"/>
      <c r="L200" s="349"/>
      <c r="M200" s="350"/>
    </row>
    <row r="201" spans="1:13">
      <c r="A201" s="348"/>
      <c r="B201" s="349"/>
      <c r="C201" s="349"/>
      <c r="D201" s="349"/>
      <c r="E201" s="349"/>
      <c r="F201" s="349"/>
      <c r="G201" s="349"/>
      <c r="H201" s="349"/>
      <c r="I201" s="349"/>
      <c r="J201" s="349"/>
      <c r="K201" s="349"/>
      <c r="L201" s="349"/>
      <c r="M201" s="350"/>
    </row>
    <row r="202" spans="1:13">
      <c r="A202" s="348"/>
      <c r="B202" s="349"/>
      <c r="C202" s="349"/>
      <c r="D202" s="349"/>
      <c r="E202" s="349"/>
      <c r="F202" s="349"/>
      <c r="G202" s="349"/>
      <c r="H202" s="349"/>
      <c r="I202" s="349"/>
      <c r="J202" s="349"/>
      <c r="K202" s="349"/>
      <c r="L202" s="349"/>
      <c r="M202" s="350"/>
    </row>
    <row r="203" spans="1:13">
      <c r="A203" s="348"/>
      <c r="B203" s="349"/>
      <c r="C203" s="349"/>
      <c r="D203" s="349"/>
      <c r="E203" s="349"/>
      <c r="F203" s="349"/>
      <c r="G203" s="349"/>
      <c r="H203" s="349"/>
      <c r="I203" s="349"/>
      <c r="J203" s="349"/>
      <c r="K203" s="349"/>
      <c r="L203" s="349"/>
      <c r="M203" s="350"/>
    </row>
    <row r="204" spans="1:13">
      <c r="A204" s="348"/>
      <c r="B204" s="349"/>
      <c r="C204" s="349"/>
      <c r="D204" s="349"/>
      <c r="E204" s="349"/>
      <c r="F204" s="349"/>
      <c r="G204" s="349"/>
      <c r="H204" s="349"/>
      <c r="I204" s="349"/>
      <c r="J204" s="349"/>
      <c r="K204" s="349"/>
      <c r="L204" s="349"/>
      <c r="M204" s="350"/>
    </row>
    <row r="205" spans="1:13">
      <c r="A205" s="348"/>
      <c r="B205" s="349"/>
      <c r="C205" s="349"/>
      <c r="D205" s="349"/>
      <c r="E205" s="349"/>
      <c r="F205" s="349"/>
      <c r="G205" s="349"/>
      <c r="H205" s="349"/>
      <c r="I205" s="349"/>
      <c r="J205" s="349"/>
      <c r="K205" s="349"/>
      <c r="L205" s="349"/>
      <c r="M205" s="350"/>
    </row>
    <row r="206" spans="1:13">
      <c r="A206" s="348"/>
      <c r="B206" s="349"/>
      <c r="C206" s="349"/>
      <c r="D206" s="349"/>
      <c r="E206" s="349"/>
      <c r="F206" s="349"/>
      <c r="G206" s="349"/>
      <c r="H206" s="349"/>
      <c r="I206" s="349"/>
      <c r="J206" s="349"/>
      <c r="K206" s="349"/>
      <c r="L206" s="349"/>
      <c r="M206" s="350"/>
    </row>
    <row r="207" spans="1:13">
      <c r="A207" s="348"/>
      <c r="B207" s="349"/>
      <c r="C207" s="349"/>
      <c r="D207" s="349"/>
      <c r="E207" s="349"/>
      <c r="F207" s="349"/>
      <c r="G207" s="349"/>
      <c r="H207" s="349"/>
      <c r="I207" s="349"/>
      <c r="J207" s="349"/>
      <c r="K207" s="349"/>
      <c r="L207" s="349"/>
      <c r="M207" s="350"/>
    </row>
    <row r="208" spans="1:13">
      <c r="A208" s="348"/>
      <c r="B208" s="349"/>
      <c r="C208" s="349"/>
      <c r="D208" s="349"/>
      <c r="E208" s="349"/>
      <c r="F208" s="349"/>
      <c r="G208" s="349"/>
      <c r="H208" s="349"/>
      <c r="I208" s="349"/>
      <c r="J208" s="349"/>
      <c r="K208" s="349"/>
      <c r="L208" s="349"/>
      <c r="M208" s="350"/>
    </row>
    <row r="209" spans="1:13">
      <c r="A209" s="348"/>
      <c r="B209" s="349"/>
      <c r="C209" s="349"/>
      <c r="D209" s="349"/>
      <c r="E209" s="349"/>
      <c r="F209" s="349"/>
      <c r="G209" s="349"/>
      <c r="H209" s="349"/>
      <c r="I209" s="349"/>
      <c r="J209" s="349"/>
      <c r="K209" s="349"/>
      <c r="L209" s="349"/>
      <c r="M209" s="350"/>
    </row>
    <row r="210" spans="1:13">
      <c r="A210" s="348"/>
      <c r="B210" s="349"/>
      <c r="C210" s="349"/>
      <c r="D210" s="349"/>
      <c r="E210" s="349"/>
      <c r="F210" s="349"/>
      <c r="G210" s="349"/>
      <c r="H210" s="349"/>
      <c r="I210" s="349"/>
      <c r="J210" s="349"/>
      <c r="K210" s="349"/>
      <c r="L210" s="349"/>
      <c r="M210" s="350"/>
    </row>
    <row r="211" spans="1:13">
      <c r="A211" s="348"/>
      <c r="B211" s="349"/>
      <c r="C211" s="349"/>
      <c r="D211" s="349"/>
      <c r="E211" s="349"/>
      <c r="F211" s="349"/>
      <c r="G211" s="349"/>
      <c r="H211" s="349"/>
      <c r="I211" s="349"/>
      <c r="J211" s="349"/>
      <c r="K211" s="349"/>
      <c r="L211" s="349"/>
      <c r="M211" s="350"/>
    </row>
    <row r="212" spans="1:13">
      <c r="A212" s="348"/>
      <c r="B212" s="349"/>
      <c r="C212" s="349"/>
      <c r="D212" s="349"/>
      <c r="E212" s="349"/>
      <c r="F212" s="349"/>
      <c r="G212" s="349"/>
      <c r="H212" s="349"/>
      <c r="I212" s="349"/>
      <c r="J212" s="349"/>
      <c r="K212" s="349"/>
      <c r="L212" s="349"/>
      <c r="M212" s="350"/>
    </row>
    <row r="213" spans="1:13">
      <c r="A213" s="348"/>
      <c r="B213" s="349"/>
      <c r="C213" s="349"/>
      <c r="D213" s="349"/>
      <c r="E213" s="349"/>
      <c r="F213" s="349"/>
      <c r="G213" s="349"/>
      <c r="H213" s="349"/>
      <c r="I213" s="349"/>
      <c r="J213" s="349"/>
      <c r="K213" s="349"/>
      <c r="L213" s="349"/>
      <c r="M213" s="350"/>
    </row>
    <row r="214" spans="1:13">
      <c r="A214" s="348"/>
      <c r="B214" s="349"/>
      <c r="C214" s="349"/>
      <c r="D214" s="349"/>
      <c r="E214" s="349"/>
      <c r="F214" s="349"/>
      <c r="G214" s="349"/>
      <c r="H214" s="349"/>
      <c r="I214" s="349"/>
      <c r="J214" s="349"/>
      <c r="K214" s="349"/>
      <c r="L214" s="349"/>
      <c r="M214" s="350"/>
    </row>
    <row r="215" spans="1:13">
      <c r="A215" s="348"/>
      <c r="B215" s="349"/>
      <c r="C215" s="349"/>
      <c r="D215" s="349"/>
      <c r="E215" s="349"/>
      <c r="F215" s="349"/>
      <c r="G215" s="349"/>
      <c r="H215" s="349"/>
      <c r="I215" s="349"/>
      <c r="J215" s="349"/>
      <c r="K215" s="349"/>
      <c r="L215" s="349"/>
      <c r="M215" s="350"/>
    </row>
    <row r="216" spans="1:13">
      <c r="A216" s="348"/>
      <c r="B216" s="349"/>
      <c r="C216" s="349"/>
      <c r="D216" s="349"/>
      <c r="E216" s="349"/>
      <c r="F216" s="349"/>
      <c r="G216" s="349"/>
      <c r="H216" s="349"/>
      <c r="I216" s="349"/>
      <c r="J216" s="349"/>
      <c r="K216" s="349"/>
      <c r="L216" s="349"/>
      <c r="M216" s="350"/>
    </row>
    <row r="217" spans="1:13">
      <c r="A217" s="348"/>
      <c r="B217" s="349"/>
      <c r="C217" s="349"/>
      <c r="D217" s="349"/>
      <c r="E217" s="349"/>
      <c r="F217" s="349"/>
      <c r="G217" s="349"/>
      <c r="H217" s="349"/>
      <c r="I217" s="349"/>
      <c r="J217" s="349"/>
      <c r="K217" s="349"/>
      <c r="L217" s="349"/>
      <c r="M217" s="350"/>
    </row>
    <row r="218" spans="1:13">
      <c r="A218" s="348"/>
      <c r="B218" s="349"/>
      <c r="C218" s="349"/>
      <c r="D218" s="349"/>
      <c r="E218" s="349"/>
      <c r="F218" s="349"/>
      <c r="G218" s="349"/>
      <c r="H218" s="349"/>
      <c r="I218" s="349"/>
      <c r="J218" s="349"/>
      <c r="K218" s="349"/>
      <c r="L218" s="349"/>
      <c r="M218" s="350"/>
    </row>
    <row r="219" spans="1:13">
      <c r="A219" s="348"/>
      <c r="B219" s="349"/>
      <c r="C219" s="349"/>
      <c r="D219" s="349"/>
      <c r="E219" s="349"/>
      <c r="F219" s="349"/>
      <c r="G219" s="349"/>
      <c r="H219" s="349"/>
      <c r="I219" s="349"/>
      <c r="J219" s="349"/>
      <c r="K219" s="349"/>
      <c r="L219" s="349"/>
      <c r="M219" s="350"/>
    </row>
    <row r="220" spans="1:13">
      <c r="A220" s="348"/>
      <c r="B220" s="349"/>
      <c r="C220" s="349"/>
      <c r="D220" s="349"/>
      <c r="E220" s="349"/>
      <c r="F220" s="349"/>
      <c r="G220" s="349"/>
      <c r="H220" s="349"/>
      <c r="I220" s="349"/>
      <c r="J220" s="349"/>
      <c r="K220" s="349"/>
      <c r="L220" s="349"/>
      <c r="M220" s="350"/>
    </row>
    <row r="221" spans="1:13">
      <c r="A221" s="348"/>
      <c r="B221" s="349"/>
      <c r="C221" s="349"/>
      <c r="D221" s="349"/>
      <c r="E221" s="349"/>
      <c r="F221" s="349"/>
      <c r="G221" s="349"/>
      <c r="H221" s="349"/>
      <c r="I221" s="349"/>
      <c r="J221" s="349"/>
      <c r="K221" s="349"/>
      <c r="L221" s="349"/>
      <c r="M221" s="350"/>
    </row>
    <row r="222" spans="1:13">
      <c r="A222" s="348"/>
      <c r="B222" s="349"/>
      <c r="C222" s="349"/>
      <c r="D222" s="349"/>
      <c r="E222" s="349"/>
      <c r="F222" s="349"/>
      <c r="G222" s="349"/>
      <c r="H222" s="349"/>
      <c r="I222" s="349"/>
      <c r="J222" s="349"/>
      <c r="K222" s="349"/>
      <c r="L222" s="349"/>
      <c r="M222" s="350"/>
    </row>
    <row r="223" spans="1:13">
      <c r="A223" s="348"/>
      <c r="B223" s="349"/>
      <c r="C223" s="349"/>
      <c r="D223" s="349"/>
      <c r="E223" s="349"/>
      <c r="F223" s="349"/>
      <c r="G223" s="349"/>
      <c r="H223" s="349"/>
      <c r="I223" s="349"/>
      <c r="J223" s="349"/>
      <c r="K223" s="349"/>
      <c r="L223" s="349"/>
      <c r="M223" s="350"/>
    </row>
    <row r="224" spans="1:13">
      <c r="A224" s="348"/>
      <c r="B224" s="349"/>
      <c r="C224" s="349"/>
      <c r="D224" s="349"/>
      <c r="E224" s="349"/>
      <c r="F224" s="349"/>
      <c r="G224" s="349"/>
      <c r="H224" s="349"/>
      <c r="I224" s="349"/>
      <c r="J224" s="349"/>
      <c r="K224" s="349"/>
      <c r="L224" s="349"/>
      <c r="M224" s="350"/>
    </row>
    <row r="225" spans="1:13">
      <c r="A225" s="348"/>
      <c r="B225" s="349"/>
      <c r="C225" s="349"/>
      <c r="D225" s="349"/>
      <c r="E225" s="349"/>
      <c r="F225" s="349"/>
      <c r="G225" s="349"/>
      <c r="H225" s="349"/>
      <c r="I225" s="349"/>
      <c r="J225" s="349"/>
      <c r="K225" s="349"/>
      <c r="L225" s="349"/>
      <c r="M225" s="350"/>
    </row>
    <row r="226" spans="1:13">
      <c r="A226" s="348"/>
      <c r="B226" s="349"/>
      <c r="C226" s="349"/>
      <c r="D226" s="349"/>
      <c r="E226" s="349"/>
      <c r="F226" s="349"/>
      <c r="G226" s="349"/>
      <c r="H226" s="349"/>
      <c r="I226" s="349"/>
      <c r="J226" s="349"/>
      <c r="K226" s="349"/>
      <c r="L226" s="349"/>
      <c r="M226" s="350"/>
    </row>
    <row r="227" spans="1:13">
      <c r="A227" s="348"/>
      <c r="B227" s="349"/>
      <c r="C227" s="349"/>
      <c r="D227" s="349"/>
      <c r="E227" s="349"/>
      <c r="F227" s="349"/>
      <c r="G227" s="349"/>
      <c r="H227" s="349"/>
      <c r="I227" s="349"/>
      <c r="J227" s="349"/>
      <c r="K227" s="349"/>
      <c r="L227" s="349"/>
      <c r="M227" s="350"/>
    </row>
    <row r="228" spans="1:13">
      <c r="A228" s="348"/>
      <c r="B228" s="349"/>
      <c r="C228" s="349"/>
      <c r="D228" s="349"/>
      <c r="E228" s="349"/>
      <c r="F228" s="349"/>
      <c r="G228" s="349"/>
      <c r="H228" s="349"/>
      <c r="I228" s="349"/>
      <c r="J228" s="349"/>
      <c r="K228" s="349"/>
      <c r="L228" s="349"/>
      <c r="M228" s="350"/>
    </row>
    <row r="229" spans="1:13">
      <c r="A229" s="348"/>
      <c r="B229" s="349"/>
      <c r="C229" s="349"/>
      <c r="D229" s="349"/>
      <c r="E229" s="349"/>
      <c r="F229" s="349"/>
      <c r="G229" s="349"/>
      <c r="H229" s="349"/>
      <c r="I229" s="349"/>
      <c r="J229" s="349"/>
      <c r="K229" s="349"/>
      <c r="L229" s="349"/>
      <c r="M229" s="350"/>
    </row>
    <row r="230" spans="1:13">
      <c r="A230" s="348"/>
      <c r="B230" s="349"/>
      <c r="C230" s="349"/>
      <c r="D230" s="349"/>
      <c r="E230" s="349"/>
      <c r="F230" s="349"/>
      <c r="G230" s="349"/>
      <c r="H230" s="349"/>
      <c r="I230" s="349"/>
      <c r="J230" s="349"/>
      <c r="K230" s="349"/>
      <c r="L230" s="349"/>
      <c r="M230" s="350"/>
    </row>
    <row r="231" spans="1:13">
      <c r="A231" s="348"/>
      <c r="B231" s="349"/>
      <c r="C231" s="349"/>
      <c r="D231" s="349"/>
      <c r="E231" s="349"/>
      <c r="F231" s="349"/>
      <c r="G231" s="349"/>
      <c r="H231" s="349"/>
      <c r="I231" s="349"/>
      <c r="J231" s="349"/>
      <c r="K231" s="349"/>
      <c r="L231" s="349"/>
      <c r="M231" s="350"/>
    </row>
    <row r="232" spans="1:13">
      <c r="A232" s="348"/>
      <c r="B232" s="349"/>
      <c r="C232" s="349"/>
      <c r="D232" s="349"/>
      <c r="E232" s="349"/>
      <c r="F232" s="349"/>
      <c r="G232" s="349"/>
      <c r="H232" s="349"/>
      <c r="I232" s="349"/>
      <c r="J232" s="349"/>
      <c r="K232" s="349"/>
      <c r="L232" s="349"/>
      <c r="M232" s="350"/>
    </row>
    <row r="233" spans="1:13">
      <c r="A233" s="348"/>
      <c r="B233" s="349"/>
      <c r="C233" s="349"/>
      <c r="D233" s="349"/>
      <c r="E233" s="349"/>
      <c r="F233" s="349"/>
      <c r="G233" s="349"/>
      <c r="H233" s="349"/>
      <c r="I233" s="349"/>
      <c r="J233" s="349"/>
      <c r="K233" s="349"/>
      <c r="L233" s="349"/>
      <c r="M233" s="350"/>
    </row>
    <row r="234" spans="1:13">
      <c r="A234" s="348"/>
      <c r="B234" s="349"/>
      <c r="C234" s="349"/>
      <c r="D234" s="349"/>
      <c r="E234" s="349"/>
      <c r="F234" s="349"/>
      <c r="G234" s="349"/>
      <c r="H234" s="349"/>
      <c r="I234" s="349"/>
      <c r="J234" s="349"/>
      <c r="K234" s="349"/>
      <c r="L234" s="349"/>
      <c r="M234" s="350"/>
    </row>
    <row r="235" spans="1:13">
      <c r="A235" s="348"/>
      <c r="B235" s="349"/>
      <c r="C235" s="349"/>
      <c r="D235" s="349"/>
      <c r="E235" s="349"/>
      <c r="F235" s="349"/>
      <c r="G235" s="349"/>
      <c r="H235" s="349"/>
      <c r="I235" s="349"/>
      <c r="J235" s="349"/>
      <c r="K235" s="349"/>
      <c r="L235" s="349"/>
      <c r="M235" s="350"/>
    </row>
    <row r="236" spans="1:13">
      <c r="A236" s="348"/>
      <c r="B236" s="349"/>
      <c r="C236" s="349"/>
      <c r="D236" s="349"/>
      <c r="E236" s="349"/>
      <c r="F236" s="349"/>
      <c r="G236" s="349"/>
      <c r="H236" s="349"/>
      <c r="I236" s="349"/>
      <c r="J236" s="349"/>
      <c r="K236" s="349"/>
      <c r="L236" s="349"/>
      <c r="M236" s="350"/>
    </row>
    <row r="237" spans="1:13">
      <c r="A237" s="348"/>
      <c r="B237" s="349"/>
      <c r="C237" s="349"/>
      <c r="D237" s="349"/>
      <c r="E237" s="349"/>
      <c r="F237" s="349"/>
      <c r="G237" s="349"/>
      <c r="H237" s="349"/>
      <c r="I237" s="349"/>
      <c r="J237" s="349"/>
      <c r="K237" s="349"/>
      <c r="L237" s="349"/>
      <c r="M237" s="350"/>
    </row>
    <row r="238" spans="1:13">
      <c r="A238" s="348"/>
      <c r="B238" s="349"/>
      <c r="C238" s="349"/>
      <c r="D238" s="349"/>
      <c r="E238" s="349"/>
      <c r="F238" s="349"/>
      <c r="G238" s="349"/>
      <c r="H238" s="349"/>
      <c r="I238" s="349"/>
      <c r="J238" s="349"/>
      <c r="K238" s="349"/>
      <c r="L238" s="349"/>
      <c r="M238" s="350"/>
    </row>
    <row r="239" spans="1:13">
      <c r="A239" s="348"/>
      <c r="B239" s="349"/>
      <c r="C239" s="349"/>
      <c r="D239" s="349"/>
      <c r="E239" s="349"/>
      <c r="F239" s="349"/>
      <c r="G239" s="349"/>
      <c r="H239" s="349"/>
      <c r="I239" s="349"/>
      <c r="J239" s="349"/>
      <c r="K239" s="349"/>
      <c r="L239" s="349"/>
      <c r="M239" s="350"/>
    </row>
    <row r="240" spans="1:13">
      <c r="A240" s="348"/>
      <c r="B240" s="349"/>
      <c r="C240" s="349"/>
      <c r="D240" s="349"/>
      <c r="E240" s="349"/>
      <c r="F240" s="349"/>
      <c r="G240" s="349"/>
      <c r="H240" s="349"/>
      <c r="I240" s="349"/>
      <c r="J240" s="349"/>
      <c r="K240" s="349"/>
      <c r="L240" s="349"/>
      <c r="M240" s="350"/>
    </row>
    <row r="241" spans="1:13">
      <c r="A241" s="348"/>
      <c r="B241" s="349"/>
      <c r="C241" s="349"/>
      <c r="D241" s="349"/>
      <c r="E241" s="349"/>
      <c r="F241" s="349"/>
      <c r="G241" s="349"/>
      <c r="H241" s="349"/>
      <c r="I241" s="349"/>
      <c r="J241" s="349"/>
      <c r="K241" s="349"/>
      <c r="L241" s="349"/>
      <c r="M241" s="350"/>
    </row>
    <row r="242" spans="1:13">
      <c r="A242" s="348"/>
      <c r="B242" s="349"/>
      <c r="C242" s="349"/>
      <c r="D242" s="349"/>
      <c r="E242" s="349"/>
      <c r="F242" s="349"/>
      <c r="G242" s="349"/>
      <c r="H242" s="349"/>
      <c r="I242" s="349"/>
      <c r="J242" s="349"/>
      <c r="K242" s="349"/>
      <c r="L242" s="349"/>
      <c r="M242" s="350"/>
    </row>
    <row r="243" spans="1:13">
      <c r="A243" s="348"/>
      <c r="B243" s="349"/>
      <c r="C243" s="349"/>
      <c r="D243" s="349"/>
      <c r="E243" s="349"/>
      <c r="F243" s="349"/>
      <c r="G243" s="349"/>
      <c r="H243" s="349"/>
      <c r="I243" s="349"/>
      <c r="J243" s="349"/>
      <c r="K243" s="349"/>
      <c r="L243" s="349"/>
      <c r="M243" s="350"/>
    </row>
    <row r="244" spans="1:13">
      <c r="A244" s="348"/>
      <c r="B244" s="349"/>
      <c r="C244" s="349"/>
      <c r="D244" s="349"/>
      <c r="E244" s="349"/>
      <c r="F244" s="349"/>
      <c r="G244" s="349"/>
      <c r="H244" s="349"/>
      <c r="I244" s="349"/>
      <c r="J244" s="349"/>
      <c r="K244" s="349"/>
      <c r="L244" s="349"/>
      <c r="M244" s="350"/>
    </row>
    <row r="245" spans="1:13">
      <c r="A245" s="348"/>
      <c r="B245" s="349"/>
      <c r="C245" s="349"/>
      <c r="D245" s="349"/>
      <c r="E245" s="349"/>
      <c r="F245" s="349"/>
      <c r="G245" s="349"/>
      <c r="H245" s="349"/>
      <c r="I245" s="349"/>
      <c r="J245" s="349"/>
      <c r="K245" s="349"/>
      <c r="L245" s="349"/>
      <c r="M245" s="350"/>
    </row>
    <row r="246" spans="1:13">
      <c r="A246" s="348"/>
      <c r="B246" s="349"/>
      <c r="C246" s="349"/>
      <c r="D246" s="349"/>
      <c r="E246" s="349"/>
      <c r="F246" s="349"/>
      <c r="G246" s="349"/>
      <c r="H246" s="349"/>
      <c r="I246" s="349"/>
      <c r="J246" s="349"/>
      <c r="K246" s="349"/>
      <c r="L246" s="349"/>
      <c r="M246" s="350"/>
    </row>
    <row r="247" spans="1:13">
      <c r="A247" s="348"/>
      <c r="B247" s="349"/>
      <c r="C247" s="349"/>
      <c r="D247" s="349"/>
      <c r="E247" s="349"/>
      <c r="F247" s="349"/>
      <c r="G247" s="349"/>
      <c r="H247" s="349"/>
      <c r="I247" s="349"/>
      <c r="J247" s="349"/>
      <c r="K247" s="349"/>
      <c r="L247" s="349"/>
      <c r="M247" s="350"/>
    </row>
    <row r="248" spans="1:13">
      <c r="A248" s="348"/>
      <c r="B248" s="349"/>
      <c r="C248" s="349"/>
      <c r="D248" s="349"/>
      <c r="E248" s="349"/>
      <c r="F248" s="349"/>
      <c r="G248" s="349"/>
      <c r="H248" s="349"/>
      <c r="I248" s="349"/>
      <c r="J248" s="349"/>
      <c r="K248" s="349"/>
      <c r="L248" s="349"/>
      <c r="M248" s="350"/>
    </row>
    <row r="249" spans="1:13">
      <c r="A249" s="348"/>
      <c r="B249" s="349"/>
      <c r="C249" s="349"/>
      <c r="D249" s="349"/>
      <c r="E249" s="349"/>
      <c r="F249" s="349"/>
      <c r="G249" s="349"/>
      <c r="H249" s="349"/>
      <c r="I249" s="349"/>
      <c r="J249" s="349"/>
      <c r="K249" s="349"/>
      <c r="L249" s="349"/>
      <c r="M249" s="350"/>
    </row>
    <row r="250" spans="1:13">
      <c r="A250" s="348"/>
      <c r="B250" s="349"/>
      <c r="C250" s="349"/>
      <c r="D250" s="349"/>
      <c r="E250" s="349"/>
      <c r="F250" s="349"/>
      <c r="G250" s="349"/>
      <c r="H250" s="349"/>
      <c r="I250" s="349"/>
      <c r="J250" s="349"/>
      <c r="K250" s="349"/>
      <c r="L250" s="349"/>
      <c r="M250" s="350"/>
    </row>
    <row r="251" spans="1:13">
      <c r="A251" s="348"/>
      <c r="B251" s="349"/>
      <c r="C251" s="349"/>
      <c r="D251" s="349"/>
      <c r="E251" s="349"/>
      <c r="F251" s="349"/>
      <c r="G251" s="349"/>
      <c r="H251" s="349"/>
      <c r="I251" s="349"/>
      <c r="J251" s="349"/>
      <c r="K251" s="349"/>
      <c r="L251" s="349"/>
      <c r="M251" s="350"/>
    </row>
    <row r="252" spans="1:13">
      <c r="A252" s="348"/>
      <c r="B252" s="349"/>
      <c r="C252" s="349"/>
      <c r="D252" s="349"/>
      <c r="E252" s="349"/>
      <c r="F252" s="349"/>
      <c r="G252" s="349"/>
      <c r="H252" s="349"/>
      <c r="I252" s="349"/>
      <c r="J252" s="349"/>
      <c r="K252" s="349"/>
      <c r="L252" s="349"/>
      <c r="M252" s="350"/>
    </row>
    <row r="253" spans="1:13">
      <c r="A253" s="348"/>
      <c r="B253" s="349"/>
      <c r="C253" s="349"/>
      <c r="D253" s="349"/>
      <c r="E253" s="349"/>
      <c r="F253" s="349"/>
      <c r="G253" s="349"/>
      <c r="H253" s="349"/>
      <c r="I253" s="349"/>
      <c r="J253" s="349"/>
      <c r="K253" s="349"/>
      <c r="L253" s="349"/>
      <c r="M253" s="350"/>
    </row>
    <row r="254" spans="1:13">
      <c r="A254" s="348"/>
      <c r="B254" s="349"/>
      <c r="C254" s="349"/>
      <c r="D254" s="349"/>
      <c r="E254" s="349"/>
      <c r="F254" s="349"/>
      <c r="G254" s="349"/>
      <c r="H254" s="349"/>
      <c r="I254" s="349"/>
      <c r="J254" s="349"/>
      <c r="K254" s="349"/>
      <c r="L254" s="349"/>
      <c r="M254" s="350"/>
    </row>
    <row r="255" spans="1:13">
      <c r="A255" s="348"/>
      <c r="B255" s="349"/>
      <c r="C255" s="349"/>
      <c r="D255" s="349"/>
      <c r="E255" s="349"/>
      <c r="F255" s="349"/>
      <c r="G255" s="349"/>
      <c r="H255" s="349"/>
      <c r="I255" s="349"/>
      <c r="J255" s="349"/>
      <c r="K255" s="349"/>
      <c r="L255" s="349"/>
      <c r="M255" s="350"/>
    </row>
    <row r="256" spans="1:13">
      <c r="A256" s="348"/>
      <c r="B256" s="349"/>
      <c r="C256" s="349"/>
      <c r="D256" s="349"/>
      <c r="E256" s="349"/>
      <c r="F256" s="349"/>
      <c r="G256" s="349"/>
      <c r="H256" s="349"/>
      <c r="I256" s="349"/>
      <c r="J256" s="349"/>
      <c r="K256" s="349"/>
      <c r="L256" s="349"/>
      <c r="M256" s="350"/>
    </row>
    <row r="257" spans="1:13">
      <c r="A257" s="348"/>
      <c r="B257" s="349"/>
      <c r="C257" s="349"/>
      <c r="D257" s="349"/>
      <c r="E257" s="349"/>
      <c r="F257" s="349"/>
      <c r="G257" s="349"/>
      <c r="H257" s="349"/>
      <c r="I257" s="349"/>
      <c r="J257" s="349"/>
      <c r="K257" s="349"/>
      <c r="L257" s="349"/>
      <c r="M257" s="350"/>
    </row>
    <row r="258" spans="1:13">
      <c r="A258" s="348"/>
      <c r="B258" s="349"/>
      <c r="C258" s="349"/>
      <c r="D258" s="349"/>
      <c r="E258" s="349"/>
      <c r="F258" s="349"/>
      <c r="G258" s="349"/>
      <c r="H258" s="349"/>
      <c r="I258" s="349"/>
      <c r="J258" s="349"/>
      <c r="K258" s="349"/>
      <c r="L258" s="349"/>
      <c r="M258" s="350"/>
    </row>
    <row r="259" spans="1:13">
      <c r="A259" s="348"/>
      <c r="B259" s="349"/>
      <c r="C259" s="349"/>
      <c r="D259" s="349"/>
      <c r="E259" s="349"/>
      <c r="F259" s="349"/>
      <c r="G259" s="349"/>
      <c r="H259" s="349"/>
      <c r="I259" s="349"/>
      <c r="J259" s="349"/>
      <c r="K259" s="349"/>
      <c r="L259" s="349"/>
      <c r="M259" s="350"/>
    </row>
    <row r="260" spans="1:13">
      <c r="A260" s="348"/>
      <c r="B260" s="349"/>
      <c r="C260" s="349"/>
      <c r="D260" s="349"/>
      <c r="E260" s="349"/>
      <c r="F260" s="349"/>
      <c r="G260" s="349"/>
      <c r="H260" s="349"/>
      <c r="I260" s="349"/>
      <c r="J260" s="349"/>
      <c r="K260" s="349"/>
      <c r="L260" s="349"/>
      <c r="M260" s="350"/>
    </row>
    <row r="261" spans="1:13">
      <c r="A261" s="348"/>
      <c r="B261" s="349"/>
      <c r="C261" s="349"/>
      <c r="D261" s="349"/>
      <c r="E261" s="349"/>
      <c r="F261" s="349"/>
      <c r="G261" s="349"/>
      <c r="H261" s="349"/>
      <c r="I261" s="349"/>
      <c r="J261" s="349"/>
      <c r="K261" s="349"/>
      <c r="L261" s="349"/>
      <c r="M261" s="350"/>
    </row>
    <row r="262" spans="1:13">
      <c r="A262" s="348"/>
      <c r="B262" s="349"/>
      <c r="C262" s="349"/>
      <c r="D262" s="349"/>
      <c r="E262" s="349"/>
      <c r="F262" s="349"/>
      <c r="G262" s="349"/>
      <c r="H262" s="349"/>
      <c r="I262" s="349"/>
      <c r="J262" s="349"/>
      <c r="K262" s="349"/>
      <c r="L262" s="349"/>
      <c r="M262" s="350"/>
    </row>
    <row r="263" spans="1:13">
      <c r="A263" s="348"/>
      <c r="B263" s="349"/>
      <c r="C263" s="349"/>
      <c r="D263" s="349"/>
      <c r="E263" s="349"/>
      <c r="F263" s="349"/>
      <c r="G263" s="349"/>
      <c r="H263" s="349"/>
      <c r="I263" s="349"/>
      <c r="J263" s="349"/>
      <c r="K263" s="349"/>
      <c r="L263" s="349"/>
      <c r="M263" s="350"/>
    </row>
    <row r="264" spans="1:13">
      <c r="A264" s="348"/>
      <c r="B264" s="349"/>
      <c r="C264" s="349"/>
      <c r="D264" s="349"/>
      <c r="E264" s="349"/>
      <c r="F264" s="349"/>
      <c r="G264" s="349"/>
      <c r="H264" s="349"/>
      <c r="I264" s="349"/>
      <c r="J264" s="349"/>
      <c r="K264" s="349"/>
      <c r="L264" s="349"/>
      <c r="M264" s="350"/>
    </row>
    <row r="265" spans="1:13">
      <c r="A265" s="348"/>
      <c r="B265" s="349"/>
      <c r="C265" s="349"/>
      <c r="D265" s="349"/>
      <c r="E265" s="349"/>
      <c r="F265" s="349"/>
      <c r="G265" s="349"/>
      <c r="H265" s="349"/>
      <c r="I265" s="349"/>
      <c r="J265" s="349"/>
      <c r="K265" s="349"/>
      <c r="L265" s="349"/>
      <c r="M265" s="350"/>
    </row>
    <row r="266" spans="1:13">
      <c r="A266" s="348"/>
      <c r="B266" s="349"/>
      <c r="C266" s="349"/>
      <c r="D266" s="349"/>
      <c r="E266" s="349"/>
      <c r="F266" s="349"/>
      <c r="G266" s="349"/>
      <c r="H266" s="349"/>
      <c r="I266" s="349"/>
      <c r="J266" s="349"/>
      <c r="K266" s="349"/>
      <c r="L266" s="349"/>
      <c r="M266" s="350"/>
    </row>
    <row r="267" spans="1:13">
      <c r="A267" s="348"/>
      <c r="B267" s="349"/>
      <c r="C267" s="349"/>
      <c r="D267" s="349"/>
      <c r="E267" s="349"/>
      <c r="F267" s="349"/>
      <c r="G267" s="349"/>
      <c r="H267" s="349"/>
      <c r="I267" s="349"/>
      <c r="J267" s="349"/>
      <c r="K267" s="349"/>
      <c r="L267" s="349"/>
      <c r="M267" s="350"/>
    </row>
    <row r="268" spans="1:13">
      <c r="A268" s="348"/>
      <c r="B268" s="349"/>
      <c r="C268" s="349"/>
      <c r="D268" s="349"/>
      <c r="E268" s="349"/>
      <c r="F268" s="349"/>
      <c r="G268" s="349"/>
      <c r="H268" s="349"/>
      <c r="I268" s="349"/>
      <c r="J268" s="349"/>
      <c r="K268" s="349"/>
      <c r="L268" s="349"/>
      <c r="M268" s="350"/>
    </row>
    <row r="269" spans="1:13">
      <c r="A269" s="348"/>
      <c r="B269" s="349"/>
      <c r="C269" s="349"/>
      <c r="D269" s="349"/>
      <c r="E269" s="349"/>
      <c r="F269" s="349"/>
      <c r="G269" s="349"/>
      <c r="H269" s="349"/>
      <c r="I269" s="349"/>
      <c r="J269" s="349"/>
      <c r="K269" s="349"/>
      <c r="L269" s="349"/>
      <c r="M269" s="350"/>
    </row>
    <row r="270" spans="1:13">
      <c r="A270" s="348"/>
      <c r="B270" s="349"/>
      <c r="C270" s="349"/>
      <c r="D270" s="349"/>
      <c r="E270" s="349"/>
      <c r="F270" s="349"/>
      <c r="G270" s="349"/>
      <c r="H270" s="349"/>
      <c r="I270" s="349"/>
      <c r="J270" s="349"/>
      <c r="K270" s="349"/>
      <c r="L270" s="349"/>
      <c r="M270" s="350"/>
    </row>
    <row r="271" spans="1:13">
      <c r="A271" s="348"/>
      <c r="B271" s="349"/>
      <c r="C271" s="349"/>
      <c r="D271" s="349"/>
      <c r="E271" s="349"/>
      <c r="F271" s="349"/>
      <c r="G271" s="349"/>
      <c r="H271" s="349"/>
      <c r="I271" s="349"/>
      <c r="J271" s="349"/>
      <c r="K271" s="349"/>
      <c r="L271" s="349"/>
      <c r="M271" s="350"/>
    </row>
    <row r="272" spans="1:13">
      <c r="A272" s="348"/>
      <c r="B272" s="349"/>
      <c r="C272" s="349"/>
      <c r="D272" s="349"/>
      <c r="E272" s="349"/>
      <c r="F272" s="349"/>
      <c r="G272" s="349"/>
      <c r="H272" s="349"/>
      <c r="I272" s="349"/>
      <c r="J272" s="349"/>
      <c r="K272" s="349"/>
      <c r="L272" s="349"/>
      <c r="M272" s="350"/>
    </row>
    <row r="273" spans="1:13">
      <c r="A273" s="348"/>
      <c r="B273" s="349"/>
      <c r="C273" s="349"/>
      <c r="D273" s="349"/>
      <c r="E273" s="349"/>
      <c r="F273" s="349"/>
      <c r="G273" s="349"/>
      <c r="H273" s="349"/>
      <c r="I273" s="349"/>
      <c r="J273" s="349"/>
      <c r="K273" s="349"/>
      <c r="L273" s="349"/>
      <c r="M273" s="350"/>
    </row>
    <row r="274" spans="1:13">
      <c r="A274" s="348"/>
      <c r="B274" s="349"/>
      <c r="C274" s="349"/>
      <c r="D274" s="349"/>
      <c r="E274" s="349"/>
      <c r="F274" s="349"/>
      <c r="G274" s="349"/>
      <c r="H274" s="349"/>
      <c r="I274" s="349"/>
      <c r="J274" s="349"/>
      <c r="K274" s="349"/>
      <c r="L274" s="349"/>
      <c r="M274" s="350"/>
    </row>
    <row r="275" spans="1:13">
      <c r="A275" s="348"/>
      <c r="B275" s="349"/>
      <c r="C275" s="349"/>
      <c r="D275" s="349"/>
      <c r="E275" s="349"/>
      <c r="F275" s="349"/>
      <c r="G275" s="349"/>
      <c r="H275" s="349"/>
      <c r="I275" s="349"/>
      <c r="J275" s="349"/>
      <c r="K275" s="349"/>
      <c r="L275" s="349"/>
      <c r="M275" s="350"/>
    </row>
    <row r="276" spans="1:13">
      <c r="A276" s="348"/>
      <c r="B276" s="349"/>
      <c r="C276" s="349"/>
      <c r="D276" s="349"/>
      <c r="E276" s="349"/>
      <c r="F276" s="349"/>
      <c r="G276" s="349"/>
      <c r="H276" s="349"/>
      <c r="I276" s="349"/>
      <c r="J276" s="349"/>
      <c r="K276" s="349"/>
      <c r="L276" s="349"/>
      <c r="M276" s="350"/>
    </row>
    <row r="277" spans="1:13">
      <c r="A277" s="348"/>
      <c r="B277" s="349"/>
      <c r="C277" s="349"/>
      <c r="D277" s="349"/>
      <c r="E277" s="349"/>
      <c r="F277" s="349"/>
      <c r="G277" s="349"/>
      <c r="H277" s="349"/>
      <c r="I277" s="349"/>
      <c r="J277" s="349"/>
      <c r="K277" s="349"/>
      <c r="L277" s="349"/>
      <c r="M277" s="350"/>
    </row>
    <row r="278" spans="1:13">
      <c r="A278" s="348"/>
      <c r="B278" s="349"/>
      <c r="C278" s="349"/>
      <c r="D278" s="349"/>
      <c r="E278" s="349"/>
      <c r="F278" s="349"/>
      <c r="G278" s="349"/>
      <c r="H278" s="349"/>
      <c r="I278" s="349"/>
      <c r="J278" s="349"/>
      <c r="K278" s="349"/>
      <c r="L278" s="349"/>
      <c r="M278" s="350"/>
    </row>
    <row r="279" spans="1:13">
      <c r="A279" s="348"/>
      <c r="B279" s="349"/>
      <c r="C279" s="349"/>
      <c r="D279" s="349"/>
      <c r="E279" s="349"/>
      <c r="F279" s="349"/>
      <c r="G279" s="349"/>
      <c r="H279" s="349"/>
      <c r="I279" s="349"/>
      <c r="J279" s="349"/>
      <c r="K279" s="349"/>
      <c r="L279" s="349"/>
      <c r="M279" s="350"/>
    </row>
    <row r="280" spans="1:13">
      <c r="A280" s="348"/>
      <c r="B280" s="349"/>
      <c r="C280" s="349"/>
      <c r="D280" s="349"/>
      <c r="E280" s="349"/>
      <c r="F280" s="349"/>
      <c r="G280" s="349"/>
      <c r="H280" s="349"/>
      <c r="I280" s="349"/>
      <c r="J280" s="349"/>
      <c r="K280" s="349"/>
      <c r="L280" s="349"/>
      <c r="M280" s="350"/>
    </row>
    <row r="281" spans="1:13">
      <c r="A281" s="348"/>
      <c r="B281" s="349"/>
      <c r="C281" s="349"/>
      <c r="D281" s="349"/>
      <c r="E281" s="349"/>
      <c r="F281" s="349"/>
      <c r="G281" s="349"/>
      <c r="H281" s="349"/>
      <c r="I281" s="349"/>
      <c r="J281" s="349"/>
      <c r="K281" s="349"/>
      <c r="L281" s="349"/>
      <c r="M281" s="350"/>
    </row>
    <row r="282" spans="1:13">
      <c r="A282" s="348"/>
      <c r="B282" s="349"/>
      <c r="C282" s="349"/>
      <c r="D282" s="349"/>
      <c r="E282" s="349"/>
      <c r="F282" s="349"/>
      <c r="G282" s="349"/>
      <c r="H282" s="349"/>
      <c r="I282" s="349"/>
      <c r="J282" s="349"/>
      <c r="K282" s="349"/>
      <c r="L282" s="349"/>
      <c r="M282" s="350"/>
    </row>
    <row r="283" spans="1:13">
      <c r="A283" s="348"/>
      <c r="B283" s="349"/>
      <c r="C283" s="349"/>
      <c r="D283" s="349"/>
      <c r="E283" s="349"/>
      <c r="F283" s="349"/>
      <c r="G283" s="349"/>
      <c r="H283" s="349"/>
      <c r="I283" s="349"/>
      <c r="J283" s="349"/>
      <c r="K283" s="349"/>
      <c r="L283" s="349"/>
      <c r="M283" s="350"/>
    </row>
    <row r="284" spans="1:13">
      <c r="A284" s="348"/>
      <c r="B284" s="349"/>
      <c r="C284" s="349"/>
      <c r="D284" s="349"/>
      <c r="E284" s="349"/>
      <c r="F284" s="349"/>
      <c r="G284" s="349"/>
      <c r="H284" s="349"/>
      <c r="I284" s="349"/>
      <c r="J284" s="349"/>
      <c r="K284" s="349"/>
      <c r="L284" s="349"/>
      <c r="M284" s="350"/>
    </row>
    <row r="285" spans="1:13">
      <c r="A285" s="348"/>
      <c r="B285" s="349"/>
      <c r="C285" s="349"/>
      <c r="D285" s="349"/>
      <c r="E285" s="349"/>
      <c r="F285" s="349"/>
      <c r="G285" s="349"/>
      <c r="H285" s="349"/>
      <c r="I285" s="349"/>
      <c r="J285" s="349"/>
      <c r="K285" s="349"/>
      <c r="L285" s="349"/>
      <c r="M285" s="350"/>
    </row>
    <row r="286" spans="1:13">
      <c r="A286" s="348"/>
      <c r="B286" s="349"/>
      <c r="C286" s="349"/>
      <c r="D286" s="349"/>
      <c r="E286" s="349"/>
      <c r="F286" s="349"/>
      <c r="G286" s="349"/>
      <c r="H286" s="349"/>
      <c r="I286" s="349"/>
      <c r="J286" s="349"/>
      <c r="K286" s="349"/>
      <c r="L286" s="349"/>
      <c r="M286" s="350"/>
    </row>
    <row r="287" spans="1:13">
      <c r="A287" s="348"/>
      <c r="B287" s="349"/>
      <c r="C287" s="349"/>
      <c r="D287" s="349"/>
      <c r="E287" s="349"/>
      <c r="F287" s="349"/>
      <c r="G287" s="349"/>
      <c r="H287" s="349"/>
      <c r="I287" s="349"/>
      <c r="J287" s="349"/>
      <c r="K287" s="349"/>
      <c r="L287" s="349"/>
      <c r="M287" s="350"/>
    </row>
    <row r="288" spans="1:13">
      <c r="A288" s="348"/>
      <c r="B288" s="349"/>
      <c r="C288" s="349"/>
      <c r="D288" s="349"/>
      <c r="E288" s="349"/>
      <c r="F288" s="349"/>
      <c r="G288" s="349"/>
      <c r="H288" s="349"/>
      <c r="I288" s="349"/>
      <c r="J288" s="349"/>
      <c r="K288" s="349"/>
      <c r="L288" s="349"/>
      <c r="M288" s="350"/>
    </row>
    <row r="289" spans="1:13">
      <c r="A289" s="348"/>
      <c r="B289" s="349"/>
      <c r="C289" s="349"/>
      <c r="D289" s="349"/>
      <c r="E289" s="349"/>
      <c r="F289" s="349"/>
      <c r="G289" s="349"/>
      <c r="H289" s="349"/>
      <c r="I289" s="349"/>
      <c r="J289" s="349"/>
      <c r="K289" s="349"/>
      <c r="L289" s="349"/>
      <c r="M289" s="350"/>
    </row>
    <row r="290" spans="1:13">
      <c r="A290" s="348"/>
      <c r="B290" s="349"/>
      <c r="C290" s="349"/>
      <c r="D290" s="349"/>
      <c r="E290" s="349"/>
      <c r="F290" s="349"/>
      <c r="G290" s="349"/>
      <c r="H290" s="349"/>
      <c r="I290" s="349"/>
      <c r="J290" s="349"/>
      <c r="K290" s="349"/>
      <c r="L290" s="349"/>
      <c r="M290" s="350"/>
    </row>
    <row r="291" spans="1:13">
      <c r="A291" s="348"/>
      <c r="B291" s="349"/>
      <c r="C291" s="349"/>
      <c r="D291" s="349"/>
      <c r="E291" s="349"/>
      <c r="F291" s="349"/>
      <c r="G291" s="349"/>
      <c r="H291" s="349"/>
      <c r="I291" s="349"/>
      <c r="J291" s="349"/>
      <c r="K291" s="349"/>
      <c r="L291" s="349"/>
      <c r="M291" s="350"/>
    </row>
    <row r="292" spans="1:13">
      <c r="A292" s="348"/>
      <c r="B292" s="349"/>
      <c r="C292" s="349"/>
      <c r="D292" s="349"/>
      <c r="E292" s="349"/>
      <c r="F292" s="349"/>
      <c r="G292" s="349"/>
      <c r="H292" s="349"/>
      <c r="I292" s="349"/>
      <c r="J292" s="349"/>
      <c r="K292" s="349"/>
      <c r="L292" s="349"/>
      <c r="M292" s="350"/>
    </row>
    <row r="293" spans="1:13">
      <c r="A293" s="348"/>
      <c r="B293" s="349"/>
      <c r="C293" s="349"/>
      <c r="D293" s="349"/>
      <c r="E293" s="349"/>
      <c r="F293" s="349"/>
      <c r="G293" s="349"/>
      <c r="H293" s="349"/>
      <c r="I293" s="349"/>
      <c r="J293" s="349"/>
      <c r="K293" s="349"/>
      <c r="L293" s="349"/>
      <c r="M293" s="350"/>
    </row>
    <row r="294" spans="1:13">
      <c r="A294" s="348"/>
      <c r="B294" s="349"/>
      <c r="C294" s="349"/>
      <c r="D294" s="349"/>
      <c r="E294" s="349"/>
      <c r="F294" s="349"/>
      <c r="G294" s="349"/>
      <c r="H294" s="349"/>
      <c r="I294" s="349"/>
      <c r="J294" s="349"/>
      <c r="K294" s="349"/>
      <c r="L294" s="349"/>
      <c r="M294" s="350"/>
    </row>
    <row r="295" spans="1:13">
      <c r="A295" s="348"/>
      <c r="B295" s="349"/>
      <c r="C295" s="349"/>
      <c r="D295" s="349"/>
      <c r="E295" s="349"/>
      <c r="F295" s="349"/>
      <c r="G295" s="349"/>
      <c r="H295" s="349"/>
      <c r="I295" s="349"/>
      <c r="J295" s="349"/>
      <c r="K295" s="349"/>
      <c r="L295" s="349"/>
      <c r="M295" s="350"/>
    </row>
    <row r="296" spans="1:13">
      <c r="A296" s="348"/>
      <c r="B296" s="349"/>
      <c r="C296" s="349"/>
      <c r="D296" s="349"/>
      <c r="E296" s="349"/>
      <c r="F296" s="349"/>
      <c r="G296" s="349"/>
      <c r="H296" s="349"/>
      <c r="I296" s="349"/>
      <c r="J296" s="349"/>
      <c r="K296" s="349"/>
      <c r="L296" s="349"/>
      <c r="M296" s="350"/>
    </row>
  </sheetData>
  <sheetProtection sheet="1" objects="1" scenarios="1"/>
  <protectedRanges>
    <protectedRange password="DD40" sqref="B41:G42 M36 H7:H15 I10:K15 B5 B43:B45 B19:L30 K1 A1:A4 O63 B46:G49 K33:L33 B14:D14 H16:L18 B132:L65478 L111:L112 L6:L15 L93:L98 K6 L2:L3 B6:I6 E5 E7:G10 B9:B10 B7:D8 B15:B18 E14:G16 C33:D33 C31:L32 E33:G40 C43:G44 C69:G70 B69:B71 B72:H80 K54:K56 B85:H85 E83 E84:F84 C82 B81:D81 L86:L91 C50:G58 H33:H34 B50:B54 I33 B34:D40 B60:G68 H60:H70 I57:L58 H54:H58 K59:L59 C59:I59 K85 J4:J6 J83 I61:I66 I68:I70 I73:I79 L115:L131 C1:D4 E1:E2 G1:H2 K80:K82 H83 E81:H82 C84 B83 L101 L104:L105 L107:L109" name="Range1"/>
    <protectedRange password="DD40" sqref="L54:L56 J54:J56 J85 K83 L80:L85 J80:J82" name="Range1_6"/>
    <protectedRange password="DD40" sqref="H35:H44 H46:H53 I80:I83 I35:I40 I42:I44 I47:I56 I85" name="Range1_2"/>
    <protectedRange password="DD40" sqref="J94 M63 M35 K95:K98 J87" name="Range1_4_1"/>
    <protectedRange password="DD40" sqref="J95:J98" name="Range1_6_2"/>
    <protectedRange password="DD40" sqref="I95:I98" name="Range1_2_1"/>
    <protectedRange password="DD40" sqref="C93:G93 B87:B91 C87:F87 B101:B103 C100:G100 B94:B98 H94 C94:E94 G101:G103" name="Range1_5_1"/>
    <protectedRange password="DD40" sqref="C118:E118 F115:G117 G118 B124:B131 H124 J112:J117 C112:D116 E114:E116 F112:H114 K118:K131 J119:J124 E119:E124 C118:D124 H115:H118" name="Range1_7_1"/>
    <protectedRange password="DD40" sqref="I117:I118 G122:H123" name="Range1_1_1"/>
    <protectedRange password="DD40" sqref="K88:K91" name="Range1_4_1_2"/>
    <protectedRange password="DD40" sqref="J88:J91" name="Range1_6_2_2"/>
    <protectedRange password="DD40" sqref="I88:I91" name="Range1_2_1_2"/>
    <protectedRange password="DD40" sqref="A7" name="Range1_1"/>
    <protectedRange password="DD40" sqref="K36:K44 K46:K53" name="Range1_3"/>
    <protectedRange password="DD40" sqref="L36:L40 L42:L45 L47:L53 I41 I46" name="Range1_6_3"/>
    <protectedRange password="DD40" sqref="L41 L46" name="Range1_6_1_1"/>
    <protectedRange password="DD40" sqref="K62:K66 K68:K70 K73:K79" name="Range1_4"/>
    <protectedRange password="DD40" sqref="L62:L66 L68:L71 L73:L79 I67:J67 I72:J72" name="Range1_6_4"/>
    <protectedRange password="DD40" sqref="J84:K84 H84" name="Range1_5"/>
    <protectedRange password="DD40" sqref="I84" name="Range1_2_3"/>
  </protectedRanges>
  <mergeCells count="135">
    <mergeCell ref="B103:C103"/>
    <mergeCell ref="C44:G44"/>
    <mergeCell ref="B106:K106"/>
    <mergeCell ref="C98:F98"/>
    <mergeCell ref="C45:G45"/>
    <mergeCell ref="C61:G61"/>
    <mergeCell ref="C52:G52"/>
    <mergeCell ref="C96:F96"/>
    <mergeCell ref="C94:F94"/>
    <mergeCell ref="C95:F95"/>
    <mergeCell ref="B101:C101"/>
    <mergeCell ref="J47:L47"/>
    <mergeCell ref="C66:G66"/>
    <mergeCell ref="J52:L52"/>
    <mergeCell ref="C65:G65"/>
    <mergeCell ref="C51:G51"/>
    <mergeCell ref="C59:G59"/>
    <mergeCell ref="J59:L59"/>
    <mergeCell ref="C63:G63"/>
    <mergeCell ref="C62:G62"/>
    <mergeCell ref="J44:L44"/>
    <mergeCell ref="E82:K82"/>
    <mergeCell ref="C53:G53"/>
    <mergeCell ref="H83:I83"/>
    <mergeCell ref="C97:F97"/>
    <mergeCell ref="C64:G64"/>
    <mergeCell ref="C87:E87"/>
    <mergeCell ref="C90:E90"/>
    <mergeCell ref="C89:E89"/>
    <mergeCell ref="C74:G74"/>
    <mergeCell ref="C88:E88"/>
    <mergeCell ref="J36:L36"/>
    <mergeCell ref="J74:L74"/>
    <mergeCell ref="J43:L43"/>
    <mergeCell ref="C36:G36"/>
    <mergeCell ref="C38:G38"/>
    <mergeCell ref="C40:G40"/>
    <mergeCell ref="J40:L40"/>
    <mergeCell ref="C68:G68"/>
    <mergeCell ref="J48:L48"/>
    <mergeCell ref="C39:G39"/>
    <mergeCell ref="C69:G69"/>
    <mergeCell ref="J49:L49"/>
    <mergeCell ref="C47:G47"/>
    <mergeCell ref="C73:G73"/>
    <mergeCell ref="J51:L51"/>
    <mergeCell ref="E84:G84"/>
    <mergeCell ref="C84:D84"/>
    <mergeCell ref="J39:L39"/>
    <mergeCell ref="J42:L42"/>
    <mergeCell ref="J68:L68"/>
    <mergeCell ref="G91:L91"/>
    <mergeCell ref="J45:L45"/>
    <mergeCell ref="G90:L90"/>
    <mergeCell ref="J50:L50"/>
    <mergeCell ref="J70:L70"/>
    <mergeCell ref="C70:G70"/>
    <mergeCell ref="J71:L71"/>
    <mergeCell ref="J53:L53"/>
    <mergeCell ref="J69:L69"/>
    <mergeCell ref="J61:L61"/>
    <mergeCell ref="J62:L62"/>
    <mergeCell ref="J66:L66"/>
    <mergeCell ref="P1:P2"/>
    <mergeCell ref="T18:T21"/>
    <mergeCell ref="J77:L77"/>
    <mergeCell ref="B6:L6"/>
    <mergeCell ref="C78:G78"/>
    <mergeCell ref="J79:L79"/>
    <mergeCell ref="J37:L37"/>
    <mergeCell ref="B9:C9"/>
    <mergeCell ref="C75:G75"/>
    <mergeCell ref="J75:L75"/>
    <mergeCell ref="J38:L38"/>
    <mergeCell ref="J65:L65"/>
    <mergeCell ref="C35:G35"/>
    <mergeCell ref="E4:G4"/>
    <mergeCell ref="E3:J3"/>
    <mergeCell ref="J63:L63"/>
    <mergeCell ref="T42:T45"/>
    <mergeCell ref="T70:T73"/>
    <mergeCell ref="T30:T33"/>
    <mergeCell ref="T22:T25"/>
    <mergeCell ref="T26:T29"/>
    <mergeCell ref="T14:T17"/>
    <mergeCell ref="T34:T37"/>
    <mergeCell ref="J76:L76"/>
    <mergeCell ref="O1:O2"/>
    <mergeCell ref="C37:G37"/>
    <mergeCell ref="B102:C102"/>
    <mergeCell ref="J73:L73"/>
    <mergeCell ref="C43:G43"/>
    <mergeCell ref="C33:G33"/>
    <mergeCell ref="G88:L88"/>
    <mergeCell ref="E9:L9"/>
    <mergeCell ref="E10:L12"/>
    <mergeCell ref="E15:L15"/>
    <mergeCell ref="E16:L18"/>
    <mergeCell ref="C77:G77"/>
    <mergeCell ref="B10:C12"/>
    <mergeCell ref="C48:G48"/>
    <mergeCell ref="C71:G71"/>
    <mergeCell ref="B16:C18"/>
    <mergeCell ref="B15:C15"/>
    <mergeCell ref="C82:D83"/>
    <mergeCell ref="G96:L96"/>
    <mergeCell ref="G95:L95"/>
    <mergeCell ref="G98:L98"/>
    <mergeCell ref="G97:L97"/>
    <mergeCell ref="J35:L35"/>
    <mergeCell ref="J64:L64"/>
    <mergeCell ref="T10:T13"/>
    <mergeCell ref="J78:L78"/>
    <mergeCell ref="T8:W8"/>
    <mergeCell ref="G89:L89"/>
    <mergeCell ref="T50:T53"/>
    <mergeCell ref="B109:L109"/>
    <mergeCell ref="T38:T41"/>
    <mergeCell ref="T66:T69"/>
    <mergeCell ref="T46:T49"/>
    <mergeCell ref="T62:T65"/>
    <mergeCell ref="T58:T61"/>
    <mergeCell ref="T54:T57"/>
    <mergeCell ref="C79:G79"/>
    <mergeCell ref="C49:G49"/>
    <mergeCell ref="C76:G76"/>
    <mergeCell ref="C50:G50"/>
    <mergeCell ref="H84:I84"/>
    <mergeCell ref="P87:Q87"/>
    <mergeCell ref="E83:G83"/>
    <mergeCell ref="J33:L33"/>
    <mergeCell ref="G87:L87"/>
    <mergeCell ref="C42:G42"/>
    <mergeCell ref="C91:E91"/>
    <mergeCell ref="G94:L94"/>
  </mergeCells>
  <conditionalFormatting sqref="I61:I66 I68:I71 I73:I79">
    <cfRule type="cellIs" dxfId="3" priority="1" operator="lessThan">
      <formula>70</formula>
    </cfRule>
  </conditionalFormatting>
  <conditionalFormatting sqref="I35:I40 I42:I45 I47:I53">
    <cfRule type="cellIs" dxfId="2" priority="2" operator="lessThan">
      <formula>70</formula>
    </cfRule>
  </conditionalFormatting>
  <printOptions horizontalCentered="1"/>
  <pageMargins left="0.31496062992125984" right="0.23622047244094491" top="0.44" bottom="0.35" header="0.39370078740157483" footer="0.2"/>
  <headerFooter>
    <oddFooter>&amp;L&amp;"Arial Narrow,Regular"&amp;8&amp;P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03"/>
  <sheetViews>
    <sheetView topLeftCell="A7" workbookViewId="0">
      <selection activeCell="L15" sqref="L15:P15"/>
    </sheetView>
  </sheetViews>
  <sheetFormatPr defaultColWidth="9" defaultRowHeight="15" customHeight="1"/>
  <cols>
    <col min="1" max="1" width="2.85546875" style="353" customWidth="1"/>
    <col min="2" max="2" width="11.7109375" style="353" hidden="1"/>
    <col min="3" max="3" width="7.7109375" style="353" hidden="1"/>
    <col min="4" max="5" width="12.7109375" style="353" hidden="1"/>
    <col min="6" max="6" width="9.140625" style="353" hidden="1"/>
    <col min="7" max="7" width="9.140625" style="354" hidden="1"/>
    <col min="8" max="256" width="9.140625" style="354" customWidth="1"/>
  </cols>
  <sheetData>
    <row r="2" spans="2:16" ht="15" customHeight="1">
      <c r="B2" s="671" t="s">
        <v>22</v>
      </c>
      <c r="C2" s="671" t="s">
        <v>23</v>
      </c>
      <c r="D2" s="671" t="s">
        <v>24</v>
      </c>
      <c r="E2" s="671"/>
    </row>
    <row r="3" spans="2:16" ht="15" customHeight="1">
      <c r="B3" s="671"/>
      <c r="C3" s="671"/>
      <c r="D3" s="355" t="s">
        <v>8</v>
      </c>
      <c r="E3" s="355" t="s">
        <v>25</v>
      </c>
    </row>
    <row r="4" spans="2:16" ht="15" customHeight="1">
      <c r="B4" s="355">
        <v>1</v>
      </c>
      <c r="C4" s="355" t="s">
        <v>19</v>
      </c>
      <c r="D4" s="355">
        <v>0.33</v>
      </c>
      <c r="E4" s="355">
        <v>0.33</v>
      </c>
    </row>
    <row r="5" spans="2:16" ht="15" customHeight="1">
      <c r="B5" s="355">
        <v>2</v>
      </c>
      <c r="C5" s="355" t="s">
        <v>19</v>
      </c>
      <c r="D5" s="355">
        <v>0.33</v>
      </c>
      <c r="E5" s="355">
        <v>0.33</v>
      </c>
    </row>
    <row r="6" spans="2:16" ht="15" customHeight="1">
      <c r="B6" s="355">
        <v>3</v>
      </c>
      <c r="C6" s="355" t="s">
        <v>19</v>
      </c>
      <c r="D6" s="355">
        <v>0.33</v>
      </c>
      <c r="E6" s="355">
        <v>0.33</v>
      </c>
    </row>
    <row r="7" spans="2:16" ht="15" customHeight="1">
      <c r="B7" s="355">
        <v>4</v>
      </c>
      <c r="C7" s="355" t="s">
        <v>19</v>
      </c>
      <c r="D7" s="355">
        <v>0.33</v>
      </c>
      <c r="E7" s="355">
        <v>0.33</v>
      </c>
    </row>
    <row r="8" spans="2:16" ht="15" customHeight="1">
      <c r="B8" s="355">
        <v>5</v>
      </c>
      <c r="C8" s="355" t="s">
        <v>19</v>
      </c>
      <c r="D8" s="355">
        <v>0.33</v>
      </c>
      <c r="E8" s="355">
        <v>0.33</v>
      </c>
    </row>
    <row r="9" spans="2:16" ht="15" customHeight="1">
      <c r="B9" s="355">
        <v>6</v>
      </c>
      <c r="C9" s="355" t="s">
        <v>19</v>
      </c>
      <c r="D9" s="355">
        <v>0.33</v>
      </c>
      <c r="E9" s="355">
        <v>0.33</v>
      </c>
    </row>
    <row r="10" spans="2:16" ht="15" customHeight="1">
      <c r="B10" s="355">
        <v>7</v>
      </c>
      <c r="C10" s="355" t="s">
        <v>19</v>
      </c>
      <c r="D10" s="355">
        <v>0.33</v>
      </c>
      <c r="E10" s="355">
        <v>0.33</v>
      </c>
    </row>
    <row r="11" spans="2:16" ht="15" customHeight="1">
      <c r="B11" s="355">
        <v>8</v>
      </c>
      <c r="C11" s="355" t="s">
        <v>19</v>
      </c>
      <c r="D11" s="355">
        <v>0.33</v>
      </c>
      <c r="E11" s="355">
        <v>0.33</v>
      </c>
    </row>
    <row r="12" spans="2:16" ht="40.5" customHeight="1">
      <c r="B12" s="355">
        <v>9</v>
      </c>
      <c r="C12" s="355" t="s">
        <v>19</v>
      </c>
      <c r="D12" s="355">
        <v>0.33</v>
      </c>
      <c r="E12" s="355">
        <v>0.33</v>
      </c>
      <c r="K12" s="356" t="s">
        <v>32</v>
      </c>
    </row>
    <row r="13" spans="2:16" ht="15" customHeight="1">
      <c r="B13" s="355">
        <v>10</v>
      </c>
      <c r="C13" s="355" t="s">
        <v>19</v>
      </c>
      <c r="D13" s="355">
        <v>0.33</v>
      </c>
      <c r="E13" s="355">
        <v>0.33</v>
      </c>
    </row>
    <row r="14" spans="2:16" ht="21" customHeight="1">
      <c r="B14" s="355">
        <v>11</v>
      </c>
      <c r="C14" s="355" t="s">
        <v>19</v>
      </c>
      <c r="D14" s="355">
        <v>0.33</v>
      </c>
      <c r="E14" s="355">
        <v>0.33</v>
      </c>
      <c r="N14" s="357" t="s">
        <v>33</v>
      </c>
    </row>
    <row r="15" spans="2:16" ht="21.75" customHeight="1">
      <c r="B15" s="355">
        <v>12</v>
      </c>
      <c r="C15" s="355" t="s">
        <v>19</v>
      </c>
      <c r="D15" s="355">
        <v>0.33</v>
      </c>
      <c r="E15" s="355">
        <v>0.33</v>
      </c>
      <c r="L15" s="672" t="s">
        <v>34</v>
      </c>
      <c r="M15" s="672"/>
      <c r="N15" s="672"/>
      <c r="O15" s="672"/>
      <c r="P15" s="672"/>
    </row>
    <row r="16" spans="2:16" ht="15" customHeight="1">
      <c r="B16" s="355">
        <v>13</v>
      </c>
      <c r="C16" s="355" t="s">
        <v>19</v>
      </c>
      <c r="D16" s="355">
        <v>0.33</v>
      </c>
      <c r="E16" s="355">
        <v>0.33</v>
      </c>
    </row>
    <row r="17" spans="2:5" ht="15" customHeight="1">
      <c r="B17" s="355">
        <v>14</v>
      </c>
      <c r="C17" s="355" t="s">
        <v>19</v>
      </c>
      <c r="D17" s="355">
        <v>0.33</v>
      </c>
      <c r="E17" s="355">
        <v>0.33</v>
      </c>
    </row>
    <row r="18" spans="2:5" ht="15" customHeight="1">
      <c r="B18" s="355">
        <v>15</v>
      </c>
      <c r="C18" s="355" t="s">
        <v>19</v>
      </c>
      <c r="D18" s="355">
        <v>0.33</v>
      </c>
      <c r="E18" s="355">
        <v>0.33</v>
      </c>
    </row>
    <row r="19" spans="2:5" ht="15" customHeight="1">
      <c r="B19" s="355">
        <v>16</v>
      </c>
      <c r="C19" s="355" t="s">
        <v>19</v>
      </c>
      <c r="D19" s="355">
        <v>0.33</v>
      </c>
      <c r="E19" s="355">
        <v>0.33</v>
      </c>
    </row>
    <row r="20" spans="2:5" ht="15" customHeight="1">
      <c r="B20" s="355">
        <v>17</v>
      </c>
      <c r="C20" s="355" t="s">
        <v>19</v>
      </c>
      <c r="D20" s="355">
        <v>0.33</v>
      </c>
      <c r="E20" s="355">
        <v>0.33</v>
      </c>
    </row>
    <row r="21" spans="2:5" ht="15" customHeight="1">
      <c r="B21" s="355">
        <v>18</v>
      </c>
      <c r="C21" s="355" t="s">
        <v>19</v>
      </c>
      <c r="D21" s="355">
        <v>0.33</v>
      </c>
      <c r="E21" s="355">
        <v>0.33</v>
      </c>
    </row>
    <row r="22" spans="2:5" ht="15" customHeight="1">
      <c r="B22" s="355">
        <v>19</v>
      </c>
      <c r="C22" s="355" t="s">
        <v>19</v>
      </c>
      <c r="D22" s="355">
        <v>0.33</v>
      </c>
      <c r="E22" s="355">
        <v>0.33</v>
      </c>
    </row>
    <row r="23" spans="2:5" ht="15" customHeight="1">
      <c r="B23" s="355">
        <v>20</v>
      </c>
      <c r="C23" s="355" t="s">
        <v>19</v>
      </c>
      <c r="D23" s="355">
        <v>0.33</v>
      </c>
      <c r="E23" s="355">
        <v>0.33</v>
      </c>
    </row>
    <row r="24" spans="2:5" ht="15" customHeight="1">
      <c r="B24" s="355">
        <v>21</v>
      </c>
      <c r="C24" s="355" t="s">
        <v>19</v>
      </c>
      <c r="D24" s="355">
        <v>0.33</v>
      </c>
      <c r="E24" s="355">
        <v>0.33</v>
      </c>
    </row>
    <row r="25" spans="2:5" ht="15" customHeight="1">
      <c r="B25" s="355">
        <v>22</v>
      </c>
      <c r="C25" s="355" t="s">
        <v>19</v>
      </c>
      <c r="D25" s="355">
        <v>0.33</v>
      </c>
      <c r="E25" s="355">
        <v>0.33</v>
      </c>
    </row>
    <row r="26" spans="2:5" ht="15" customHeight="1">
      <c r="B26" s="355">
        <v>23</v>
      </c>
      <c r="C26" s="355" t="s">
        <v>19</v>
      </c>
      <c r="D26" s="355">
        <v>0.33</v>
      </c>
      <c r="E26" s="355">
        <v>0.33</v>
      </c>
    </row>
    <row r="27" spans="2:5" ht="15" customHeight="1">
      <c r="B27" s="355">
        <v>24</v>
      </c>
      <c r="C27" s="355" t="s">
        <v>19</v>
      </c>
      <c r="D27" s="355">
        <v>0.33</v>
      </c>
      <c r="E27" s="355">
        <v>0.33</v>
      </c>
    </row>
    <row r="28" spans="2:5" ht="15" customHeight="1">
      <c r="B28" s="355">
        <v>25</v>
      </c>
      <c r="C28" s="355" t="s">
        <v>19</v>
      </c>
      <c r="D28" s="355">
        <v>0.33</v>
      </c>
      <c r="E28" s="355">
        <v>0.33</v>
      </c>
    </row>
    <row r="29" spans="2:5" ht="15" customHeight="1">
      <c r="B29" s="355">
        <v>26</v>
      </c>
      <c r="C29" s="355" t="s">
        <v>19</v>
      </c>
      <c r="D29" s="355">
        <v>0.33</v>
      </c>
      <c r="E29" s="355">
        <v>0.33</v>
      </c>
    </row>
    <row r="30" spans="2:5" ht="15" customHeight="1">
      <c r="B30" s="355">
        <v>27</v>
      </c>
      <c r="C30" s="355" t="s">
        <v>19</v>
      </c>
      <c r="D30" s="355">
        <v>0.33</v>
      </c>
      <c r="E30" s="355">
        <v>0.33</v>
      </c>
    </row>
    <row r="31" spans="2:5" ht="15" customHeight="1">
      <c r="B31" s="355">
        <v>28</v>
      </c>
      <c r="C31" s="355" t="s">
        <v>19</v>
      </c>
      <c r="D31" s="355">
        <v>0.33</v>
      </c>
      <c r="E31" s="355">
        <v>0.33</v>
      </c>
    </row>
    <row r="32" spans="2:5" ht="15" customHeight="1">
      <c r="B32" s="355">
        <v>29</v>
      </c>
      <c r="C32" s="355" t="s">
        <v>19</v>
      </c>
      <c r="D32" s="355">
        <v>0.33</v>
      </c>
      <c r="E32" s="355">
        <v>0.33</v>
      </c>
    </row>
    <row r="33" spans="2:5" ht="15" customHeight="1">
      <c r="B33" s="355">
        <v>30</v>
      </c>
      <c r="C33" s="355" t="s">
        <v>19</v>
      </c>
      <c r="D33" s="355">
        <v>0.33</v>
      </c>
      <c r="E33" s="355">
        <v>0.33</v>
      </c>
    </row>
    <row r="34" spans="2:5" ht="15" customHeight="1">
      <c r="B34" s="355">
        <v>31</v>
      </c>
      <c r="C34" s="355" t="s">
        <v>19</v>
      </c>
      <c r="D34" s="355">
        <v>0.33</v>
      </c>
      <c r="E34" s="355">
        <v>0.33</v>
      </c>
    </row>
    <row r="35" spans="2:5" ht="15" customHeight="1">
      <c r="B35" s="355">
        <v>32</v>
      </c>
      <c r="C35" s="355" t="s">
        <v>19</v>
      </c>
      <c r="D35" s="355">
        <v>0.33</v>
      </c>
      <c r="E35" s="355">
        <v>0.33</v>
      </c>
    </row>
    <row r="36" spans="2:5" ht="15" customHeight="1">
      <c r="B36" s="355">
        <v>33</v>
      </c>
      <c r="C36" s="355" t="s">
        <v>19</v>
      </c>
      <c r="D36" s="355">
        <v>0.33</v>
      </c>
      <c r="E36" s="355">
        <v>0.33</v>
      </c>
    </row>
    <row r="37" spans="2:5" ht="15" customHeight="1">
      <c r="B37" s="355">
        <v>34</v>
      </c>
      <c r="C37" s="355" t="s">
        <v>19</v>
      </c>
      <c r="D37" s="355">
        <v>0.33</v>
      </c>
      <c r="E37" s="355">
        <v>0.33</v>
      </c>
    </row>
    <row r="38" spans="2:5" ht="15" customHeight="1">
      <c r="B38" s="355">
        <v>35</v>
      </c>
      <c r="C38" s="355" t="s">
        <v>19</v>
      </c>
      <c r="D38" s="355">
        <v>0.33</v>
      </c>
      <c r="E38" s="355">
        <v>0.33</v>
      </c>
    </row>
    <row r="39" spans="2:5" ht="15" customHeight="1">
      <c r="B39" s="355">
        <v>36</v>
      </c>
      <c r="C39" s="355" t="s">
        <v>19</v>
      </c>
      <c r="D39" s="355">
        <v>0.33</v>
      </c>
      <c r="E39" s="355">
        <v>0.33</v>
      </c>
    </row>
    <row r="40" spans="2:5" ht="15" customHeight="1">
      <c r="B40" s="355">
        <v>37</v>
      </c>
      <c r="C40" s="355" t="s">
        <v>19</v>
      </c>
      <c r="D40" s="355">
        <v>0.33</v>
      </c>
      <c r="E40" s="355">
        <v>0.33</v>
      </c>
    </row>
    <row r="41" spans="2:5" ht="15" customHeight="1">
      <c r="B41" s="355">
        <v>38</v>
      </c>
      <c r="C41" s="355" t="s">
        <v>19</v>
      </c>
      <c r="D41" s="355">
        <v>0.33</v>
      </c>
      <c r="E41" s="355">
        <v>0.33</v>
      </c>
    </row>
    <row r="42" spans="2:5" ht="15" customHeight="1">
      <c r="B42" s="355">
        <v>39</v>
      </c>
      <c r="C42" s="355" t="s">
        <v>19</v>
      </c>
      <c r="D42" s="355">
        <v>0.33</v>
      </c>
      <c r="E42" s="355">
        <v>0.33</v>
      </c>
    </row>
    <row r="43" spans="2:5" ht="15" customHeight="1">
      <c r="B43" s="355">
        <v>40</v>
      </c>
      <c r="C43" s="355" t="s">
        <v>19</v>
      </c>
      <c r="D43" s="355">
        <v>0.33</v>
      </c>
      <c r="E43" s="355">
        <v>0.33</v>
      </c>
    </row>
    <row r="44" spans="2:5" ht="15" customHeight="1">
      <c r="B44" s="355">
        <v>41</v>
      </c>
      <c r="C44" s="355" t="s">
        <v>19</v>
      </c>
      <c r="D44" s="355">
        <v>0.67</v>
      </c>
      <c r="E44" s="355">
        <v>0.67</v>
      </c>
    </row>
    <row r="45" spans="2:5" ht="15" customHeight="1">
      <c r="B45" s="355">
        <v>42</v>
      </c>
      <c r="C45" s="355" t="s">
        <v>19</v>
      </c>
      <c r="D45" s="355">
        <v>0.67</v>
      </c>
      <c r="E45" s="355">
        <v>0.67</v>
      </c>
    </row>
    <row r="46" spans="2:5" ht="15" customHeight="1">
      <c r="B46" s="355">
        <v>43</v>
      </c>
      <c r="C46" s="355" t="s">
        <v>19</v>
      </c>
      <c r="D46" s="355">
        <v>0.67</v>
      </c>
      <c r="E46" s="355">
        <v>0.67</v>
      </c>
    </row>
    <row r="47" spans="2:5" ht="15" customHeight="1">
      <c r="B47" s="355">
        <v>44</v>
      </c>
      <c r="C47" s="355" t="s">
        <v>19</v>
      </c>
      <c r="D47" s="355">
        <v>0.67</v>
      </c>
      <c r="E47" s="355">
        <v>0.67</v>
      </c>
    </row>
    <row r="48" spans="2:5" ht="15" customHeight="1">
      <c r="B48" s="355">
        <v>45</v>
      </c>
      <c r="C48" s="355" t="s">
        <v>19</v>
      </c>
      <c r="D48" s="355">
        <v>0.67</v>
      </c>
      <c r="E48" s="355">
        <v>0.67</v>
      </c>
    </row>
    <row r="49" spans="2:5" ht="15" customHeight="1">
      <c r="B49" s="355">
        <v>46</v>
      </c>
      <c r="C49" s="355" t="s">
        <v>19</v>
      </c>
      <c r="D49" s="355">
        <v>0.67</v>
      </c>
      <c r="E49" s="355">
        <v>0.67</v>
      </c>
    </row>
    <row r="50" spans="2:5" ht="15" customHeight="1">
      <c r="B50" s="355">
        <v>47</v>
      </c>
      <c r="C50" s="355" t="s">
        <v>19</v>
      </c>
      <c r="D50" s="355">
        <v>0.67</v>
      </c>
      <c r="E50" s="355">
        <v>0.67</v>
      </c>
    </row>
    <row r="51" spans="2:5" ht="15" customHeight="1">
      <c r="B51" s="355">
        <v>48</v>
      </c>
      <c r="C51" s="355" t="s">
        <v>19</v>
      </c>
      <c r="D51" s="355">
        <v>0.67</v>
      </c>
      <c r="E51" s="355">
        <v>0.67</v>
      </c>
    </row>
    <row r="52" spans="2:5" ht="15" customHeight="1">
      <c r="B52" s="355">
        <v>49</v>
      </c>
      <c r="C52" s="355" t="s">
        <v>19</v>
      </c>
      <c r="D52" s="355">
        <v>0.67</v>
      </c>
      <c r="E52" s="355">
        <v>0.67</v>
      </c>
    </row>
    <row r="53" spans="2:5" ht="15" customHeight="1">
      <c r="B53" s="355">
        <v>50</v>
      </c>
      <c r="C53" s="355" t="s">
        <v>19</v>
      </c>
      <c r="D53" s="355">
        <v>0.67</v>
      </c>
      <c r="E53" s="355">
        <v>0.67</v>
      </c>
    </row>
    <row r="54" spans="2:5" ht="15" customHeight="1">
      <c r="B54" s="355">
        <v>51</v>
      </c>
      <c r="C54" s="355" t="s">
        <v>19</v>
      </c>
      <c r="D54" s="355">
        <v>1</v>
      </c>
      <c r="E54" s="355">
        <v>1</v>
      </c>
    </row>
    <row r="55" spans="2:5" ht="15" customHeight="1">
      <c r="B55" s="355">
        <v>52</v>
      </c>
      <c r="C55" s="355" t="s">
        <v>19</v>
      </c>
      <c r="D55" s="355">
        <v>1</v>
      </c>
      <c r="E55" s="355">
        <v>1</v>
      </c>
    </row>
    <row r="56" spans="2:5" ht="15" customHeight="1">
      <c r="B56" s="355">
        <v>53</v>
      </c>
      <c r="C56" s="355" t="s">
        <v>19</v>
      </c>
      <c r="D56" s="355">
        <v>1</v>
      </c>
      <c r="E56" s="355">
        <v>1</v>
      </c>
    </row>
    <row r="57" spans="2:5" ht="15" customHeight="1">
      <c r="B57" s="355">
        <v>54</v>
      </c>
      <c r="C57" s="355" t="s">
        <v>19</v>
      </c>
      <c r="D57" s="355">
        <v>1</v>
      </c>
      <c r="E57" s="355">
        <v>1</v>
      </c>
    </row>
    <row r="58" spans="2:5" ht="15" customHeight="1">
      <c r="B58" s="355">
        <v>55</v>
      </c>
      <c r="C58" s="355" t="s">
        <v>19</v>
      </c>
      <c r="D58" s="355">
        <v>1</v>
      </c>
      <c r="E58" s="355">
        <v>1</v>
      </c>
    </row>
    <row r="59" spans="2:5" ht="15" customHeight="1">
      <c r="B59" s="355">
        <v>56</v>
      </c>
      <c r="C59" s="355" t="s">
        <v>26</v>
      </c>
      <c r="D59" s="355">
        <v>1.33</v>
      </c>
      <c r="E59" s="355">
        <v>1.33</v>
      </c>
    </row>
    <row r="60" spans="2:5" ht="15" customHeight="1">
      <c r="B60" s="355">
        <v>57</v>
      </c>
      <c r="C60" s="355" t="s">
        <v>26</v>
      </c>
      <c r="D60" s="355">
        <v>1.33</v>
      </c>
      <c r="E60" s="355">
        <v>1.33</v>
      </c>
    </row>
    <row r="61" spans="2:5" ht="15" customHeight="1">
      <c r="B61" s="355">
        <v>58</v>
      </c>
      <c r="C61" s="355" t="s">
        <v>26</v>
      </c>
      <c r="D61" s="355">
        <v>1.33</v>
      </c>
      <c r="E61" s="355">
        <v>1.33</v>
      </c>
    </row>
    <row r="62" spans="2:5" ht="15" customHeight="1">
      <c r="B62" s="355">
        <v>59</v>
      </c>
      <c r="C62" s="355" t="s">
        <v>26</v>
      </c>
      <c r="D62" s="355">
        <v>1.33</v>
      </c>
      <c r="E62" s="355">
        <v>1.33</v>
      </c>
    </row>
    <row r="63" spans="2:5" ht="15" customHeight="1">
      <c r="B63" s="355">
        <v>60</v>
      </c>
      <c r="C63" s="355" t="s">
        <v>26</v>
      </c>
      <c r="D63" s="355">
        <v>1.33</v>
      </c>
      <c r="E63" s="355">
        <v>1.33</v>
      </c>
    </row>
    <row r="64" spans="2:5" ht="15" customHeight="1">
      <c r="B64" s="355">
        <v>61</v>
      </c>
      <c r="C64" s="355" t="s">
        <v>27</v>
      </c>
      <c r="D64" s="355">
        <v>1.67</v>
      </c>
      <c r="E64" s="355">
        <v>1.67</v>
      </c>
    </row>
    <row r="65" spans="2:5" ht="15" customHeight="1">
      <c r="B65" s="355">
        <v>62</v>
      </c>
      <c r="C65" s="355" t="s">
        <v>27</v>
      </c>
      <c r="D65" s="355">
        <v>1.67</v>
      </c>
      <c r="E65" s="355">
        <v>1.67</v>
      </c>
    </row>
    <row r="66" spans="2:5" ht="15" customHeight="1">
      <c r="B66" s="355">
        <v>63</v>
      </c>
      <c r="C66" s="355" t="s">
        <v>27</v>
      </c>
      <c r="D66" s="355">
        <v>1.67</v>
      </c>
      <c r="E66" s="355">
        <v>1.67</v>
      </c>
    </row>
    <row r="67" spans="2:5" ht="15" customHeight="1">
      <c r="B67" s="355">
        <v>64</v>
      </c>
      <c r="C67" s="355" t="s">
        <v>27</v>
      </c>
      <c r="D67" s="355">
        <v>1.67</v>
      </c>
      <c r="E67" s="355">
        <v>1.67</v>
      </c>
    </row>
    <row r="68" spans="2:5" ht="15" customHeight="1">
      <c r="B68" s="355">
        <v>65</v>
      </c>
      <c r="C68" s="355" t="s">
        <v>27</v>
      </c>
      <c r="D68" s="355">
        <v>1.67</v>
      </c>
      <c r="E68" s="355">
        <v>1.67</v>
      </c>
    </row>
    <row r="69" spans="2:5" ht="15" customHeight="1">
      <c r="B69" s="355">
        <v>66</v>
      </c>
      <c r="C69" s="355" t="s">
        <v>18</v>
      </c>
      <c r="D69" s="355">
        <v>2</v>
      </c>
      <c r="E69" s="355">
        <v>2</v>
      </c>
    </row>
    <row r="70" spans="2:5" ht="15" customHeight="1">
      <c r="B70" s="355">
        <v>67</v>
      </c>
      <c r="C70" s="355" t="s">
        <v>18</v>
      </c>
      <c r="D70" s="355">
        <v>2</v>
      </c>
      <c r="E70" s="355">
        <v>2</v>
      </c>
    </row>
    <row r="71" spans="2:5" ht="15" customHeight="1">
      <c r="B71" s="355">
        <v>68</v>
      </c>
      <c r="C71" s="355" t="s">
        <v>18</v>
      </c>
      <c r="D71" s="355">
        <v>2</v>
      </c>
      <c r="E71" s="355">
        <v>2</v>
      </c>
    </row>
    <row r="72" spans="2:5" ht="15" customHeight="1">
      <c r="B72" s="355">
        <v>69</v>
      </c>
      <c r="C72" s="355" t="s">
        <v>18</v>
      </c>
      <c r="D72" s="355">
        <v>2</v>
      </c>
      <c r="E72" s="355">
        <v>2</v>
      </c>
    </row>
    <row r="73" spans="2:5" ht="15" customHeight="1">
      <c r="B73" s="355">
        <v>70</v>
      </c>
      <c r="C73" s="355" t="s">
        <v>18</v>
      </c>
      <c r="D73" s="355">
        <v>2</v>
      </c>
      <c r="E73" s="355">
        <v>2</v>
      </c>
    </row>
    <row r="74" spans="2:5" ht="15" customHeight="1">
      <c r="B74" s="355">
        <v>71</v>
      </c>
      <c r="C74" s="355" t="s">
        <v>28</v>
      </c>
      <c r="D74" s="355">
        <v>2.33</v>
      </c>
      <c r="E74" s="355">
        <v>2.33</v>
      </c>
    </row>
    <row r="75" spans="2:5" ht="15" customHeight="1">
      <c r="B75" s="355">
        <v>72</v>
      </c>
      <c r="C75" s="355" t="s">
        <v>28</v>
      </c>
      <c r="D75" s="355">
        <v>2.33</v>
      </c>
      <c r="E75" s="355">
        <v>2.33</v>
      </c>
    </row>
    <row r="76" spans="2:5" ht="15" customHeight="1">
      <c r="B76" s="355">
        <v>73</v>
      </c>
      <c r="C76" s="355" t="s">
        <v>28</v>
      </c>
      <c r="D76" s="355">
        <v>2.33</v>
      </c>
      <c r="E76" s="355">
        <v>2.33</v>
      </c>
    </row>
    <row r="77" spans="2:5" ht="15" customHeight="1">
      <c r="B77" s="355">
        <v>74</v>
      </c>
      <c r="C77" s="355" t="s">
        <v>28</v>
      </c>
      <c r="D77" s="355">
        <v>2.33</v>
      </c>
      <c r="E77" s="355">
        <v>2.33</v>
      </c>
    </row>
    <row r="78" spans="2:5" ht="15" customHeight="1">
      <c r="B78" s="355">
        <v>75</v>
      </c>
      <c r="C78" s="355" t="s">
        <v>28</v>
      </c>
      <c r="D78" s="355">
        <v>2.33</v>
      </c>
      <c r="E78" s="355">
        <v>2.33</v>
      </c>
    </row>
    <row r="79" spans="2:5" ht="15" customHeight="1">
      <c r="B79" s="355">
        <v>76</v>
      </c>
      <c r="C79" s="355" t="s">
        <v>29</v>
      </c>
      <c r="D79" s="355">
        <v>2.67</v>
      </c>
      <c r="E79" s="355">
        <v>2.67</v>
      </c>
    </row>
    <row r="80" spans="2:5" ht="15" customHeight="1">
      <c r="B80" s="355">
        <v>77</v>
      </c>
      <c r="C80" s="355" t="s">
        <v>29</v>
      </c>
      <c r="D80" s="355">
        <v>2.67</v>
      </c>
      <c r="E80" s="355">
        <v>2.67</v>
      </c>
    </row>
    <row r="81" spans="2:5" ht="15" customHeight="1">
      <c r="B81" s="355">
        <v>78</v>
      </c>
      <c r="C81" s="355" t="s">
        <v>29</v>
      </c>
      <c r="D81" s="355">
        <v>2.67</v>
      </c>
      <c r="E81" s="355">
        <v>2.67</v>
      </c>
    </row>
    <row r="82" spans="2:5" ht="15" customHeight="1">
      <c r="B82" s="355">
        <v>79</v>
      </c>
      <c r="C82" s="355" t="s">
        <v>29</v>
      </c>
      <c r="D82" s="355">
        <v>2.67</v>
      </c>
      <c r="E82" s="355">
        <v>2.67</v>
      </c>
    </row>
    <row r="83" spans="2:5" ht="15" customHeight="1">
      <c r="B83" s="355">
        <v>80</v>
      </c>
      <c r="C83" s="355" t="s">
        <v>29</v>
      </c>
      <c r="D83" s="355">
        <v>2.67</v>
      </c>
      <c r="E83" s="355">
        <v>2.67</v>
      </c>
    </row>
    <row r="84" spans="2:5" ht="15" customHeight="1">
      <c r="B84" s="355">
        <v>81</v>
      </c>
      <c r="C84" s="355" t="s">
        <v>6</v>
      </c>
      <c r="D84" s="355">
        <v>3</v>
      </c>
      <c r="E84" s="355">
        <v>3</v>
      </c>
    </row>
    <row r="85" spans="2:5" ht="15" customHeight="1">
      <c r="B85" s="355">
        <v>82</v>
      </c>
      <c r="C85" s="355" t="s">
        <v>6</v>
      </c>
      <c r="D85" s="355">
        <v>3</v>
      </c>
      <c r="E85" s="355">
        <v>3</v>
      </c>
    </row>
    <row r="86" spans="2:5" ht="15" customHeight="1">
      <c r="B86" s="355">
        <v>83</v>
      </c>
      <c r="C86" s="355" t="s">
        <v>6</v>
      </c>
      <c r="D86" s="355">
        <v>3</v>
      </c>
      <c r="E86" s="355">
        <v>3</v>
      </c>
    </row>
    <row r="87" spans="2:5" ht="15" customHeight="1">
      <c r="B87" s="355">
        <v>84</v>
      </c>
      <c r="C87" s="355" t="s">
        <v>6</v>
      </c>
      <c r="D87" s="355">
        <v>3</v>
      </c>
      <c r="E87" s="355">
        <v>3</v>
      </c>
    </row>
    <row r="88" spans="2:5" ht="15" customHeight="1">
      <c r="B88" s="355">
        <v>85</v>
      </c>
      <c r="C88" s="355" t="s">
        <v>6</v>
      </c>
      <c r="D88" s="355">
        <v>3</v>
      </c>
      <c r="E88" s="355">
        <v>3</v>
      </c>
    </row>
    <row r="89" spans="2:5" ht="15" customHeight="1">
      <c r="B89" s="355">
        <v>86</v>
      </c>
      <c r="C89" s="355" t="s">
        <v>30</v>
      </c>
      <c r="D89" s="355">
        <v>3.33</v>
      </c>
      <c r="E89" s="355">
        <v>3.33</v>
      </c>
    </row>
    <row r="90" spans="2:5" ht="15" customHeight="1">
      <c r="B90" s="355">
        <v>87</v>
      </c>
      <c r="C90" s="355" t="s">
        <v>30</v>
      </c>
      <c r="D90" s="355">
        <v>3.33</v>
      </c>
      <c r="E90" s="355">
        <v>3.33</v>
      </c>
    </row>
    <row r="91" spans="2:5" ht="15" customHeight="1">
      <c r="B91" s="355">
        <v>88</v>
      </c>
      <c r="C91" s="355" t="s">
        <v>30</v>
      </c>
      <c r="D91" s="355">
        <v>3.33</v>
      </c>
      <c r="E91" s="355">
        <v>3.33</v>
      </c>
    </row>
    <row r="92" spans="2:5" ht="15" customHeight="1">
      <c r="B92" s="355">
        <v>89</v>
      </c>
      <c r="C92" s="355" t="s">
        <v>30</v>
      </c>
      <c r="D92" s="355">
        <v>3.33</v>
      </c>
      <c r="E92" s="355">
        <v>3.33</v>
      </c>
    </row>
    <row r="93" spans="2:5" ht="15" customHeight="1">
      <c r="B93" s="355">
        <v>90</v>
      </c>
      <c r="C93" s="355" t="s">
        <v>30</v>
      </c>
      <c r="D93" s="355">
        <v>3.33</v>
      </c>
      <c r="E93" s="355">
        <v>3.33</v>
      </c>
    </row>
    <row r="94" spans="2:5" ht="15" customHeight="1">
      <c r="B94" s="355">
        <v>91</v>
      </c>
      <c r="C94" s="355" t="s">
        <v>31</v>
      </c>
      <c r="D94" s="355">
        <v>3.67</v>
      </c>
      <c r="E94" s="355">
        <v>3.67</v>
      </c>
    </row>
    <row r="95" spans="2:5" ht="15" customHeight="1">
      <c r="B95" s="355">
        <v>92</v>
      </c>
      <c r="C95" s="355" t="s">
        <v>31</v>
      </c>
      <c r="D95" s="355">
        <v>3.67</v>
      </c>
      <c r="E95" s="355">
        <v>3.67</v>
      </c>
    </row>
    <row r="96" spans="2:5" ht="15" customHeight="1">
      <c r="B96" s="355">
        <v>93</v>
      </c>
      <c r="C96" s="355" t="s">
        <v>31</v>
      </c>
      <c r="D96" s="355">
        <v>3.67</v>
      </c>
      <c r="E96" s="355">
        <v>3.67</v>
      </c>
    </row>
    <row r="97" spans="2:5" ht="15" customHeight="1">
      <c r="B97" s="355">
        <v>94</v>
      </c>
      <c r="C97" s="355" t="s">
        <v>31</v>
      </c>
      <c r="D97" s="355">
        <v>3.67</v>
      </c>
      <c r="E97" s="355">
        <v>3.67</v>
      </c>
    </row>
    <row r="98" spans="2:5" ht="15" customHeight="1">
      <c r="B98" s="355">
        <v>95</v>
      </c>
      <c r="C98" s="355" t="s">
        <v>31</v>
      </c>
      <c r="D98" s="355">
        <v>3.67</v>
      </c>
      <c r="E98" s="355">
        <v>3.67</v>
      </c>
    </row>
    <row r="99" spans="2:5" ht="15" customHeight="1">
      <c r="B99" s="355">
        <v>96</v>
      </c>
      <c r="C99" s="355" t="s">
        <v>7</v>
      </c>
      <c r="D99" s="355">
        <v>4</v>
      </c>
      <c r="E99" s="355">
        <v>4</v>
      </c>
    </row>
    <row r="100" spans="2:5" ht="15" customHeight="1">
      <c r="B100" s="355">
        <v>97</v>
      </c>
      <c r="C100" s="355" t="s">
        <v>7</v>
      </c>
      <c r="D100" s="355">
        <v>4</v>
      </c>
      <c r="E100" s="355">
        <v>4</v>
      </c>
    </row>
    <row r="101" spans="2:5" ht="15" customHeight="1">
      <c r="B101" s="355">
        <v>98</v>
      </c>
      <c r="C101" s="355" t="s">
        <v>7</v>
      </c>
      <c r="D101" s="355">
        <v>4</v>
      </c>
      <c r="E101" s="355">
        <v>4</v>
      </c>
    </row>
    <row r="102" spans="2:5" ht="15" customHeight="1">
      <c r="B102" s="355">
        <v>99</v>
      </c>
      <c r="C102" s="355" t="s">
        <v>7</v>
      </c>
      <c r="D102" s="355">
        <v>4</v>
      </c>
      <c r="E102" s="355">
        <v>4</v>
      </c>
    </row>
    <row r="103" spans="2:5" ht="15" customHeight="1">
      <c r="B103" s="355">
        <v>100</v>
      </c>
      <c r="C103" s="355" t="s">
        <v>7</v>
      </c>
      <c r="D103" s="355">
        <v>4</v>
      </c>
      <c r="E103" s="355">
        <v>4</v>
      </c>
    </row>
  </sheetData>
  <sheetProtection password="B974" sheet="1" objects="1" scenarios="1"/>
  <mergeCells count="4">
    <mergeCell ref="B2:B3"/>
    <mergeCell ref="C2:C3"/>
    <mergeCell ref="D2:E2"/>
    <mergeCell ref="L15:P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V230"/>
  <sheetViews>
    <sheetView showGridLines="0" workbookViewId="0">
      <selection activeCell="Q17" sqref="Q17"/>
    </sheetView>
  </sheetViews>
  <sheetFormatPr defaultColWidth="9" defaultRowHeight="15" customHeight="1"/>
  <cols>
    <col min="1" max="1" width="2.7109375" style="179" customWidth="1"/>
    <col min="2" max="2" width="4.5703125" style="180" customWidth="1"/>
    <col min="3" max="3" width="13.7109375" style="180" customWidth="1"/>
    <col min="4" max="4" width="2.5703125" style="180" customWidth="1"/>
    <col min="5" max="5" width="2.28515625" style="180" customWidth="1"/>
    <col min="6" max="6" width="7.7109375" style="180" customWidth="1"/>
    <col min="7" max="7" width="14.7109375" style="180" customWidth="1"/>
    <col min="8" max="8" width="7.7109375" style="180" customWidth="1"/>
    <col min="9" max="9" width="8.7109375" style="180" customWidth="1"/>
    <col min="10" max="10" width="7.7109375" style="180" customWidth="1"/>
    <col min="11" max="11" width="8.7109375" style="180" customWidth="1"/>
    <col min="12" max="12" width="13.7109375" style="180" customWidth="1"/>
    <col min="13" max="13" width="1.42578125" style="358" customWidth="1"/>
    <col min="14" max="14" width="7.5703125" style="182" customWidth="1"/>
    <col min="15" max="15" width="9.140625" style="183" customWidth="1"/>
    <col min="16" max="16" width="13.5703125" style="184" customWidth="1"/>
    <col min="17" max="18" width="50.7109375" style="184" customWidth="1"/>
    <col min="19" max="19" width="9.140625" style="185" customWidth="1"/>
    <col min="20" max="256" width="9.140625" style="188" customWidth="1"/>
  </cols>
  <sheetData>
    <row r="1" spans="1:24" ht="15" customHeight="1">
      <c r="B1" s="259" t="s">
        <v>186</v>
      </c>
      <c r="C1" s="189"/>
      <c r="D1" s="190" t="s">
        <v>3</v>
      </c>
      <c r="E1" s="339" t="s">
        <v>188</v>
      </c>
      <c r="F1" s="359"/>
      <c r="G1" s="339"/>
      <c r="H1" s="192"/>
      <c r="K1" s="360" t="s">
        <v>59</v>
      </c>
      <c r="L1" s="196" t="str">
        <f>": "&amp;Biodata!C4</f>
        <v>:  X / IPS_5</v>
      </c>
      <c r="M1" s="361"/>
      <c r="O1" s="598">
        <v>3</v>
      </c>
      <c r="P1" s="638"/>
      <c r="R1" s="195"/>
    </row>
    <row r="2" spans="1:24" ht="15" customHeight="1">
      <c r="B2" s="259" t="s">
        <v>187</v>
      </c>
      <c r="C2" s="193"/>
      <c r="D2" s="190" t="s">
        <v>3</v>
      </c>
      <c r="E2" s="259" t="s">
        <v>189</v>
      </c>
      <c r="F2" s="359"/>
      <c r="G2" s="196"/>
      <c r="H2" s="193"/>
      <c r="K2" s="360" t="s">
        <v>13</v>
      </c>
      <c r="L2" s="196" t="str">
        <f>":  "&amp;LEGER!N2</f>
        <v>:  1 / Ganjil</v>
      </c>
      <c r="M2" s="361"/>
      <c r="O2" s="598"/>
      <c r="P2" s="638"/>
      <c r="R2" s="195"/>
    </row>
    <row r="3" spans="1:24" ht="15" customHeight="1">
      <c r="B3" s="259" t="s">
        <v>14</v>
      </c>
      <c r="C3" s="193"/>
      <c r="D3" s="190" t="s">
        <v>3</v>
      </c>
      <c r="E3" s="673" t="str">
        <f>VLOOKUP(nomor,Biodata,3,0)</f>
        <v>AGUNG BUDI PRASTAWA</v>
      </c>
      <c r="F3" s="673"/>
      <c r="G3" s="673"/>
      <c r="H3" s="673"/>
      <c r="I3" s="673"/>
      <c r="J3" s="673"/>
      <c r="K3" s="360" t="s">
        <v>47</v>
      </c>
      <c r="L3" s="196" t="str">
        <f>":  "&amp;LEGER!N3</f>
        <v>:  2018 / 2019</v>
      </c>
      <c r="M3" s="361"/>
      <c r="O3" s="197"/>
      <c r="P3" s="198">
        <v>11671040</v>
      </c>
    </row>
    <row r="4" spans="1:24" ht="15" customHeight="1">
      <c r="B4" s="362" t="s">
        <v>190</v>
      </c>
      <c r="C4" s="215"/>
      <c r="D4" s="363" t="s">
        <v>3</v>
      </c>
      <c r="E4" s="674" t="str">
        <f>VLOOKUP(nomor,Biodata,2,0)</f>
        <v>181910014</v>
      </c>
      <c r="F4" s="674"/>
      <c r="G4" s="674"/>
      <c r="H4" s="364" t="str">
        <f>"/    "&amp;IFERROR(VLOOKUP(nomor,Biodata!A9:D50,4,0),"")</f>
        <v>/    -</v>
      </c>
      <c r="I4" s="216"/>
      <c r="J4" s="216"/>
      <c r="K4" s="216"/>
      <c r="L4" s="216"/>
      <c r="M4" s="361"/>
      <c r="O4" s="204"/>
      <c r="P4" s="205"/>
      <c r="Q4" s="206"/>
      <c r="R4" s="206"/>
    </row>
    <row r="5" spans="1:24" ht="18">
      <c r="A5" s="365"/>
      <c r="B5" s="675" t="s">
        <v>61</v>
      </c>
      <c r="C5" s="675"/>
      <c r="D5" s="675"/>
      <c r="E5" s="675"/>
      <c r="F5" s="675"/>
      <c r="G5" s="675"/>
      <c r="H5" s="675"/>
      <c r="I5" s="675"/>
      <c r="J5" s="675"/>
      <c r="K5" s="675"/>
      <c r="L5" s="675"/>
      <c r="M5" s="361"/>
      <c r="O5" s="213"/>
      <c r="P5" s="206"/>
      <c r="Q5" s="206"/>
      <c r="R5" s="206"/>
    </row>
    <row r="6" spans="1:24" ht="15" customHeight="1">
      <c r="A6" s="196" t="s">
        <v>271</v>
      </c>
      <c r="B6" s="193"/>
      <c r="C6" s="189"/>
      <c r="D6" s="189"/>
      <c r="E6" s="189"/>
      <c r="F6" s="189"/>
      <c r="G6" s="189"/>
      <c r="H6" s="189"/>
      <c r="I6" s="189"/>
      <c r="J6" s="189"/>
      <c r="K6" s="189"/>
      <c r="L6" s="189"/>
      <c r="M6" s="366"/>
    </row>
    <row r="7" spans="1:24" ht="15" customHeight="1">
      <c r="A7" s="209"/>
      <c r="B7" s="302" t="s">
        <v>62</v>
      </c>
      <c r="C7" s="362"/>
      <c r="D7" s="362"/>
      <c r="E7" s="362"/>
      <c r="F7" s="362"/>
      <c r="G7" s="362"/>
      <c r="H7" s="362"/>
      <c r="I7" s="362"/>
      <c r="J7" s="362"/>
      <c r="K7" s="362"/>
      <c r="L7" s="362"/>
      <c r="M7" s="361"/>
    </row>
    <row r="8" spans="1:24" ht="15" customHeight="1">
      <c r="A8" s="209"/>
      <c r="C8" s="367" t="s">
        <v>4</v>
      </c>
      <c r="D8" s="678" t="s">
        <v>64</v>
      </c>
      <c r="E8" s="679"/>
      <c r="F8" s="679"/>
      <c r="G8" s="679"/>
      <c r="H8" s="679"/>
      <c r="I8" s="679"/>
      <c r="J8" s="679"/>
      <c r="K8" s="679"/>
      <c r="L8" s="680"/>
      <c r="M8" s="361"/>
      <c r="O8" s="217"/>
      <c r="P8" s="242"/>
      <c r="Q8" s="219" t="s">
        <v>74</v>
      </c>
      <c r="R8" s="219" t="s">
        <v>73</v>
      </c>
    </row>
    <row r="9" spans="1:24" ht="27.95" customHeight="1">
      <c r="A9" s="209"/>
      <c r="C9" s="368" t="str">
        <f>IFERROR(VLOOKUP($E$4&amp;"a",leggerx1,20,0),"")</f>
        <v>B</v>
      </c>
      <c r="D9" s="681" t="str">
        <f>IFERROR(VLOOKUP(C9,$P$10:$Q$13,2,0),"")</f>
        <v>Selalu bersyukur dan selalu berdoa sebelum melakukan kegiatan, memiliki toleran pada agama yang berbeda, ketaatan beribadah mulai berkembang.</v>
      </c>
      <c r="E9" s="682"/>
      <c r="F9" s="682"/>
      <c r="G9" s="682"/>
      <c r="H9" s="682"/>
      <c r="I9" s="682"/>
      <c r="J9" s="682"/>
      <c r="K9" s="682"/>
      <c r="L9" s="683"/>
      <c r="M9" s="361"/>
      <c r="O9" s="217"/>
      <c r="P9" s="221" t="s">
        <v>71</v>
      </c>
      <c r="Q9" s="222" t="s">
        <v>156</v>
      </c>
      <c r="R9" s="222" t="s">
        <v>156</v>
      </c>
    </row>
    <row r="10" spans="1:24" ht="12" customHeight="1">
      <c r="A10" s="209"/>
      <c r="B10" s="369"/>
      <c r="C10" s="369"/>
      <c r="D10" s="225"/>
      <c r="E10" s="370"/>
      <c r="F10" s="370"/>
      <c r="G10" s="370"/>
      <c r="H10" s="370"/>
      <c r="I10" s="370"/>
      <c r="J10" s="370"/>
      <c r="K10" s="370"/>
      <c r="L10" s="370"/>
      <c r="M10" s="361"/>
      <c r="O10" s="217"/>
      <c r="P10" s="295" t="s">
        <v>288</v>
      </c>
      <c r="Q10" s="227" t="s">
        <v>169</v>
      </c>
      <c r="R10" s="227" t="s">
        <v>172</v>
      </c>
      <c r="S10" s="228"/>
    </row>
    <row r="11" spans="1:24" ht="15" customHeight="1">
      <c r="A11" s="209"/>
      <c r="B11" s="196" t="s">
        <v>63</v>
      </c>
      <c r="C11" s="259"/>
      <c r="D11" s="259"/>
      <c r="E11" s="259"/>
      <c r="F11" s="259"/>
      <c r="G11" s="259"/>
      <c r="H11" s="259"/>
      <c r="I11" s="259"/>
      <c r="J11" s="259"/>
      <c r="K11" s="259"/>
      <c r="L11" s="259"/>
      <c r="M11" s="361"/>
      <c r="O11" s="217"/>
      <c r="P11" s="295" t="s">
        <v>6</v>
      </c>
      <c r="Q11" s="227" t="s">
        <v>170</v>
      </c>
      <c r="R11" s="227" t="s">
        <v>173</v>
      </c>
      <c r="S11" s="231"/>
    </row>
    <row r="12" spans="1:24" ht="15" customHeight="1">
      <c r="A12" s="209"/>
      <c r="C12" s="367" t="s">
        <v>4</v>
      </c>
      <c r="D12" s="678" t="s">
        <v>64</v>
      </c>
      <c r="E12" s="679"/>
      <c r="F12" s="679"/>
      <c r="G12" s="679"/>
      <c r="H12" s="679"/>
      <c r="I12" s="679"/>
      <c r="J12" s="679"/>
      <c r="K12" s="679"/>
      <c r="L12" s="680"/>
      <c r="M12" s="361"/>
      <c r="O12" s="217"/>
      <c r="P12" s="295" t="s">
        <v>18</v>
      </c>
      <c r="Q12" s="227" t="s">
        <v>171</v>
      </c>
      <c r="R12" s="227" t="s">
        <v>174</v>
      </c>
      <c r="S12" s="228"/>
    </row>
    <row r="13" spans="1:24" s="234" customFormat="1" ht="27.95" customHeight="1">
      <c r="A13" s="209"/>
      <c r="B13" s="180"/>
      <c r="C13" s="368" t="str">
        <f>IFERROR(VLOOKUP($E$4&amp;"a",leggerx1,21,0),"")</f>
        <v>B</v>
      </c>
      <c r="D13" s="681" t="str">
        <f>IFERROR(VLOOKUP(C13,$P$10:$R$13,3,0),"")</f>
        <v>Memiliki sikap santun, disiplin, tanggung jawab yang baik, sikap kepedulian mulai meningkat.</v>
      </c>
      <c r="E13" s="682"/>
      <c r="F13" s="682"/>
      <c r="G13" s="682"/>
      <c r="H13" s="682"/>
      <c r="I13" s="682"/>
      <c r="J13" s="682"/>
      <c r="K13" s="682"/>
      <c r="L13" s="683"/>
      <c r="M13" s="361"/>
      <c r="N13" s="237"/>
      <c r="O13" s="217"/>
      <c r="P13" s="295" t="s">
        <v>297</v>
      </c>
      <c r="Q13" s="227" t="s">
        <v>181</v>
      </c>
      <c r="R13" s="227" t="s">
        <v>182</v>
      </c>
      <c r="S13" s="228"/>
      <c r="T13" s="188"/>
      <c r="U13" s="188"/>
      <c r="V13" s="188"/>
      <c r="W13" s="188"/>
      <c r="X13" s="188"/>
    </row>
    <row r="14" spans="1:24" ht="12" customHeight="1">
      <c r="A14" s="209"/>
      <c r="B14" s="369"/>
      <c r="C14" s="369"/>
      <c r="D14" s="225"/>
      <c r="E14" s="370"/>
      <c r="F14" s="370"/>
      <c r="G14" s="370"/>
      <c r="H14" s="370"/>
      <c r="I14" s="370"/>
      <c r="J14" s="370"/>
      <c r="K14" s="370"/>
      <c r="L14" s="370"/>
      <c r="M14" s="361"/>
      <c r="O14" s="217"/>
      <c r="P14" s="238"/>
      <c r="Q14" s="238"/>
    </row>
    <row r="15" spans="1:24" ht="15" customHeight="1">
      <c r="A15" s="196" t="s">
        <v>315</v>
      </c>
      <c r="B15" s="259"/>
      <c r="C15" s="259"/>
      <c r="D15" s="259"/>
      <c r="E15" s="259"/>
      <c r="F15" s="259"/>
      <c r="G15" s="259"/>
      <c r="H15" s="259"/>
      <c r="I15" s="259"/>
      <c r="J15" s="259"/>
      <c r="K15" s="259"/>
      <c r="L15" s="259"/>
      <c r="M15" s="361"/>
      <c r="O15" s="217"/>
      <c r="P15" s="239"/>
    </row>
    <row r="16" spans="1:24" ht="15" customHeight="1">
      <c r="A16" s="196"/>
      <c r="B16" s="259" t="s">
        <v>317</v>
      </c>
      <c r="C16" s="193"/>
      <c r="D16" s="193"/>
      <c r="E16" s="189"/>
      <c r="F16" s="256"/>
      <c r="G16" s="189"/>
      <c r="H16" s="189"/>
      <c r="I16" s="189"/>
      <c r="J16" s="189"/>
      <c r="K16" s="189"/>
      <c r="L16" s="189"/>
      <c r="M16" s="361"/>
      <c r="O16" s="217"/>
      <c r="P16" s="240"/>
      <c r="Q16" s="241"/>
      <c r="R16" s="242"/>
    </row>
    <row r="17" spans="1:19" ht="14.1" customHeight="1">
      <c r="A17" s="196"/>
      <c r="B17" s="676" t="s">
        <v>291</v>
      </c>
      <c r="C17" s="625" t="s">
        <v>184</v>
      </c>
      <c r="D17" s="684"/>
      <c r="E17" s="684"/>
      <c r="F17" s="684"/>
      <c r="G17" s="626"/>
      <c r="H17" s="678" t="s">
        <v>8</v>
      </c>
      <c r="I17" s="680"/>
      <c r="J17" s="678" t="s">
        <v>25</v>
      </c>
      <c r="K17" s="680"/>
      <c r="L17" s="690" t="s">
        <v>316</v>
      </c>
      <c r="M17" s="361"/>
      <c r="O17" s="217"/>
      <c r="P17" s="240"/>
      <c r="Q17" s="241"/>
      <c r="R17" s="242"/>
    </row>
    <row r="18" spans="1:19" ht="14.1" customHeight="1">
      <c r="A18" s="209"/>
      <c r="B18" s="677"/>
      <c r="C18" s="685"/>
      <c r="D18" s="686"/>
      <c r="E18" s="686"/>
      <c r="F18" s="686"/>
      <c r="G18" s="687"/>
      <c r="H18" s="371" t="s">
        <v>65</v>
      </c>
      <c r="I18" s="371" t="s">
        <v>4</v>
      </c>
      <c r="J18" s="371" t="s">
        <v>65</v>
      </c>
      <c r="K18" s="371" t="s">
        <v>4</v>
      </c>
      <c r="L18" s="691"/>
      <c r="M18" s="361"/>
      <c r="O18" s="217"/>
      <c r="P18" s="240"/>
      <c r="Q18" s="241"/>
      <c r="R18" s="243"/>
      <c r="S18" s="244"/>
    </row>
    <row r="19" spans="1:19" ht="14.1" customHeight="1">
      <c r="A19" s="209"/>
      <c r="B19" s="372" t="s">
        <v>264</v>
      </c>
      <c r="C19" s="373"/>
      <c r="D19" s="373"/>
      <c r="E19" s="373"/>
      <c r="F19" s="373"/>
      <c r="G19" s="373"/>
      <c r="H19" s="373"/>
      <c r="I19" s="373"/>
      <c r="J19" s="302"/>
      <c r="K19" s="302"/>
      <c r="L19" s="374"/>
      <c r="M19" s="361"/>
      <c r="O19" s="217"/>
      <c r="P19" s="240"/>
      <c r="Q19" s="241"/>
      <c r="R19" s="243"/>
      <c r="S19" s="244"/>
    </row>
    <row r="20" spans="1:19" s="245" customFormat="1" ht="14.1" customHeight="1">
      <c r="A20" s="266"/>
      <c r="B20" s="267">
        <v>1</v>
      </c>
      <c r="C20" s="592" t="str">
        <f>LEGER!F$6</f>
        <v>Pendidikan Agama dan Budi Pekerti</v>
      </c>
      <c r="D20" s="593"/>
      <c r="E20" s="593"/>
      <c r="F20" s="593"/>
      <c r="G20" s="594"/>
      <c r="H20" s="375">
        <f>IFERROR(VLOOKUP($E$4&amp;"A",leggerx1,3,0),"")</f>
        <v>55</v>
      </c>
      <c r="I20" s="376" t="str">
        <f>IFERROR(VLOOKUP($E$4&amp;"C",leggerx1,3,0),"")</f>
        <v>D</v>
      </c>
      <c r="J20" s="375">
        <f>IFERROR(VLOOKUP($E$4&amp;"B",leggerx1,3,0),"")</f>
        <v>80</v>
      </c>
      <c r="K20" s="376" t="str">
        <f>IFERROR(VLOOKUP($E$4&amp;"D",leggerx1,3,0),"")</f>
        <v>B</v>
      </c>
      <c r="L20" s="377" t="str">
        <f>IF(AND(H20&gt;=70,J20&gt;=70),"Tuntas","Tidak tuntas")</f>
        <v>Tidak tuntas</v>
      </c>
      <c r="M20" s="361"/>
      <c r="N20" s="250"/>
      <c r="O20" s="251"/>
      <c r="P20" s="252"/>
      <c r="Q20" s="186"/>
      <c r="R20" s="253"/>
      <c r="S20" s="254"/>
    </row>
    <row r="21" spans="1:19" s="245" customFormat="1" ht="14.1" customHeight="1">
      <c r="A21" s="266"/>
      <c r="B21" s="271">
        <v>2</v>
      </c>
      <c r="C21" s="581" t="str">
        <f>LEGER!G$6</f>
        <v>Pendidikan Pancasila dan Kewarganegaraan</v>
      </c>
      <c r="D21" s="582"/>
      <c r="E21" s="582"/>
      <c r="F21" s="582"/>
      <c r="G21" s="583"/>
      <c r="H21" s="378">
        <f>IFERROR(VLOOKUP($E$4&amp;"A",leggerx1,4,0),"")</f>
        <v>18</v>
      </c>
      <c r="I21" s="379" t="str">
        <f>IFERROR(VLOOKUP($E$4&amp;"C",leggerx1,4,0),"")</f>
        <v>D</v>
      </c>
      <c r="J21" s="378">
        <f>IFERROR(VLOOKUP($E$4&amp;"B",leggerx1,4,0),"")</f>
        <v>80</v>
      </c>
      <c r="K21" s="379" t="str">
        <f>IFERROR(VLOOKUP($E$4&amp;"D",leggerx1,4,0),"")</f>
        <v>B</v>
      </c>
      <c r="L21" s="380" t="str">
        <f t="shared" ref="L21:L25" si="0">IF(AND(H21&gt;=70,J21&gt;=70),"Tuntas","Tidak tuntas")</f>
        <v>Tidak tuntas</v>
      </c>
      <c r="M21" s="361"/>
      <c r="N21" s="250"/>
      <c r="O21" s="251"/>
      <c r="P21" s="252"/>
      <c r="Q21" s="186"/>
      <c r="R21" s="255"/>
      <c r="S21" s="254"/>
    </row>
    <row r="22" spans="1:19" s="245" customFormat="1" ht="14.1" customHeight="1">
      <c r="A22" s="266"/>
      <c r="B22" s="271">
        <v>3</v>
      </c>
      <c r="C22" s="581" t="str">
        <f>LEGER!H$6</f>
        <v>Bahasa Indonesia</v>
      </c>
      <c r="D22" s="582"/>
      <c r="E22" s="582"/>
      <c r="F22" s="582"/>
      <c r="G22" s="583"/>
      <c r="H22" s="378">
        <f>IFERROR(VLOOKUP($E$4&amp;"A",leggerx1,5,0),"")</f>
        <v>72</v>
      </c>
      <c r="I22" s="379" t="str">
        <f>IFERROR(VLOOKUP($E$4&amp;"C",leggerx1,5,0),"")</f>
        <v>C</v>
      </c>
      <c r="J22" s="378">
        <f>IFERROR(VLOOKUP($E$4&amp;"B",leggerx1,5,0),"")</f>
        <v>71</v>
      </c>
      <c r="K22" s="379" t="str">
        <f>IFERROR(VLOOKUP($E$4&amp;"D",leggerx1,5,0),"")</f>
        <v>C</v>
      </c>
      <c r="L22" s="380" t="str">
        <f t="shared" si="0"/>
        <v>Tuntas</v>
      </c>
      <c r="M22" s="361"/>
      <c r="N22" s="250"/>
      <c r="O22" s="251"/>
      <c r="P22" s="252"/>
      <c r="Q22" s="253"/>
      <c r="R22" s="253"/>
      <c r="S22" s="254"/>
    </row>
    <row r="23" spans="1:19" s="245" customFormat="1" ht="14.1" customHeight="1">
      <c r="A23" s="266"/>
      <c r="B23" s="271">
        <v>4</v>
      </c>
      <c r="C23" s="581" t="str">
        <f>LEGER!I$6</f>
        <v>Matematika</v>
      </c>
      <c r="D23" s="582"/>
      <c r="E23" s="582"/>
      <c r="F23" s="582"/>
      <c r="G23" s="583"/>
      <c r="H23" s="378">
        <f>IFERROR(VLOOKUP($E$4&amp;"A",leggerx1,6,0),"")</f>
        <v>56</v>
      </c>
      <c r="I23" s="379" t="str">
        <f>IFERROR(VLOOKUP($E$4&amp;"C",leggerx1,6,0),"")</f>
        <v>D</v>
      </c>
      <c r="J23" s="378">
        <f>IFERROR(VLOOKUP($E$4&amp;"B",leggerx1,6,0),"")</f>
        <v>50</v>
      </c>
      <c r="K23" s="379" t="str">
        <f>IFERROR(VLOOKUP($E$4&amp;"D",leggerx1,6,0),"")</f>
        <v>D</v>
      </c>
      <c r="L23" s="380" t="str">
        <f t="shared" si="0"/>
        <v>Tidak tuntas</v>
      </c>
      <c r="M23" s="381"/>
      <c r="N23" s="250"/>
      <c r="O23" s="251"/>
      <c r="P23" s="252"/>
      <c r="Q23" s="253"/>
      <c r="R23" s="253"/>
      <c r="S23" s="254"/>
    </row>
    <row r="24" spans="1:19" s="245" customFormat="1" ht="14.1" customHeight="1">
      <c r="A24" s="266"/>
      <c r="B24" s="271">
        <v>5</v>
      </c>
      <c r="C24" s="581" t="str">
        <f>LEGER!J$6</f>
        <v>Sejarah Indonesia</v>
      </c>
      <c r="D24" s="582"/>
      <c r="E24" s="582"/>
      <c r="F24" s="582"/>
      <c r="G24" s="583"/>
      <c r="H24" s="378">
        <f>IFERROR(VLOOKUP($E$4&amp;"A",leggerx1,7,0),"")</f>
        <v>68</v>
      </c>
      <c r="I24" s="379" t="str">
        <f>IFERROR(VLOOKUP($E$4&amp;"C",leggerx1,7,0),"")</f>
        <v>D</v>
      </c>
      <c r="J24" s="378">
        <f>IFERROR(VLOOKUP($E$4&amp;"B",leggerx1,7,0),"")</f>
        <v>60</v>
      </c>
      <c r="K24" s="379" t="str">
        <f>IFERROR(VLOOKUP($E$4&amp;"D",leggerx1,7,0),"")</f>
        <v>D</v>
      </c>
      <c r="L24" s="380" t="str">
        <f t="shared" si="0"/>
        <v>Tidak tuntas</v>
      </c>
      <c r="M24" s="382"/>
      <c r="N24" s="250"/>
      <c r="O24" s="251"/>
      <c r="P24" s="252"/>
      <c r="Q24" s="253"/>
      <c r="R24" s="253"/>
      <c r="S24" s="254"/>
    </row>
    <row r="25" spans="1:19" s="245" customFormat="1" ht="14.1" customHeight="1">
      <c r="A25" s="266"/>
      <c r="B25" s="274">
        <v>6</v>
      </c>
      <c r="C25" s="658" t="str">
        <f>LEGER!K$6</f>
        <v>Bahasa Inggris</v>
      </c>
      <c r="D25" s="659"/>
      <c r="E25" s="659"/>
      <c r="F25" s="659"/>
      <c r="G25" s="660"/>
      <c r="H25" s="383">
        <f>IFERROR(VLOOKUP($E$4&amp;"A",leggerx1,8,0),"")</f>
        <v>74</v>
      </c>
      <c r="I25" s="384" t="str">
        <f>IFERROR(VLOOKUP($E$4&amp;"C",leggerx1,8,0),"")</f>
        <v>C</v>
      </c>
      <c r="J25" s="383">
        <f>IFERROR(VLOOKUP($E$4&amp;"B",leggerx1,8,0),"")</f>
        <v>70</v>
      </c>
      <c r="K25" s="384" t="str">
        <f>IFERROR(VLOOKUP($E$4&amp;"D",leggerx1,8,0),"")</f>
        <v>C</v>
      </c>
      <c r="L25" s="385" t="str">
        <f t="shared" si="0"/>
        <v>Tuntas</v>
      </c>
      <c r="M25" s="361"/>
      <c r="N25" s="250"/>
      <c r="O25" s="251"/>
      <c r="P25" s="252"/>
      <c r="Q25" s="253"/>
      <c r="R25" s="253"/>
      <c r="S25" s="254"/>
    </row>
    <row r="26" spans="1:19" s="245" customFormat="1" ht="14.1" customHeight="1">
      <c r="A26" s="266"/>
      <c r="B26" s="276" t="s">
        <v>265</v>
      </c>
      <c r="C26" s="277"/>
      <c r="D26" s="277"/>
      <c r="E26" s="277"/>
      <c r="F26" s="277"/>
      <c r="G26" s="277"/>
      <c r="H26" s="277"/>
      <c r="I26" s="386"/>
      <c r="J26" s="359"/>
      <c r="K26" s="362"/>
      <c r="L26" s="387"/>
      <c r="M26" s="361"/>
      <c r="N26" s="250"/>
      <c r="O26" s="251"/>
      <c r="P26" s="252"/>
      <c r="Q26" s="253"/>
      <c r="R26" s="253"/>
      <c r="S26" s="254"/>
    </row>
    <row r="27" spans="1:19" s="245" customFormat="1" ht="14.1" customHeight="1">
      <c r="A27" s="266"/>
      <c r="B27" s="267">
        <v>1</v>
      </c>
      <c r="C27" s="592" t="str">
        <f>LEGER!L$6</f>
        <v>Seni Budaya</v>
      </c>
      <c r="D27" s="593"/>
      <c r="E27" s="593"/>
      <c r="F27" s="593"/>
      <c r="G27" s="594"/>
      <c r="H27" s="375">
        <f>IFERROR(VLOOKUP($E$4&amp;"A",leggerx1,9,0),"")</f>
        <v>74</v>
      </c>
      <c r="I27" s="376" t="str">
        <f>IFERROR(VLOOKUP($E$4&amp;"C",leggerx1,9,0),"")</f>
        <v>C</v>
      </c>
      <c r="J27" s="375">
        <f>IFERROR(VLOOKUP($E$4&amp;"B",leggerx1,9,0),"")</f>
        <v>70</v>
      </c>
      <c r="K27" s="376" t="str">
        <f>IFERROR(VLOOKUP($E$4&amp;"D",leggerx1,9,0),"")</f>
        <v>C</v>
      </c>
      <c r="L27" s="377" t="str">
        <f>IF(AND(H27&gt;=70,J27&gt;=70),"Tuntas","Tidak tuntas")</f>
        <v>Tuntas</v>
      </c>
      <c r="M27" s="361"/>
      <c r="N27" s="250"/>
      <c r="O27" s="251"/>
      <c r="P27" s="252"/>
      <c r="Q27" s="253"/>
      <c r="R27" s="253"/>
      <c r="S27" s="254"/>
    </row>
    <row r="28" spans="1:19" s="245" customFormat="1" ht="14.1" customHeight="1">
      <c r="A28" s="266"/>
      <c r="B28" s="271">
        <v>2</v>
      </c>
      <c r="C28" s="581" t="str">
        <f>LEGER!M$6</f>
        <v>Pendidikan Jasmani, Olah Raga dan Kesehatan</v>
      </c>
      <c r="D28" s="582"/>
      <c r="E28" s="582"/>
      <c r="F28" s="582"/>
      <c r="G28" s="583"/>
      <c r="H28" s="388">
        <f>IFERROR(VLOOKUP($E$4&amp;"A",leggerx1,10,0),"")</f>
        <v>63</v>
      </c>
      <c r="I28" s="389" t="str">
        <f>IFERROR(VLOOKUP($E$4&amp;"C",leggerx1,10,0),"")</f>
        <v>D</v>
      </c>
      <c r="J28" s="388">
        <f>IFERROR(VLOOKUP($E$4&amp;"B",leggerx1,10,0),"")</f>
        <v>52</v>
      </c>
      <c r="K28" s="389" t="str">
        <f>IFERROR(VLOOKUP($E$4&amp;"D",leggerx1,10,0),"")</f>
        <v>D</v>
      </c>
      <c r="L28" s="380" t="str">
        <f t="shared" ref="L28:L30" si="1">IF(AND(H28&gt;=70,J28&gt;=70),"Tuntas","Tidak tuntas")</f>
        <v>Tidak tuntas</v>
      </c>
      <c r="M28" s="361"/>
      <c r="N28" s="250"/>
      <c r="O28" s="251"/>
      <c r="P28" s="252"/>
      <c r="Q28" s="253"/>
      <c r="R28" s="253"/>
      <c r="S28" s="254"/>
    </row>
    <row r="29" spans="1:19" s="245" customFormat="1" ht="14.1" customHeight="1">
      <c r="A29" s="266"/>
      <c r="B29" s="271">
        <v>3</v>
      </c>
      <c r="C29" s="581" t="str">
        <f>LEGER!N$6</f>
        <v>Prakarya dan Kewirausahaan</v>
      </c>
      <c r="D29" s="582"/>
      <c r="E29" s="582"/>
      <c r="F29" s="582"/>
      <c r="G29" s="583"/>
      <c r="H29" s="388">
        <f>IFERROR(VLOOKUP($E$4&amp;"A",leggerx1,11,0),"")</f>
        <v>35</v>
      </c>
      <c r="I29" s="389" t="str">
        <f>IFERROR(VLOOKUP($E$4&amp;"C",leggerx1,11,0),"")</f>
        <v>D</v>
      </c>
      <c r="J29" s="388">
        <f>IFERROR(VLOOKUP($E$4&amp;"B",leggerx1,11,0),"")</f>
        <v>80</v>
      </c>
      <c r="K29" s="389" t="str">
        <f>IFERROR(VLOOKUP($E$4&amp;"D",leggerx1,11,0),"")</f>
        <v>B</v>
      </c>
      <c r="L29" s="380" t="str">
        <f t="shared" si="1"/>
        <v>Tidak tuntas</v>
      </c>
      <c r="M29" s="361"/>
      <c r="N29" s="250"/>
      <c r="O29" s="251"/>
      <c r="P29" s="252"/>
      <c r="Q29" s="253"/>
      <c r="R29" s="253"/>
      <c r="S29" s="254"/>
    </row>
    <row r="30" spans="1:19" s="245" customFormat="1" ht="14.1" customHeight="1">
      <c r="A30" s="266"/>
      <c r="B30" s="274">
        <v>4</v>
      </c>
      <c r="C30" s="658" t="str">
        <f>LEGER!O$6</f>
        <v>Bahasa Sunda</v>
      </c>
      <c r="D30" s="659"/>
      <c r="E30" s="659"/>
      <c r="F30" s="659"/>
      <c r="G30" s="660"/>
      <c r="H30" s="390">
        <f>IFERROR(VLOOKUP($E$4&amp;"A",leggerx1,12,0),"")</f>
        <v>28</v>
      </c>
      <c r="I30" s="391" t="str">
        <f>IFERROR(VLOOKUP($E$4&amp;"C",leggerx1,12,0),"")</f>
        <v>D</v>
      </c>
      <c r="J30" s="390">
        <f>IFERROR(VLOOKUP($E$4&amp;"B",leggerx1,12,0),"")</f>
        <v>35</v>
      </c>
      <c r="K30" s="391" t="str">
        <f>IFERROR(VLOOKUP($E$4&amp;"D",leggerx1,12,0),"")</f>
        <v>D</v>
      </c>
      <c r="L30" s="385" t="str">
        <f t="shared" si="1"/>
        <v>Tidak tuntas</v>
      </c>
      <c r="M30" s="361"/>
      <c r="N30" s="250"/>
      <c r="O30" s="251"/>
      <c r="P30" s="252"/>
      <c r="Q30" s="253"/>
      <c r="R30" s="253"/>
      <c r="S30" s="254"/>
    </row>
    <row r="31" spans="1:19" s="245" customFormat="1" ht="14.1" customHeight="1">
      <c r="A31" s="209"/>
      <c r="B31" s="276" t="s">
        <v>266</v>
      </c>
      <c r="C31" s="277"/>
      <c r="D31" s="277"/>
      <c r="E31" s="277"/>
      <c r="F31" s="277"/>
      <c r="G31" s="277"/>
      <c r="H31" s="277"/>
      <c r="I31" s="386"/>
      <c r="J31" s="359"/>
      <c r="K31" s="362"/>
      <c r="L31" s="387"/>
      <c r="M31" s="361"/>
      <c r="N31" s="250"/>
      <c r="O31" s="251"/>
      <c r="P31" s="252"/>
      <c r="Q31" s="253"/>
      <c r="R31" s="253"/>
      <c r="S31" s="254"/>
    </row>
    <row r="32" spans="1:19" ht="14.1" customHeight="1">
      <c r="A32" s="266"/>
      <c r="B32" s="267">
        <v>1</v>
      </c>
      <c r="C32" s="592" t="str">
        <f>LEGER!P$6</f>
        <v>Sejarah IPS</v>
      </c>
      <c r="D32" s="593"/>
      <c r="E32" s="593"/>
      <c r="F32" s="593"/>
      <c r="G32" s="594"/>
      <c r="H32" s="392">
        <f>IFERROR(VLOOKUP($E$4&amp;"A",leggerx1,13,0),"")</f>
        <v>70</v>
      </c>
      <c r="I32" s="393" t="str">
        <f>IFERROR(VLOOKUP($E$4&amp;"C",leggerx1,13,0),"")</f>
        <v>C</v>
      </c>
      <c r="J32" s="392">
        <f>IFERROR(VLOOKUP($E$4&amp;"B",leggerx1,13,0),"")</f>
        <v>70</v>
      </c>
      <c r="K32" s="393" t="str">
        <f>IFERROR(VLOOKUP($E$4&amp;"D",leggerx1,13,0),"")</f>
        <v>C</v>
      </c>
      <c r="L32" s="377" t="str">
        <f t="shared" ref="L32:L38" si="2">IF(AND(H32&gt;=70,J32&gt;=70),"Tuntas","Tidak tuntas")</f>
        <v>Tuntas</v>
      </c>
      <c r="M32" s="361"/>
    </row>
    <row r="33" spans="1:24" ht="14.1" customHeight="1">
      <c r="A33" s="266"/>
      <c r="B33" s="271">
        <v>2</v>
      </c>
      <c r="C33" s="581" t="str">
        <f>LEGER!Q$6</f>
        <v>G e o g r a f i</v>
      </c>
      <c r="D33" s="582"/>
      <c r="E33" s="582"/>
      <c r="F33" s="582"/>
      <c r="G33" s="583"/>
      <c r="H33" s="388">
        <f>IFERROR(VLOOKUP($E$4&amp;"A",leggerx1,14,0),"")</f>
        <v>30</v>
      </c>
      <c r="I33" s="389" t="str">
        <f>IFERROR(VLOOKUP($E$4&amp;"C",leggerx1,14,0),"")</f>
        <v>D</v>
      </c>
      <c r="J33" s="388" t="str">
        <f>IFERROR(VLOOKUP($E$4&amp;"B",leggerx1,14,0),"")</f>
        <v>37,5</v>
      </c>
      <c r="K33" s="389" t="str">
        <f>IFERROR(VLOOKUP($E$4&amp;"D",leggerx1,14,0),"")</f>
        <v>--</v>
      </c>
      <c r="L33" s="380" t="str">
        <f t="shared" si="2"/>
        <v>Tidak tuntas</v>
      </c>
      <c r="M33" s="361"/>
    </row>
    <row r="34" spans="1:24" s="183" customFormat="1" ht="14.1" customHeight="1">
      <c r="A34" s="266"/>
      <c r="B34" s="284">
        <v>3</v>
      </c>
      <c r="C34" s="577" t="str">
        <f>LEGER!R$6</f>
        <v>S o s i o l o g i</v>
      </c>
      <c r="D34" s="578"/>
      <c r="E34" s="578"/>
      <c r="F34" s="578"/>
      <c r="G34" s="579"/>
      <c r="H34" s="394">
        <f>IFERROR(VLOOKUP($E$4&amp;"A",leggerx1,15,0),"")</f>
        <v>70</v>
      </c>
      <c r="I34" s="395" t="str">
        <f>IFERROR(VLOOKUP($E$4&amp;"C",leggerx1,15,0),"")</f>
        <v>C</v>
      </c>
      <c r="J34" s="388">
        <f>IFERROR(VLOOKUP($E$4&amp;"B",leggerx1,15,0),"")</f>
        <v>70</v>
      </c>
      <c r="K34" s="389" t="str">
        <f>IFERROR(VLOOKUP($E$4&amp;"D",leggerx1,15,0),"")</f>
        <v>C</v>
      </c>
      <c r="L34" s="380" t="str">
        <f t="shared" si="2"/>
        <v>Tuntas</v>
      </c>
      <c r="M34" s="361"/>
      <c r="N34" s="182"/>
      <c r="P34" s="184"/>
      <c r="Q34" s="184"/>
      <c r="R34" s="184"/>
      <c r="S34" s="260"/>
      <c r="T34" s="188"/>
      <c r="U34" s="188"/>
      <c r="V34" s="188"/>
      <c r="W34" s="188"/>
      <c r="X34" s="188"/>
    </row>
    <row r="35" spans="1:24" s="183" customFormat="1" ht="14.1" customHeight="1">
      <c r="A35" s="266"/>
      <c r="B35" s="271">
        <v>4</v>
      </c>
      <c r="C35" s="581" t="str">
        <f>LEGER!S$6</f>
        <v>E k o n o m i</v>
      </c>
      <c r="D35" s="582"/>
      <c r="E35" s="582"/>
      <c r="F35" s="582"/>
      <c r="G35" s="583"/>
      <c r="H35" s="388">
        <f>IFERROR(VLOOKUP($E$4&amp;"A",leggerx1,16,0),"")</f>
        <v>57</v>
      </c>
      <c r="I35" s="389" t="str">
        <f>IFERROR(VLOOKUP($E$4&amp;"C",leggerx1,16,0),"")</f>
        <v>D</v>
      </c>
      <c r="J35" s="388">
        <f>IFERROR(VLOOKUP($E$4&amp;"B",leggerx1,16,0),"")</f>
        <v>59</v>
      </c>
      <c r="K35" s="389" t="str">
        <f>IFERROR(VLOOKUP($E$4&amp;"D",leggerx1,16,0),"")</f>
        <v>D</v>
      </c>
      <c r="L35" s="380" t="str">
        <f t="shared" si="2"/>
        <v>Tidak tuntas</v>
      </c>
      <c r="M35" s="361"/>
      <c r="N35" s="182"/>
      <c r="P35" s="184"/>
      <c r="Q35" s="184"/>
      <c r="R35" s="184"/>
      <c r="S35" s="260"/>
      <c r="T35" s="188"/>
      <c r="U35" s="188"/>
      <c r="V35" s="188"/>
      <c r="W35" s="188"/>
      <c r="X35" s="188"/>
    </row>
    <row r="36" spans="1:24" s="183" customFormat="1" ht="14.1" customHeight="1">
      <c r="A36" s="266"/>
      <c r="B36" s="284">
        <v>5</v>
      </c>
      <c r="C36" s="577" t="str">
        <f>LEGER!T$6</f>
        <v>Bahasa &amp; Sastra Inggris</v>
      </c>
      <c r="D36" s="578"/>
      <c r="E36" s="578"/>
      <c r="F36" s="578"/>
      <c r="G36" s="579"/>
      <c r="H36" s="394">
        <f>IFERROR(VLOOKUP($E$4&amp;"A",leggerx1,17,0),"")</f>
        <v>58</v>
      </c>
      <c r="I36" s="395" t="str">
        <f>IFERROR(VLOOKUP($E$4&amp;"C",leggerx1,17,0),"")</f>
        <v>D</v>
      </c>
      <c r="J36" s="396">
        <f>IFERROR(VLOOKUP($E$4&amp;"B",leggerx1,17,0),"")</f>
        <v>10</v>
      </c>
      <c r="K36" s="397" t="str">
        <f>IFERROR(VLOOKUP($E$4&amp;"D",leggerx1,17,0),"")</f>
        <v>D</v>
      </c>
      <c r="L36" s="380" t="str">
        <f t="shared" si="2"/>
        <v>Tidak tuntas</v>
      </c>
      <c r="M36" s="361"/>
      <c r="N36" s="270"/>
      <c r="P36" s="184"/>
      <c r="Q36" s="184"/>
      <c r="R36" s="184"/>
      <c r="S36" s="260"/>
      <c r="T36" s="188"/>
      <c r="U36" s="188"/>
      <c r="V36" s="188"/>
      <c r="W36" s="188"/>
      <c r="X36" s="188"/>
    </row>
    <row r="37" spans="1:24" s="183" customFormat="1" ht="14.1" customHeight="1">
      <c r="A37" s="266"/>
      <c r="B37" s="271">
        <v>6</v>
      </c>
      <c r="C37" s="581" t="str">
        <f>LEGER!U$6</f>
        <v>B i o l o g i</v>
      </c>
      <c r="D37" s="582"/>
      <c r="E37" s="582"/>
      <c r="F37" s="582"/>
      <c r="G37" s="583"/>
      <c r="H37" s="388">
        <f>IFERROR(VLOOKUP($E$4&amp;"A",leggerx1,18,0),"")</f>
        <v>20</v>
      </c>
      <c r="I37" s="389" t="str">
        <f>IFERROR(VLOOKUP($E$4&amp;"C",leggerx1,18,0),"")</f>
        <v>D</v>
      </c>
      <c r="J37" s="388">
        <f>IFERROR(VLOOKUP($E$4&amp;"B",leggerx1,18,0),"")</f>
        <v>40</v>
      </c>
      <c r="K37" s="389" t="str">
        <f>IFERROR(VLOOKUP($E$4&amp;"D",leggerx1,18,0),"")</f>
        <v>D</v>
      </c>
      <c r="L37" s="380" t="str">
        <f t="shared" si="2"/>
        <v>Tidak tuntas</v>
      </c>
      <c r="M37" s="361"/>
      <c r="N37" s="182"/>
      <c r="P37" s="184"/>
      <c r="Q37" s="184"/>
      <c r="R37" s="184"/>
      <c r="S37" s="260"/>
      <c r="T37" s="188"/>
      <c r="U37" s="188"/>
      <c r="V37" s="188"/>
      <c r="W37" s="188"/>
      <c r="X37" s="188"/>
    </row>
    <row r="38" spans="1:24" s="183" customFormat="1" ht="14.1" customHeight="1">
      <c r="A38" s="209"/>
      <c r="B38" s="274">
        <v>7</v>
      </c>
      <c r="C38" s="658" t="str">
        <f>LEGER!V$6</f>
        <v>Baca Tulis Qur'an</v>
      </c>
      <c r="D38" s="659"/>
      <c r="E38" s="659"/>
      <c r="F38" s="659"/>
      <c r="G38" s="660"/>
      <c r="H38" s="390">
        <f>IFERROR(VLOOKUP($E$4&amp;"A",leggerx1,19,0),"")</f>
        <v>75</v>
      </c>
      <c r="I38" s="391" t="str">
        <f>IFERROR(VLOOKUP($E$4&amp;"C",leggerx1,19,0),"")</f>
        <v>C</v>
      </c>
      <c r="J38" s="390">
        <f>IFERROR(VLOOKUP($E$4&amp;"B",leggerx1,19,0),"")</f>
        <v>73</v>
      </c>
      <c r="K38" s="391" t="str">
        <f>IFERROR(VLOOKUP($E$4&amp;"D",leggerx1,19,0),"")</f>
        <v>C</v>
      </c>
      <c r="L38" s="385" t="str">
        <f t="shared" si="2"/>
        <v>Tuntas</v>
      </c>
      <c r="M38" s="361"/>
      <c r="N38" s="182"/>
      <c r="P38" s="184"/>
      <c r="Q38" s="184"/>
      <c r="R38" s="184"/>
      <c r="S38" s="260"/>
      <c r="T38" s="188"/>
      <c r="U38" s="188"/>
      <c r="V38" s="188"/>
      <c r="W38" s="188"/>
      <c r="X38" s="188"/>
    </row>
    <row r="39" spans="1:24" s="183" customFormat="1" ht="9.9499999999999993" customHeight="1">
      <c r="A39" s="311"/>
      <c r="B39" s="235"/>
      <c r="C39" s="236"/>
      <c r="D39" s="236"/>
      <c r="E39" s="236"/>
      <c r="F39" s="236"/>
      <c r="G39" s="236"/>
      <c r="H39" s="287"/>
      <c r="I39" s="288"/>
      <c r="J39" s="289"/>
      <c r="K39" s="288"/>
      <c r="L39" s="289"/>
      <c r="M39" s="361"/>
      <c r="N39" s="182"/>
      <c r="P39" s="184"/>
      <c r="Q39" s="184"/>
      <c r="R39" s="184"/>
      <c r="S39" s="260"/>
      <c r="T39" s="188"/>
      <c r="U39" s="188"/>
      <c r="V39" s="188"/>
      <c r="W39" s="188"/>
      <c r="X39" s="188"/>
    </row>
    <row r="40" spans="1:24" ht="15" customHeight="1">
      <c r="A40" s="302" t="s">
        <v>318</v>
      </c>
      <c r="B40" s="215"/>
      <c r="C40" s="323"/>
      <c r="D40" s="323"/>
      <c r="E40" s="323"/>
      <c r="F40" s="323"/>
      <c r="G40" s="323"/>
      <c r="H40" s="323"/>
      <c r="I40" s="323"/>
      <c r="J40" s="323"/>
      <c r="K40" s="323"/>
      <c r="L40" s="189"/>
      <c r="M40" s="361"/>
    </row>
    <row r="41" spans="1:24" s="182" customFormat="1" ht="15" customHeight="1">
      <c r="A41" s="209"/>
      <c r="B41" s="398" t="s">
        <v>192</v>
      </c>
      <c r="C41" s="589" t="s">
        <v>185</v>
      </c>
      <c r="D41" s="590"/>
      <c r="E41" s="591"/>
      <c r="F41" s="399" t="s">
        <v>4</v>
      </c>
      <c r="G41" s="589" t="s">
        <v>64</v>
      </c>
      <c r="H41" s="590"/>
      <c r="I41" s="590"/>
      <c r="J41" s="590"/>
      <c r="K41" s="590"/>
      <c r="L41" s="591"/>
      <c r="M41" s="358"/>
      <c r="O41" s="183"/>
      <c r="P41" s="585" t="s">
        <v>158</v>
      </c>
      <c r="Q41" s="586"/>
      <c r="R41" s="184"/>
      <c r="S41" s="185"/>
      <c r="T41" s="188"/>
      <c r="U41" s="188"/>
      <c r="V41" s="188"/>
      <c r="W41" s="188"/>
      <c r="X41" s="188"/>
    </row>
    <row r="42" spans="1:24" s="182" customFormat="1" ht="15" customHeight="1">
      <c r="A42" s="209"/>
      <c r="B42" s="326">
        <v>1</v>
      </c>
      <c r="C42" s="655" t="str">
        <f>VLOOKUP($E$4&amp;"A",leggerx1,25,0)</f>
        <v>Pend. Kepramukaan</v>
      </c>
      <c r="D42" s="656"/>
      <c r="E42" s="657"/>
      <c r="F42" s="326" t="str">
        <f>VLOOKUP($E$4&amp;"A",leggerx1,26,0)</f>
        <v>-</v>
      </c>
      <c r="G42" s="692" t="str">
        <f>VLOOKUP(F42,$P$42:$Q$46,2,0)</f>
        <v>--</v>
      </c>
      <c r="H42" s="693"/>
      <c r="I42" s="693"/>
      <c r="J42" s="693"/>
      <c r="K42" s="693"/>
      <c r="L42" s="694"/>
      <c r="M42" s="358"/>
      <c r="O42" s="183"/>
      <c r="P42" s="295" t="s">
        <v>288</v>
      </c>
      <c r="Q42" s="327" t="s">
        <v>259</v>
      </c>
      <c r="R42" s="184"/>
      <c r="S42" s="185"/>
      <c r="T42" s="188"/>
      <c r="U42" s="188"/>
      <c r="V42" s="188"/>
      <c r="W42" s="188"/>
      <c r="X42" s="188"/>
    </row>
    <row r="43" spans="1:24" s="182" customFormat="1" ht="15" customHeight="1">
      <c r="A43" s="209"/>
      <c r="B43" s="271">
        <v>2</v>
      </c>
      <c r="C43" s="652" t="str">
        <f>VLOOKUP($E$4&amp;"B",leggerx1,25,0)</f>
        <v>-</v>
      </c>
      <c r="D43" s="653"/>
      <c r="E43" s="654"/>
      <c r="F43" s="328" t="str">
        <f>VLOOKUP($E$4&amp;"B",leggerx1,26,0)</f>
        <v>-</v>
      </c>
      <c r="G43" s="570" t="str">
        <f t="shared" ref="G43:G45" si="3">VLOOKUP(F43,$P$42:$Q$46,2,0)</f>
        <v>--</v>
      </c>
      <c r="H43" s="571"/>
      <c r="I43" s="571"/>
      <c r="J43" s="571"/>
      <c r="K43" s="571"/>
      <c r="L43" s="572"/>
      <c r="M43" s="358"/>
      <c r="O43" s="183"/>
      <c r="P43" s="295" t="s">
        <v>6</v>
      </c>
      <c r="Q43" s="327" t="s">
        <v>260</v>
      </c>
      <c r="R43" s="184"/>
      <c r="S43" s="185"/>
      <c r="T43" s="188"/>
      <c r="U43" s="188"/>
      <c r="V43" s="188"/>
      <c r="W43" s="188"/>
      <c r="X43" s="188"/>
    </row>
    <row r="44" spans="1:24" s="182" customFormat="1" ht="15" customHeight="1">
      <c r="A44" s="209"/>
      <c r="B44" s="271">
        <v>3</v>
      </c>
      <c r="C44" s="652" t="str">
        <f>VLOOKUP($E$4&amp;"C",leggerx1,25,0)</f>
        <v>-</v>
      </c>
      <c r="D44" s="653"/>
      <c r="E44" s="654"/>
      <c r="F44" s="328" t="str">
        <f>VLOOKUP($E$4&amp;"C",leggerx1,26,0)</f>
        <v>-</v>
      </c>
      <c r="G44" s="570" t="str">
        <f t="shared" si="3"/>
        <v>--</v>
      </c>
      <c r="H44" s="571"/>
      <c r="I44" s="571"/>
      <c r="J44" s="571"/>
      <c r="K44" s="571"/>
      <c r="L44" s="572"/>
      <c r="M44" s="358"/>
      <c r="O44" s="183"/>
      <c r="P44" s="295" t="s">
        <v>18</v>
      </c>
      <c r="Q44" s="327" t="s">
        <v>258</v>
      </c>
      <c r="R44" s="184"/>
      <c r="S44" s="185"/>
      <c r="T44" s="188"/>
      <c r="U44" s="188"/>
      <c r="V44" s="188"/>
      <c r="W44" s="188"/>
      <c r="X44" s="188"/>
    </row>
    <row r="45" spans="1:24" s="182" customFormat="1" ht="15" customHeight="1">
      <c r="A45" s="209"/>
      <c r="B45" s="274">
        <v>4</v>
      </c>
      <c r="C45" s="595" t="str">
        <f>VLOOKUP($E$4&amp;"D",leggerx1,25,0)</f>
        <v>-</v>
      </c>
      <c r="D45" s="596"/>
      <c r="E45" s="597"/>
      <c r="F45" s="329" t="str">
        <f>VLOOKUP($E$4&amp;"D",leggerx1,26,0)</f>
        <v>-</v>
      </c>
      <c r="G45" s="645" t="str">
        <f t="shared" si="3"/>
        <v>--</v>
      </c>
      <c r="H45" s="646"/>
      <c r="I45" s="646"/>
      <c r="J45" s="646"/>
      <c r="K45" s="646"/>
      <c r="L45" s="647"/>
      <c r="M45" s="358"/>
      <c r="O45" s="183"/>
      <c r="P45" s="295" t="s">
        <v>297</v>
      </c>
      <c r="Q45" s="327" t="s">
        <v>261</v>
      </c>
      <c r="R45" s="184"/>
      <c r="S45" s="185"/>
      <c r="T45" s="188"/>
      <c r="U45" s="188"/>
      <c r="V45" s="188"/>
      <c r="W45" s="188"/>
      <c r="X45" s="188"/>
    </row>
    <row r="46" spans="1:24" s="182" customFormat="1" ht="15" customHeight="1">
      <c r="A46" s="209"/>
      <c r="B46" s="189"/>
      <c r="C46" s="189"/>
      <c r="D46" s="189"/>
      <c r="E46" s="189"/>
      <c r="F46" s="189"/>
      <c r="G46" s="189"/>
      <c r="H46" s="189"/>
      <c r="I46" s="189"/>
      <c r="J46" s="189"/>
      <c r="K46" s="189"/>
      <c r="L46" s="189"/>
      <c r="M46" s="358"/>
      <c r="O46" s="183"/>
      <c r="P46" s="295" t="s">
        <v>36</v>
      </c>
      <c r="Q46" s="330" t="s">
        <v>179</v>
      </c>
      <c r="R46" s="184"/>
      <c r="S46" s="185"/>
      <c r="T46" s="188"/>
      <c r="U46" s="188"/>
      <c r="V46" s="188"/>
      <c r="W46" s="188"/>
      <c r="X46" s="188"/>
    </row>
    <row r="47" spans="1:24" s="182" customFormat="1" ht="15" customHeight="1">
      <c r="A47" s="302" t="s">
        <v>319</v>
      </c>
      <c r="B47" s="215"/>
      <c r="C47" s="215"/>
      <c r="D47" s="215"/>
      <c r="E47" s="216"/>
      <c r="F47" s="216"/>
      <c r="G47" s="216"/>
      <c r="H47" s="323"/>
      <c r="I47" s="323"/>
      <c r="J47" s="323"/>
      <c r="K47" s="323"/>
      <c r="L47" s="189"/>
      <c r="M47" s="358"/>
      <c r="O47" s="183"/>
      <c r="P47" s="184"/>
      <c r="Q47" s="184"/>
      <c r="R47" s="184"/>
      <c r="S47" s="185"/>
      <c r="T47" s="188"/>
      <c r="U47" s="188"/>
      <c r="V47" s="188"/>
      <c r="W47" s="188"/>
      <c r="X47" s="188"/>
    </row>
    <row r="48" spans="1:24" s="182" customFormat="1" ht="15" customHeight="1">
      <c r="A48" s="209"/>
      <c r="B48" s="398" t="s">
        <v>192</v>
      </c>
      <c r="C48" s="667" t="s">
        <v>146</v>
      </c>
      <c r="D48" s="667"/>
      <c r="E48" s="667"/>
      <c r="F48" s="668"/>
      <c r="G48" s="589" t="s">
        <v>166</v>
      </c>
      <c r="H48" s="590"/>
      <c r="I48" s="590"/>
      <c r="J48" s="590"/>
      <c r="K48" s="590"/>
      <c r="L48" s="591"/>
      <c r="M48" s="358"/>
      <c r="O48" s="183"/>
      <c r="P48" s="184"/>
      <c r="Q48" s="184"/>
      <c r="R48" s="184"/>
      <c r="S48" s="185"/>
      <c r="T48" s="188"/>
      <c r="U48" s="188"/>
      <c r="V48" s="188"/>
      <c r="W48" s="188"/>
      <c r="X48" s="188"/>
    </row>
    <row r="49" spans="1:24" s="182" customFormat="1" ht="15" customHeight="1">
      <c r="A49" s="209"/>
      <c r="B49" s="326">
        <v>1</v>
      </c>
      <c r="C49" s="669" t="str">
        <f>VLOOKUP($E$4&amp;"A",catatan,2,0)</f>
        <v>-</v>
      </c>
      <c r="D49" s="669"/>
      <c r="E49" s="669"/>
      <c r="F49" s="669"/>
      <c r="G49" s="632" t="str">
        <f>VLOOKUP($E$4&amp;"A",catatan,3,0)</f>
        <v>-</v>
      </c>
      <c r="H49" s="633"/>
      <c r="I49" s="633"/>
      <c r="J49" s="633"/>
      <c r="K49" s="633"/>
      <c r="L49" s="634"/>
      <c r="M49" s="358"/>
      <c r="O49" s="183"/>
      <c r="P49" s="184"/>
      <c r="Q49" s="184"/>
      <c r="R49" s="184"/>
      <c r="S49" s="185"/>
      <c r="T49" s="188"/>
      <c r="U49" s="188"/>
      <c r="V49" s="188"/>
      <c r="W49" s="188"/>
      <c r="X49" s="188"/>
    </row>
    <row r="50" spans="1:24" s="182" customFormat="1" ht="15" customHeight="1">
      <c r="A50" s="209"/>
      <c r="B50" s="271">
        <v>2</v>
      </c>
      <c r="C50" s="651" t="str">
        <f>VLOOKUP($E$4&amp;"B",catatan,2,0)</f>
        <v>-</v>
      </c>
      <c r="D50" s="651"/>
      <c r="E50" s="651"/>
      <c r="F50" s="651"/>
      <c r="G50" s="629" t="str">
        <f>VLOOKUP($E$4&amp;"B",catatan,3,0)</f>
        <v>-</v>
      </c>
      <c r="H50" s="630"/>
      <c r="I50" s="630"/>
      <c r="J50" s="630"/>
      <c r="K50" s="630"/>
      <c r="L50" s="631"/>
      <c r="M50" s="358"/>
      <c r="O50" s="183"/>
      <c r="P50" s="184"/>
      <c r="Q50" s="184"/>
      <c r="R50" s="184"/>
      <c r="S50" s="185"/>
      <c r="T50" s="188"/>
      <c r="U50" s="188"/>
      <c r="V50" s="188"/>
      <c r="W50" s="188"/>
      <c r="X50" s="188"/>
    </row>
    <row r="51" spans="1:24" s="182" customFormat="1" ht="15" customHeight="1">
      <c r="A51" s="209"/>
      <c r="B51" s="271">
        <v>3</v>
      </c>
      <c r="C51" s="651" t="str">
        <f>VLOOKUP($E$4&amp;"C",catatan,2,0)</f>
        <v>-</v>
      </c>
      <c r="D51" s="651"/>
      <c r="E51" s="651"/>
      <c r="F51" s="651"/>
      <c r="G51" s="629" t="str">
        <f>VLOOKUP($E$4&amp;"C",catatan,3,0)</f>
        <v>-</v>
      </c>
      <c r="H51" s="630"/>
      <c r="I51" s="630"/>
      <c r="J51" s="630"/>
      <c r="K51" s="630"/>
      <c r="L51" s="631"/>
      <c r="M51" s="358"/>
      <c r="O51" s="183"/>
      <c r="P51" s="184"/>
      <c r="Q51" s="184"/>
      <c r="R51" s="184"/>
      <c r="S51" s="185"/>
      <c r="T51" s="188"/>
      <c r="U51" s="188"/>
      <c r="V51" s="188"/>
      <c r="W51" s="188"/>
      <c r="X51" s="188"/>
    </row>
    <row r="52" spans="1:24" s="182" customFormat="1" ht="15" customHeight="1">
      <c r="A52" s="209"/>
      <c r="B52" s="274">
        <v>4</v>
      </c>
      <c r="C52" s="666" t="str">
        <f>VLOOKUP($E$4&amp;"D",catatan,2,0)</f>
        <v>-</v>
      </c>
      <c r="D52" s="666"/>
      <c r="E52" s="666"/>
      <c r="F52" s="666"/>
      <c r="G52" s="635" t="str">
        <f>VLOOKUP($E$4&amp;"D",catatan,3,0)</f>
        <v>-</v>
      </c>
      <c r="H52" s="636"/>
      <c r="I52" s="636"/>
      <c r="J52" s="636"/>
      <c r="K52" s="636"/>
      <c r="L52" s="637"/>
      <c r="M52" s="358"/>
      <c r="O52" s="183"/>
      <c r="P52" s="184"/>
      <c r="Q52" s="184"/>
      <c r="R52" s="184"/>
      <c r="S52" s="185"/>
      <c r="T52" s="188"/>
      <c r="U52" s="188"/>
      <c r="V52" s="188"/>
      <c r="W52" s="188"/>
      <c r="X52" s="188"/>
    </row>
    <row r="53" spans="1:24" s="182" customFormat="1" ht="15" customHeight="1">
      <c r="A53" s="209"/>
      <c r="B53" s="400"/>
      <c r="C53" s="401"/>
      <c r="D53" s="401"/>
      <c r="E53" s="401"/>
      <c r="F53" s="401"/>
      <c r="G53" s="402"/>
      <c r="H53" s="402"/>
      <c r="I53" s="402"/>
      <c r="J53" s="402"/>
      <c r="K53" s="402"/>
      <c r="L53" s="402"/>
      <c r="M53" s="358"/>
      <c r="O53" s="183"/>
      <c r="P53" s="184"/>
      <c r="Q53" s="184"/>
      <c r="R53" s="184"/>
      <c r="S53" s="185"/>
      <c r="T53" s="188"/>
      <c r="U53" s="188"/>
      <c r="V53" s="188"/>
      <c r="W53" s="188"/>
      <c r="X53" s="188"/>
    </row>
    <row r="54" spans="1:24" s="182" customFormat="1" ht="12" customHeight="1">
      <c r="A54" s="209"/>
      <c r="B54" s="189"/>
      <c r="C54" s="189"/>
      <c r="D54" s="189"/>
      <c r="E54" s="189"/>
      <c r="F54" s="189"/>
      <c r="G54" s="189"/>
      <c r="H54" s="189"/>
      <c r="I54" s="189"/>
      <c r="J54" s="189"/>
      <c r="K54" s="189"/>
      <c r="L54" s="189"/>
      <c r="M54" s="358"/>
      <c r="O54" s="183"/>
      <c r="P54" s="184"/>
      <c r="Q54" s="184"/>
      <c r="R54" s="184"/>
      <c r="S54" s="185"/>
      <c r="T54" s="188"/>
      <c r="U54" s="188"/>
      <c r="V54" s="188"/>
      <c r="W54" s="188"/>
      <c r="X54" s="188"/>
    </row>
    <row r="55" spans="1:24" s="182" customFormat="1" ht="15" customHeight="1">
      <c r="A55" s="302" t="s">
        <v>320</v>
      </c>
      <c r="B55" s="215"/>
      <c r="C55" s="215"/>
      <c r="D55" s="215"/>
      <c r="E55" s="216"/>
      <c r="F55" s="216"/>
      <c r="G55" s="216"/>
      <c r="H55" s="189"/>
      <c r="I55" s="189"/>
      <c r="J55" s="189"/>
      <c r="K55" s="189"/>
      <c r="L55" s="189"/>
      <c r="M55" s="358"/>
      <c r="O55" s="183"/>
      <c r="P55" s="184"/>
      <c r="Q55" s="184"/>
      <c r="R55" s="184"/>
      <c r="S55" s="185"/>
      <c r="T55" s="188"/>
      <c r="U55" s="188"/>
      <c r="V55" s="188"/>
      <c r="W55" s="188"/>
      <c r="X55" s="188"/>
    </row>
    <row r="56" spans="1:24" s="182" customFormat="1" ht="15" customHeight="1">
      <c r="A56" s="209"/>
      <c r="B56" s="599" t="s">
        <v>175</v>
      </c>
      <c r="C56" s="600"/>
      <c r="D56" s="403"/>
      <c r="E56" s="332" t="s">
        <v>3</v>
      </c>
      <c r="F56" s="333">
        <f>VLOOKUP($E$4&amp;"A",leggerx1,22,0)</f>
        <v>0</v>
      </c>
      <c r="G56" s="334" t="s">
        <v>178</v>
      </c>
      <c r="H56" s="323"/>
      <c r="I56" s="323"/>
      <c r="J56" s="323"/>
      <c r="K56" s="323"/>
      <c r="L56" s="189"/>
      <c r="M56" s="358"/>
      <c r="O56" s="183"/>
      <c r="P56" s="184"/>
      <c r="Q56" s="184"/>
      <c r="R56" s="184"/>
      <c r="S56" s="185"/>
      <c r="T56" s="188"/>
      <c r="U56" s="188"/>
      <c r="V56" s="188"/>
      <c r="W56" s="188"/>
      <c r="X56" s="188"/>
    </row>
    <row r="57" spans="1:24" s="182" customFormat="1" ht="15" customHeight="1">
      <c r="A57" s="209"/>
      <c r="B57" s="599" t="s">
        <v>176</v>
      </c>
      <c r="C57" s="600"/>
      <c r="D57" s="403"/>
      <c r="E57" s="332" t="s">
        <v>3</v>
      </c>
      <c r="F57" s="333">
        <f>VLOOKUP($E$4&amp;"A",leggerx1,23,0)</f>
        <v>0</v>
      </c>
      <c r="G57" s="334" t="s">
        <v>178</v>
      </c>
      <c r="H57" s="323"/>
      <c r="I57" s="323"/>
      <c r="J57" s="323"/>
      <c r="K57" s="323"/>
      <c r="L57" s="189"/>
      <c r="M57" s="358"/>
      <c r="O57" s="183"/>
      <c r="P57" s="184"/>
      <c r="Q57" s="184"/>
      <c r="R57" s="184"/>
      <c r="S57" s="185"/>
      <c r="T57" s="188"/>
      <c r="U57" s="188"/>
      <c r="V57" s="188"/>
      <c r="W57" s="188"/>
      <c r="X57" s="188"/>
    </row>
    <row r="58" spans="1:24" s="185" customFormat="1" ht="15" customHeight="1">
      <c r="A58" s="209"/>
      <c r="B58" s="599" t="s">
        <v>177</v>
      </c>
      <c r="C58" s="600"/>
      <c r="D58" s="403"/>
      <c r="E58" s="332" t="s">
        <v>3</v>
      </c>
      <c r="F58" s="333">
        <f>VLOOKUP($E$4&amp;"A",leggerx1,24,0)</f>
        <v>0</v>
      </c>
      <c r="G58" s="334" t="s">
        <v>178</v>
      </c>
      <c r="H58" s="323"/>
      <c r="I58" s="323"/>
      <c r="J58" s="323"/>
      <c r="K58" s="323"/>
      <c r="L58" s="189"/>
      <c r="M58" s="358"/>
      <c r="N58" s="182"/>
      <c r="O58" s="351"/>
      <c r="P58" s="352"/>
      <c r="Q58" s="352"/>
      <c r="R58" s="352"/>
      <c r="T58" s="188"/>
      <c r="U58" s="188"/>
      <c r="V58" s="188"/>
      <c r="W58" s="188"/>
      <c r="X58" s="188"/>
    </row>
    <row r="59" spans="1:24" s="185" customFormat="1" ht="15" customHeight="1">
      <c r="A59" s="209"/>
      <c r="B59" s="189"/>
      <c r="C59" s="189"/>
      <c r="D59" s="189"/>
      <c r="E59" s="189"/>
      <c r="F59" s="189"/>
      <c r="G59" s="189"/>
      <c r="H59" s="189"/>
      <c r="I59" s="323"/>
      <c r="J59" s="323"/>
      <c r="K59" s="323"/>
      <c r="L59" s="189"/>
      <c r="M59" s="358"/>
      <c r="N59" s="182"/>
      <c r="O59" s="217"/>
      <c r="P59" s="184"/>
      <c r="Q59" s="184"/>
      <c r="R59" s="239"/>
      <c r="T59" s="188"/>
      <c r="U59" s="188"/>
      <c r="V59" s="188"/>
      <c r="W59" s="188"/>
      <c r="X59" s="188"/>
    </row>
    <row r="60" spans="1:24" s="185" customFormat="1" ht="15" customHeight="1">
      <c r="A60" s="302" t="s">
        <v>321</v>
      </c>
      <c r="B60" s="215"/>
      <c r="C60" s="323"/>
      <c r="D60" s="323"/>
      <c r="E60" s="323"/>
      <c r="F60" s="323"/>
      <c r="G60" s="323"/>
      <c r="H60" s="323"/>
      <c r="I60" s="323"/>
      <c r="J60" s="323"/>
      <c r="K60" s="323"/>
      <c r="L60" s="189"/>
      <c r="M60" s="358"/>
      <c r="N60" s="182"/>
      <c r="O60" s="217"/>
      <c r="P60" s="184"/>
      <c r="Q60" s="184"/>
      <c r="R60" s="239"/>
      <c r="T60" s="188"/>
      <c r="U60" s="188"/>
      <c r="V60" s="188"/>
      <c r="W60" s="188"/>
      <c r="X60" s="188"/>
    </row>
    <row r="61" spans="1:24" s="185" customFormat="1" ht="27" customHeight="1">
      <c r="A61" s="209"/>
      <c r="B61" s="695" t="str">
        <f>VLOOKUP(E4&amp;"A",leger10,30,0)</f>
        <v>Luangkan waktu untuk belajar, hadir di kelas, rajin ke sekolah, &amp; perbaiki mapel yang belum tuntas !</v>
      </c>
      <c r="C61" s="696"/>
      <c r="D61" s="696"/>
      <c r="E61" s="696"/>
      <c r="F61" s="696"/>
      <c r="G61" s="696"/>
      <c r="H61" s="696"/>
      <c r="I61" s="696"/>
      <c r="J61" s="696"/>
      <c r="K61" s="696"/>
      <c r="L61" s="697"/>
      <c r="M61" s="358"/>
      <c r="N61" s="182"/>
      <c r="O61" s="217"/>
      <c r="P61" s="184"/>
      <c r="Q61" s="184"/>
      <c r="R61" s="239"/>
      <c r="T61" s="188"/>
      <c r="U61" s="188"/>
      <c r="V61" s="188"/>
      <c r="W61" s="188"/>
      <c r="X61" s="188"/>
    </row>
    <row r="62" spans="1:24" s="185" customFormat="1" ht="15" customHeight="1">
      <c r="A62" s="209"/>
      <c r="B62" s="323"/>
      <c r="C62" s="323"/>
      <c r="D62" s="323"/>
      <c r="E62" s="323"/>
      <c r="F62" s="323"/>
      <c r="G62" s="323"/>
      <c r="H62" s="323"/>
      <c r="I62" s="323"/>
      <c r="J62" s="323"/>
      <c r="K62" s="323"/>
      <c r="L62" s="189"/>
      <c r="M62" s="358"/>
      <c r="N62" s="182"/>
      <c r="O62" s="217"/>
      <c r="P62" s="184"/>
      <c r="Q62" s="184"/>
      <c r="R62" s="239"/>
      <c r="T62" s="188"/>
      <c r="U62" s="188"/>
      <c r="V62" s="188"/>
      <c r="W62" s="188"/>
      <c r="X62" s="188"/>
    </row>
    <row r="63" spans="1:24" s="185" customFormat="1" ht="15" customHeight="1">
      <c r="A63" s="302" t="s">
        <v>322</v>
      </c>
      <c r="B63" s="215"/>
      <c r="C63" s="323"/>
      <c r="D63" s="323"/>
      <c r="E63" s="323"/>
      <c r="F63" s="323"/>
      <c r="G63" s="323"/>
      <c r="H63" s="323"/>
      <c r="I63" s="323"/>
      <c r="J63" s="323"/>
      <c r="K63" s="323"/>
      <c r="L63" s="189"/>
      <c r="M63" s="358"/>
      <c r="N63" s="182"/>
      <c r="O63" s="217"/>
      <c r="P63" s="184"/>
      <c r="Q63" s="184"/>
      <c r="R63" s="239"/>
      <c r="T63" s="188"/>
      <c r="U63" s="188"/>
      <c r="V63" s="188"/>
      <c r="W63" s="188"/>
      <c r="X63" s="188"/>
    </row>
    <row r="64" spans="1:24" s="185" customFormat="1" ht="27" customHeight="1">
      <c r="A64" s="209"/>
      <c r="B64" s="698"/>
      <c r="C64" s="699"/>
      <c r="D64" s="699"/>
      <c r="E64" s="699"/>
      <c r="F64" s="699"/>
      <c r="G64" s="699"/>
      <c r="H64" s="699"/>
      <c r="I64" s="699"/>
      <c r="J64" s="699"/>
      <c r="K64" s="699"/>
      <c r="L64" s="700"/>
      <c r="M64" s="358"/>
      <c r="N64" s="182"/>
      <c r="O64" s="217"/>
      <c r="P64" s="184"/>
      <c r="Q64" s="184"/>
      <c r="R64" s="239"/>
      <c r="T64" s="188"/>
      <c r="U64" s="188"/>
      <c r="V64" s="188"/>
      <c r="W64" s="188"/>
      <c r="X64" s="188"/>
    </row>
    <row r="65" spans="1:24" s="185" customFormat="1" ht="15" customHeight="1">
      <c r="A65" s="337"/>
      <c r="B65" s="194"/>
      <c r="C65" s="194"/>
      <c r="D65" s="194"/>
      <c r="E65" s="194"/>
      <c r="F65" s="194"/>
      <c r="G65" s="194"/>
      <c r="H65" s="194"/>
      <c r="I65" s="194"/>
      <c r="J65" s="194"/>
      <c r="K65" s="194"/>
      <c r="L65" s="194"/>
      <c r="M65" s="358"/>
      <c r="N65" s="182"/>
      <c r="O65" s="183"/>
      <c r="P65" s="184"/>
      <c r="Q65" s="184"/>
      <c r="R65" s="184"/>
      <c r="T65" s="188"/>
      <c r="U65" s="188"/>
      <c r="V65" s="188"/>
      <c r="W65" s="188"/>
      <c r="X65" s="188"/>
    </row>
    <row r="66" spans="1:24" s="185" customFormat="1" ht="20.100000000000001" customHeight="1">
      <c r="A66" s="337"/>
      <c r="B66" s="404"/>
      <c r="C66" s="405" t="s">
        <v>350</v>
      </c>
      <c r="D66" s="688">
        <f>VLOOKUP(E4&amp;"A",leger10,29,0)</f>
        <v>24</v>
      </c>
      <c r="E66" s="689"/>
      <c r="F66" s="194"/>
      <c r="G66" s="194"/>
      <c r="H66" s="194"/>
      <c r="I66" s="194"/>
      <c r="J66" s="194"/>
      <c r="K66" s="194"/>
      <c r="L66" s="194"/>
      <c r="M66" s="358"/>
      <c r="N66" s="182"/>
      <c r="O66" s="183"/>
      <c r="P66" s="184"/>
      <c r="Q66" s="184"/>
      <c r="R66" s="184"/>
      <c r="T66" s="188"/>
      <c r="U66" s="188"/>
      <c r="V66" s="188"/>
      <c r="W66" s="188"/>
      <c r="X66" s="188"/>
    </row>
    <row r="67" spans="1:24" s="185" customFormat="1" ht="15" customHeight="1">
      <c r="A67" s="337"/>
      <c r="B67" s="338"/>
      <c r="C67" s="338"/>
      <c r="D67" s="338"/>
      <c r="E67" s="338"/>
      <c r="F67" s="338"/>
      <c r="G67" s="338"/>
      <c r="H67" s="338"/>
      <c r="I67" s="338"/>
      <c r="J67" s="338"/>
      <c r="K67" s="338"/>
      <c r="L67" s="194"/>
      <c r="M67" s="358"/>
      <c r="N67" s="182"/>
      <c r="O67" s="183"/>
      <c r="P67" s="184"/>
      <c r="Q67" s="184"/>
      <c r="R67" s="184"/>
      <c r="T67" s="188"/>
      <c r="U67" s="188"/>
      <c r="V67" s="188"/>
      <c r="W67" s="188"/>
      <c r="X67" s="188"/>
    </row>
    <row r="68" spans="1:24" s="185" customFormat="1" ht="15" customHeight="1">
      <c r="A68" s="209"/>
      <c r="B68" s="323"/>
      <c r="C68" s="339" t="s">
        <v>39</v>
      </c>
      <c r="D68" s="339"/>
      <c r="E68" s="193"/>
      <c r="F68" s="190"/>
      <c r="G68" s="190"/>
      <c r="H68" s="190"/>
      <c r="I68" s="189"/>
      <c r="J68" s="340" t="str">
        <f>RAPORT!J112</f>
        <v>Banjaran,  14 Desember 2018</v>
      </c>
      <c r="K68" s="323"/>
      <c r="L68" s="189"/>
      <c r="M68" s="358"/>
      <c r="N68" s="182"/>
      <c r="O68" s="183"/>
      <c r="P68" s="184"/>
      <c r="Q68" s="184"/>
      <c r="R68" s="184"/>
      <c r="T68" s="188"/>
      <c r="U68" s="188"/>
      <c r="V68" s="188"/>
      <c r="W68" s="188"/>
      <c r="X68" s="188"/>
    </row>
    <row r="69" spans="1:24" s="185" customFormat="1" ht="15" customHeight="1">
      <c r="A69" s="209"/>
      <c r="B69" s="189"/>
      <c r="C69" s="339" t="s">
        <v>46</v>
      </c>
      <c r="D69" s="339"/>
      <c r="E69" s="189"/>
      <c r="F69" s="189"/>
      <c r="G69" s="189"/>
      <c r="H69" s="189"/>
      <c r="I69" s="190"/>
      <c r="J69" s="339" t="s">
        <v>2</v>
      </c>
      <c r="K69" s="189"/>
      <c r="L69" s="189"/>
      <c r="M69" s="358"/>
      <c r="N69" s="182"/>
      <c r="O69" s="183"/>
      <c r="P69" s="184"/>
      <c r="Q69" s="184"/>
      <c r="R69" s="184"/>
      <c r="T69" s="188"/>
      <c r="U69" s="188"/>
      <c r="V69" s="188"/>
      <c r="W69" s="188"/>
      <c r="X69" s="188"/>
    </row>
    <row r="70" spans="1:24" s="185" customFormat="1" ht="15" customHeight="1">
      <c r="A70" s="209"/>
      <c r="B70" s="189"/>
      <c r="C70" s="339"/>
      <c r="D70" s="339"/>
      <c r="E70" s="189"/>
      <c r="F70" s="189"/>
      <c r="G70" s="189"/>
      <c r="H70" s="189"/>
      <c r="I70" s="341"/>
      <c r="J70" s="339"/>
      <c r="K70" s="189"/>
      <c r="L70" s="189"/>
      <c r="M70" s="358"/>
      <c r="N70" s="182"/>
      <c r="O70" s="183"/>
      <c r="P70" s="184"/>
      <c r="Q70" s="184"/>
      <c r="R70" s="184"/>
      <c r="T70" s="188"/>
      <c r="U70" s="188"/>
      <c r="V70" s="188"/>
      <c r="W70" s="188"/>
      <c r="X70" s="188"/>
    </row>
    <row r="71" spans="1:24" s="185" customFormat="1" ht="15" customHeight="1">
      <c r="A71" s="209"/>
      <c r="B71" s="189"/>
      <c r="C71" s="339"/>
      <c r="D71" s="339"/>
      <c r="E71" s="189"/>
      <c r="F71" s="189"/>
      <c r="G71" s="189"/>
      <c r="H71" s="189"/>
      <c r="I71" s="341"/>
      <c r="J71" s="339"/>
      <c r="K71" s="189"/>
      <c r="L71" s="189"/>
      <c r="M71" s="358"/>
      <c r="N71" s="182"/>
      <c r="O71" s="183"/>
      <c r="P71" s="184"/>
      <c r="Q71" s="184"/>
      <c r="R71" s="184"/>
      <c r="T71" s="188"/>
      <c r="U71" s="188"/>
      <c r="V71" s="188"/>
      <c r="W71" s="188"/>
      <c r="X71" s="188"/>
    </row>
    <row r="72" spans="1:24" s="185" customFormat="1" ht="15" customHeight="1">
      <c r="A72" s="209"/>
      <c r="B72" s="323"/>
      <c r="C72" s="339"/>
      <c r="D72" s="339"/>
      <c r="E72" s="189"/>
      <c r="F72" s="189"/>
      <c r="G72" s="189"/>
      <c r="H72" s="189"/>
      <c r="I72" s="341"/>
      <c r="J72" s="339"/>
      <c r="K72" s="323"/>
      <c r="L72" s="189"/>
      <c r="M72" s="358"/>
      <c r="N72" s="182"/>
      <c r="O72" s="183"/>
      <c r="P72" s="184"/>
      <c r="Q72" s="184"/>
      <c r="R72" s="184"/>
      <c r="T72" s="188"/>
      <c r="U72" s="188"/>
      <c r="V72" s="188"/>
      <c r="W72" s="188"/>
      <c r="X72" s="188"/>
    </row>
    <row r="73" spans="1:24" s="185" customFormat="1" ht="15" customHeight="1">
      <c r="A73" s="209"/>
      <c r="B73" s="323"/>
      <c r="C73" s="342" t="s">
        <v>157</v>
      </c>
      <c r="D73" s="342"/>
      <c r="E73" s="189"/>
      <c r="F73" s="189"/>
      <c r="G73" s="189"/>
      <c r="H73" s="189"/>
      <c r="I73" s="341"/>
      <c r="J73" s="343" t="str">
        <f>Biodata!E4</f>
        <v>Harun Arrosid, S.Pd.I</v>
      </c>
      <c r="K73" s="323"/>
      <c r="L73" s="189"/>
      <c r="M73" s="358"/>
      <c r="N73" s="182"/>
      <c r="O73" s="183"/>
      <c r="P73" s="184"/>
      <c r="Q73" s="184"/>
      <c r="R73" s="184"/>
      <c r="T73" s="188"/>
      <c r="U73" s="188"/>
      <c r="V73" s="188"/>
      <c r="W73" s="188"/>
      <c r="X73" s="188"/>
    </row>
    <row r="74" spans="1:24" s="185" customFormat="1" ht="15" customHeight="1">
      <c r="A74" s="209"/>
      <c r="B74" s="216"/>
      <c r="C74" s="189"/>
      <c r="D74" s="189"/>
      <c r="E74" s="189"/>
      <c r="F74" s="189"/>
      <c r="G74" s="189"/>
      <c r="H74" s="189"/>
      <c r="I74" s="344"/>
      <c r="J74" s="406" t="str">
        <f>"NIP :"&amp;Biodata!E5</f>
        <v>NIP :--</v>
      </c>
      <c r="K74" s="216"/>
      <c r="L74" s="189"/>
      <c r="M74" s="358"/>
      <c r="N74" s="182"/>
      <c r="O74" s="183"/>
      <c r="P74" s="184"/>
      <c r="Q74" s="184"/>
      <c r="R74" s="184"/>
      <c r="T74" s="188"/>
      <c r="U74" s="188"/>
      <c r="V74" s="188"/>
      <c r="W74" s="188"/>
      <c r="X74" s="188"/>
    </row>
    <row r="75" spans="1:24" s="185" customFormat="1" ht="15" customHeight="1">
      <c r="A75" s="209"/>
      <c r="B75" s="216"/>
      <c r="C75" s="189"/>
      <c r="D75" s="189"/>
      <c r="E75" s="189"/>
      <c r="F75" s="189"/>
      <c r="G75" s="189"/>
      <c r="H75" s="189"/>
      <c r="I75" s="344"/>
      <c r="J75" s="406"/>
      <c r="K75" s="216"/>
      <c r="L75" s="189"/>
      <c r="M75" s="358"/>
      <c r="N75" s="182"/>
      <c r="O75" s="183"/>
      <c r="P75" s="184"/>
      <c r="Q75" s="184"/>
      <c r="R75" s="184"/>
      <c r="T75" s="188"/>
      <c r="U75" s="188"/>
      <c r="V75" s="188"/>
      <c r="W75" s="188"/>
      <c r="X75" s="188"/>
    </row>
    <row r="76" spans="1:24" s="185" customFormat="1" ht="15" customHeight="1">
      <c r="A76" s="209"/>
      <c r="B76" s="216"/>
      <c r="C76" s="189"/>
      <c r="D76" s="189"/>
      <c r="E76" s="189"/>
      <c r="F76" s="189"/>
      <c r="G76" s="189"/>
      <c r="H76" s="189"/>
      <c r="I76" s="344"/>
      <c r="J76" s="406"/>
      <c r="K76" s="216"/>
      <c r="L76" s="189"/>
      <c r="M76" s="358"/>
      <c r="N76" s="182"/>
      <c r="O76" s="183"/>
      <c r="P76" s="184"/>
      <c r="Q76" s="184"/>
      <c r="R76" s="184"/>
      <c r="T76" s="188"/>
      <c r="U76" s="188"/>
      <c r="V76" s="188"/>
      <c r="W76" s="188"/>
      <c r="X76" s="188"/>
    </row>
    <row r="77" spans="1:24" s="185" customFormat="1" ht="15" customHeight="1">
      <c r="A77" s="209"/>
      <c r="B77" s="189"/>
      <c r="C77" s="189"/>
      <c r="D77" s="189"/>
      <c r="E77" s="189"/>
      <c r="F77" s="216"/>
      <c r="G77" s="339"/>
      <c r="H77" s="407" t="s">
        <v>39</v>
      </c>
      <c r="I77" s="341"/>
      <c r="J77" s="189"/>
      <c r="K77" s="189"/>
      <c r="L77" s="189"/>
      <c r="M77" s="358"/>
      <c r="N77" s="182"/>
      <c r="O77" s="183"/>
      <c r="P77" s="184"/>
      <c r="Q77" s="184"/>
      <c r="R77" s="184"/>
      <c r="T77" s="188"/>
      <c r="U77" s="188"/>
      <c r="V77" s="188"/>
      <c r="W77" s="188"/>
      <c r="X77" s="188"/>
    </row>
    <row r="78" spans="1:24" s="182" customFormat="1" ht="15" customHeight="1">
      <c r="A78" s="209"/>
      <c r="B78" s="189"/>
      <c r="C78" s="189"/>
      <c r="D78" s="189"/>
      <c r="E78" s="189"/>
      <c r="F78" s="189"/>
      <c r="G78" s="339"/>
      <c r="H78" s="407" t="s">
        <v>1</v>
      </c>
      <c r="I78" s="189"/>
      <c r="J78" s="189"/>
      <c r="K78" s="189"/>
      <c r="L78" s="189"/>
      <c r="M78" s="358"/>
      <c r="O78" s="183"/>
      <c r="P78" s="184"/>
      <c r="Q78" s="184"/>
      <c r="R78" s="184"/>
      <c r="S78" s="185"/>
      <c r="T78" s="188"/>
      <c r="U78" s="188"/>
      <c r="V78" s="188"/>
      <c r="W78" s="188"/>
      <c r="X78" s="188"/>
    </row>
    <row r="79" spans="1:24" s="182" customFormat="1" ht="15" customHeight="1">
      <c r="A79" s="209"/>
      <c r="B79" s="189"/>
      <c r="C79" s="189"/>
      <c r="D79" s="189"/>
      <c r="E79" s="189"/>
      <c r="F79" s="189"/>
      <c r="G79" s="346"/>
      <c r="H79" s="189"/>
      <c r="I79" s="189"/>
      <c r="J79" s="189"/>
      <c r="K79" s="189"/>
      <c r="L79" s="189"/>
      <c r="M79" s="358"/>
      <c r="O79" s="183"/>
      <c r="P79" s="184"/>
      <c r="Q79" s="184"/>
      <c r="R79" s="184"/>
      <c r="S79" s="185"/>
      <c r="T79" s="188"/>
      <c r="U79" s="188"/>
      <c r="V79" s="188"/>
      <c r="W79" s="188"/>
      <c r="X79" s="188"/>
    </row>
    <row r="80" spans="1:24" s="182" customFormat="1" ht="15" customHeight="1">
      <c r="A80" s="209"/>
      <c r="B80" s="189"/>
      <c r="C80" s="189"/>
      <c r="D80" s="189"/>
      <c r="E80" s="189"/>
      <c r="F80" s="341"/>
      <c r="G80" s="339"/>
      <c r="H80" s="189"/>
      <c r="I80" s="189"/>
      <c r="J80" s="189"/>
      <c r="K80" s="189"/>
      <c r="L80" s="189"/>
      <c r="M80" s="358"/>
      <c r="O80" s="183"/>
      <c r="P80" s="184"/>
      <c r="Q80" s="184"/>
      <c r="R80" s="184"/>
      <c r="S80" s="185"/>
      <c r="T80" s="188"/>
      <c r="U80" s="188"/>
      <c r="V80" s="188"/>
      <c r="W80" s="188"/>
      <c r="X80" s="188"/>
    </row>
    <row r="81" spans="1:24" s="182" customFormat="1" ht="15" customHeight="1">
      <c r="A81" s="209"/>
      <c r="B81" s="189"/>
      <c r="C81" s="189"/>
      <c r="D81" s="189"/>
      <c r="E81" s="189"/>
      <c r="F81" s="341"/>
      <c r="G81" s="339"/>
      <c r="H81" s="189"/>
      <c r="I81" s="189"/>
      <c r="J81" s="189"/>
      <c r="K81" s="189"/>
      <c r="L81" s="189"/>
      <c r="M81" s="358"/>
      <c r="O81" s="183"/>
      <c r="P81" s="184"/>
      <c r="Q81" s="184"/>
      <c r="R81" s="184"/>
      <c r="S81" s="185"/>
      <c r="T81" s="188"/>
      <c r="U81" s="188"/>
      <c r="V81" s="188"/>
      <c r="W81" s="188"/>
      <c r="X81" s="188"/>
    </row>
    <row r="82" spans="1:24" s="182" customFormat="1" ht="15" customHeight="1">
      <c r="A82" s="209"/>
      <c r="B82" s="189"/>
      <c r="C82" s="189"/>
      <c r="D82" s="189"/>
      <c r="E82" s="189"/>
      <c r="F82" s="341"/>
      <c r="G82" s="347"/>
      <c r="H82" s="408" t="s">
        <v>37</v>
      </c>
      <c r="I82" s="189"/>
      <c r="J82" s="189"/>
      <c r="K82" s="193"/>
      <c r="L82" s="189"/>
      <c r="M82" s="358"/>
      <c r="O82" s="183"/>
      <c r="P82" s="184"/>
      <c r="Q82" s="184"/>
      <c r="R82" s="184"/>
      <c r="S82" s="185"/>
      <c r="T82" s="188"/>
      <c r="U82" s="188"/>
      <c r="V82" s="188"/>
      <c r="W82" s="188"/>
      <c r="X82" s="188"/>
    </row>
    <row r="83" spans="1:24" s="182" customFormat="1" ht="15" customHeight="1">
      <c r="A83" s="209"/>
      <c r="B83" s="189"/>
      <c r="C83" s="189"/>
      <c r="D83" s="189"/>
      <c r="E83" s="189"/>
      <c r="F83" s="189"/>
      <c r="G83" s="10"/>
      <c r="H83" s="8" t="s">
        <v>144</v>
      </c>
      <c r="I83" s="189"/>
      <c r="J83" s="189"/>
      <c r="K83" s="189"/>
      <c r="L83" s="189"/>
      <c r="M83" s="358"/>
      <c r="O83" s="183"/>
      <c r="P83" s="184"/>
      <c r="Q83" s="184"/>
      <c r="R83" s="184"/>
      <c r="S83" s="185"/>
      <c r="T83" s="188"/>
      <c r="U83" s="188"/>
      <c r="V83" s="188"/>
      <c r="W83" s="188"/>
      <c r="X83" s="188"/>
    </row>
    <row r="84" spans="1:24" s="182" customFormat="1" ht="15" customHeight="1">
      <c r="A84" s="209"/>
      <c r="B84" s="189"/>
      <c r="C84" s="189"/>
      <c r="D84" s="189"/>
      <c r="E84" s="189"/>
      <c r="F84" s="189"/>
      <c r="G84" s="188"/>
      <c r="H84" s="189"/>
      <c r="I84" s="189"/>
      <c r="J84" s="189"/>
      <c r="K84" s="189"/>
      <c r="L84" s="189"/>
      <c r="M84" s="358"/>
      <c r="O84" s="183"/>
      <c r="P84" s="184"/>
      <c r="Q84" s="184"/>
      <c r="R84" s="184"/>
      <c r="S84" s="185"/>
      <c r="T84" s="188"/>
      <c r="U84" s="188"/>
      <c r="V84" s="188"/>
      <c r="W84" s="188"/>
      <c r="X84" s="188"/>
    </row>
    <row r="85" spans="1:24" s="182" customFormat="1" ht="15" customHeight="1">
      <c r="A85" s="348"/>
      <c r="B85" s="349"/>
      <c r="C85" s="349"/>
      <c r="D85" s="349"/>
      <c r="E85" s="349"/>
      <c r="F85" s="349"/>
      <c r="G85" s="349"/>
      <c r="H85" s="349"/>
      <c r="I85" s="349"/>
      <c r="J85" s="349"/>
      <c r="K85" s="349"/>
      <c r="L85" s="349"/>
      <c r="M85" s="358"/>
      <c r="O85" s="183"/>
      <c r="P85" s="184"/>
      <c r="Q85" s="184"/>
      <c r="R85" s="184"/>
      <c r="S85" s="185"/>
      <c r="T85" s="188"/>
      <c r="U85" s="188"/>
      <c r="V85" s="188"/>
      <c r="W85" s="188"/>
      <c r="X85" s="188"/>
    </row>
    <row r="86" spans="1:24" s="182" customFormat="1" ht="15" customHeight="1">
      <c r="A86" s="348"/>
      <c r="B86" s="349"/>
      <c r="C86" s="349"/>
      <c r="D86" s="349"/>
      <c r="E86" s="349"/>
      <c r="F86" s="349"/>
      <c r="G86" s="349"/>
      <c r="H86" s="349"/>
      <c r="I86" s="349"/>
      <c r="J86" s="349"/>
      <c r="K86" s="349"/>
      <c r="L86" s="349"/>
      <c r="M86" s="358"/>
      <c r="O86" s="183"/>
      <c r="P86" s="184"/>
      <c r="Q86" s="184"/>
      <c r="R86" s="184"/>
      <c r="S86" s="185"/>
      <c r="T86" s="188"/>
      <c r="U86" s="188"/>
      <c r="V86" s="188"/>
      <c r="W86" s="188"/>
      <c r="X86" s="188"/>
    </row>
    <row r="87" spans="1:24" s="182" customFormat="1" ht="15" customHeight="1">
      <c r="A87" s="348"/>
      <c r="B87" s="349"/>
      <c r="C87" s="349"/>
      <c r="D87" s="349"/>
      <c r="E87" s="349"/>
      <c r="F87" s="349"/>
      <c r="G87" s="349"/>
      <c r="H87" s="349"/>
      <c r="I87" s="349"/>
      <c r="J87" s="349"/>
      <c r="K87" s="349"/>
      <c r="L87" s="349"/>
      <c r="M87" s="358"/>
      <c r="O87" s="183"/>
      <c r="P87" s="184"/>
      <c r="Q87" s="184"/>
      <c r="R87" s="184"/>
      <c r="S87" s="185"/>
      <c r="T87" s="188"/>
      <c r="U87" s="188"/>
      <c r="V87" s="188"/>
      <c r="W87" s="188"/>
      <c r="X87" s="188"/>
    </row>
    <row r="88" spans="1:24" s="182" customFormat="1" ht="15" customHeight="1">
      <c r="A88" s="348"/>
      <c r="B88" s="349"/>
      <c r="C88" s="349"/>
      <c r="D88" s="349"/>
      <c r="E88" s="349"/>
      <c r="F88" s="349"/>
      <c r="G88" s="349"/>
      <c r="H88" s="349"/>
      <c r="I88" s="349"/>
      <c r="J88" s="349"/>
      <c r="K88" s="349"/>
      <c r="L88" s="349"/>
      <c r="M88" s="358"/>
      <c r="O88" s="183"/>
      <c r="P88" s="184"/>
      <c r="Q88" s="184"/>
      <c r="R88" s="184"/>
      <c r="S88" s="185"/>
      <c r="T88" s="188"/>
      <c r="U88" s="188"/>
      <c r="V88" s="188"/>
      <c r="W88" s="188"/>
      <c r="X88" s="188"/>
    </row>
    <row r="89" spans="1:24" s="182" customFormat="1" ht="15" customHeight="1">
      <c r="A89" s="348"/>
      <c r="B89" s="349"/>
      <c r="C89" s="349"/>
      <c r="D89" s="349"/>
      <c r="E89" s="349"/>
      <c r="F89" s="349"/>
      <c r="G89" s="349"/>
      <c r="H89" s="349"/>
      <c r="I89" s="349"/>
      <c r="J89" s="349"/>
      <c r="K89" s="349"/>
      <c r="L89" s="349"/>
      <c r="M89" s="358"/>
      <c r="O89" s="183"/>
      <c r="P89" s="184"/>
      <c r="Q89" s="184"/>
      <c r="R89" s="184"/>
      <c r="S89" s="185"/>
      <c r="T89" s="188"/>
      <c r="U89" s="188"/>
      <c r="V89" s="188"/>
      <c r="W89" s="188"/>
      <c r="X89" s="188"/>
    </row>
    <row r="90" spans="1:24" s="182" customFormat="1" ht="15" customHeight="1">
      <c r="A90" s="348"/>
      <c r="B90" s="349"/>
      <c r="C90" s="349"/>
      <c r="D90" s="349"/>
      <c r="E90" s="349"/>
      <c r="F90" s="349"/>
      <c r="G90" s="349"/>
      <c r="H90" s="349"/>
      <c r="I90" s="349"/>
      <c r="J90" s="349"/>
      <c r="K90" s="349"/>
      <c r="L90" s="349"/>
      <c r="M90" s="358"/>
      <c r="O90" s="183"/>
      <c r="P90" s="184"/>
      <c r="Q90" s="184"/>
      <c r="R90" s="184"/>
      <c r="S90" s="185"/>
      <c r="T90" s="188"/>
      <c r="U90" s="188"/>
      <c r="V90" s="188"/>
      <c r="W90" s="188"/>
      <c r="X90" s="188"/>
    </row>
    <row r="91" spans="1:24" s="182" customFormat="1" ht="15" customHeight="1">
      <c r="A91" s="348"/>
      <c r="B91" s="349"/>
      <c r="C91" s="349"/>
      <c r="D91" s="349"/>
      <c r="E91" s="349"/>
      <c r="F91" s="349"/>
      <c r="G91" s="349"/>
      <c r="H91" s="349"/>
      <c r="I91" s="349"/>
      <c r="J91" s="349"/>
      <c r="K91" s="349"/>
      <c r="L91" s="349"/>
      <c r="M91" s="358"/>
      <c r="O91" s="183"/>
      <c r="P91" s="184"/>
      <c r="Q91" s="184"/>
      <c r="R91" s="184"/>
      <c r="S91" s="185"/>
      <c r="T91" s="188"/>
      <c r="U91" s="188"/>
      <c r="V91" s="188"/>
      <c r="W91" s="188"/>
      <c r="X91" s="188"/>
    </row>
    <row r="92" spans="1:24" s="182" customFormat="1" ht="15" customHeight="1">
      <c r="A92" s="348"/>
      <c r="B92" s="349"/>
      <c r="C92" s="349"/>
      <c r="D92" s="349"/>
      <c r="E92" s="349"/>
      <c r="F92" s="349"/>
      <c r="G92" s="349"/>
      <c r="H92" s="349"/>
      <c r="I92" s="349"/>
      <c r="J92" s="349"/>
      <c r="K92" s="349"/>
      <c r="L92" s="349"/>
      <c r="M92" s="358"/>
      <c r="O92" s="183"/>
      <c r="P92" s="184"/>
      <c r="Q92" s="184"/>
      <c r="R92" s="184"/>
      <c r="S92" s="185"/>
      <c r="T92" s="188"/>
      <c r="U92" s="188"/>
      <c r="V92" s="188"/>
      <c r="W92" s="188"/>
      <c r="X92" s="188"/>
    </row>
    <row r="93" spans="1:24" s="182" customFormat="1" ht="15" customHeight="1">
      <c r="A93" s="348"/>
      <c r="B93" s="349"/>
      <c r="C93" s="349"/>
      <c r="D93" s="349"/>
      <c r="E93" s="349"/>
      <c r="F93" s="349"/>
      <c r="G93" s="349"/>
      <c r="H93" s="349"/>
      <c r="I93" s="349"/>
      <c r="J93" s="349"/>
      <c r="K93" s="349"/>
      <c r="L93" s="349"/>
      <c r="M93" s="358"/>
      <c r="O93" s="183"/>
      <c r="P93" s="184"/>
      <c r="Q93" s="184"/>
      <c r="R93" s="184"/>
      <c r="S93" s="185"/>
      <c r="T93" s="188"/>
      <c r="U93" s="188"/>
      <c r="V93" s="188"/>
      <c r="W93" s="188"/>
      <c r="X93" s="188"/>
    </row>
    <row r="94" spans="1:24" s="182" customFormat="1" ht="15" customHeight="1">
      <c r="A94" s="348"/>
      <c r="B94" s="349"/>
      <c r="C94" s="349"/>
      <c r="D94" s="349"/>
      <c r="E94" s="349"/>
      <c r="F94" s="349"/>
      <c r="G94" s="349"/>
      <c r="H94" s="349"/>
      <c r="I94" s="349"/>
      <c r="J94" s="349"/>
      <c r="K94" s="349"/>
      <c r="L94" s="349"/>
      <c r="M94" s="358"/>
      <c r="O94" s="183"/>
      <c r="P94" s="184"/>
      <c r="Q94" s="184"/>
      <c r="R94" s="184"/>
      <c r="S94" s="185"/>
      <c r="T94" s="188"/>
      <c r="U94" s="188"/>
      <c r="V94" s="188"/>
      <c r="W94" s="188"/>
      <c r="X94" s="188"/>
    </row>
    <row r="95" spans="1:24" s="182" customFormat="1" ht="15" customHeight="1">
      <c r="A95" s="348"/>
      <c r="B95" s="349"/>
      <c r="C95" s="349"/>
      <c r="D95" s="349"/>
      <c r="E95" s="349"/>
      <c r="F95" s="349"/>
      <c r="G95" s="349"/>
      <c r="H95" s="349"/>
      <c r="I95" s="349"/>
      <c r="J95" s="349"/>
      <c r="K95" s="349"/>
      <c r="L95" s="349"/>
      <c r="M95" s="358"/>
      <c r="O95" s="183"/>
      <c r="P95" s="184"/>
      <c r="Q95" s="184"/>
      <c r="R95" s="184"/>
      <c r="S95" s="185"/>
      <c r="T95" s="188"/>
      <c r="U95" s="188"/>
      <c r="V95" s="188"/>
      <c r="W95" s="188"/>
      <c r="X95" s="188"/>
    </row>
    <row r="96" spans="1:24" s="182" customFormat="1" ht="15" customHeight="1">
      <c r="A96" s="348"/>
      <c r="B96" s="349"/>
      <c r="C96" s="349"/>
      <c r="D96" s="349"/>
      <c r="E96" s="349"/>
      <c r="F96" s="349"/>
      <c r="G96" s="349"/>
      <c r="H96" s="349"/>
      <c r="I96" s="349"/>
      <c r="J96" s="349"/>
      <c r="K96" s="349"/>
      <c r="L96" s="349"/>
      <c r="M96" s="358"/>
      <c r="O96" s="183"/>
      <c r="P96" s="184"/>
      <c r="Q96" s="184"/>
      <c r="R96" s="184"/>
      <c r="S96" s="185"/>
      <c r="T96" s="188"/>
      <c r="U96" s="188"/>
      <c r="V96" s="188"/>
      <c r="W96" s="188"/>
      <c r="X96" s="188"/>
    </row>
    <row r="97" spans="1:24" s="182" customFormat="1" ht="15" customHeight="1">
      <c r="A97" s="348"/>
      <c r="B97" s="349"/>
      <c r="C97" s="349"/>
      <c r="D97" s="349"/>
      <c r="E97" s="349"/>
      <c r="F97" s="349"/>
      <c r="G97" s="349"/>
      <c r="H97" s="349"/>
      <c r="I97" s="349"/>
      <c r="J97" s="349"/>
      <c r="K97" s="349"/>
      <c r="L97" s="349"/>
      <c r="M97" s="358"/>
      <c r="O97" s="183"/>
      <c r="P97" s="184"/>
      <c r="Q97" s="184"/>
      <c r="R97" s="184"/>
      <c r="S97" s="185"/>
      <c r="T97" s="188"/>
      <c r="U97" s="188"/>
      <c r="V97" s="188"/>
      <c r="W97" s="188"/>
      <c r="X97" s="188"/>
    </row>
    <row r="98" spans="1:24" s="182" customFormat="1" ht="15" customHeight="1">
      <c r="A98" s="348"/>
      <c r="B98" s="349"/>
      <c r="C98" s="349"/>
      <c r="D98" s="349"/>
      <c r="E98" s="349"/>
      <c r="F98" s="349"/>
      <c r="G98" s="349"/>
      <c r="H98" s="349"/>
      <c r="I98" s="349"/>
      <c r="J98" s="349"/>
      <c r="K98" s="349"/>
      <c r="L98" s="349"/>
      <c r="M98" s="358"/>
      <c r="O98" s="183"/>
      <c r="P98" s="184"/>
      <c r="Q98" s="184"/>
      <c r="R98" s="184"/>
      <c r="S98" s="185"/>
      <c r="T98" s="188"/>
      <c r="U98" s="188"/>
      <c r="V98" s="188"/>
      <c r="W98" s="188"/>
      <c r="X98" s="188"/>
    </row>
    <row r="99" spans="1:24" s="182" customFormat="1" ht="15" customHeight="1">
      <c r="A99" s="348"/>
      <c r="B99" s="349"/>
      <c r="C99" s="349"/>
      <c r="D99" s="349"/>
      <c r="E99" s="349"/>
      <c r="F99" s="349"/>
      <c r="G99" s="349"/>
      <c r="H99" s="349"/>
      <c r="I99" s="349"/>
      <c r="J99" s="349"/>
      <c r="K99" s="349"/>
      <c r="L99" s="349"/>
      <c r="M99" s="358"/>
      <c r="O99" s="183"/>
      <c r="P99" s="184"/>
      <c r="Q99" s="184"/>
      <c r="R99" s="184"/>
      <c r="S99" s="185"/>
      <c r="T99" s="188"/>
      <c r="U99" s="188"/>
      <c r="V99" s="188"/>
      <c r="W99" s="188"/>
      <c r="X99" s="188"/>
    </row>
    <row r="100" spans="1:24" s="182" customFormat="1" ht="15" customHeight="1">
      <c r="A100" s="348"/>
      <c r="B100" s="349"/>
      <c r="C100" s="349"/>
      <c r="D100" s="349"/>
      <c r="E100" s="349"/>
      <c r="F100" s="349"/>
      <c r="G100" s="349"/>
      <c r="H100" s="349"/>
      <c r="I100" s="349"/>
      <c r="J100" s="349"/>
      <c r="K100" s="349"/>
      <c r="L100" s="349"/>
      <c r="M100" s="358"/>
      <c r="O100" s="183"/>
      <c r="P100" s="184"/>
      <c r="Q100" s="184"/>
      <c r="R100" s="184"/>
      <c r="S100" s="185"/>
      <c r="T100" s="188"/>
      <c r="U100" s="188"/>
      <c r="V100" s="188"/>
      <c r="W100" s="188"/>
      <c r="X100" s="188"/>
    </row>
    <row r="101" spans="1:24" s="182" customFormat="1" ht="15" customHeight="1">
      <c r="A101" s="348"/>
      <c r="B101" s="349"/>
      <c r="C101" s="349"/>
      <c r="D101" s="349"/>
      <c r="E101" s="349"/>
      <c r="F101" s="349"/>
      <c r="G101" s="349"/>
      <c r="H101" s="349"/>
      <c r="I101" s="349"/>
      <c r="J101" s="349"/>
      <c r="K101" s="349"/>
      <c r="L101" s="349"/>
      <c r="M101" s="358"/>
      <c r="O101" s="183"/>
      <c r="P101" s="184"/>
      <c r="Q101" s="184"/>
      <c r="R101" s="184"/>
      <c r="S101" s="185"/>
      <c r="T101" s="188"/>
      <c r="U101" s="188"/>
      <c r="V101" s="188"/>
      <c r="W101" s="188"/>
      <c r="X101" s="188"/>
    </row>
    <row r="102" spans="1:24" s="182" customFormat="1" ht="15" customHeight="1">
      <c r="A102" s="348"/>
      <c r="B102" s="349"/>
      <c r="C102" s="349"/>
      <c r="D102" s="349"/>
      <c r="E102" s="349"/>
      <c r="F102" s="349"/>
      <c r="G102" s="349"/>
      <c r="H102" s="349"/>
      <c r="I102" s="349"/>
      <c r="J102" s="349"/>
      <c r="K102" s="349"/>
      <c r="L102" s="349"/>
      <c r="M102" s="358"/>
      <c r="O102" s="183"/>
      <c r="P102" s="184"/>
      <c r="Q102" s="184"/>
      <c r="R102" s="184"/>
      <c r="S102" s="185"/>
      <c r="T102" s="188"/>
      <c r="U102" s="188"/>
      <c r="V102" s="188"/>
      <c r="W102" s="188"/>
      <c r="X102" s="188"/>
    </row>
    <row r="103" spans="1:24" s="182" customFormat="1" ht="15" customHeight="1">
      <c r="A103" s="348"/>
      <c r="B103" s="349"/>
      <c r="C103" s="349"/>
      <c r="D103" s="349"/>
      <c r="E103" s="349"/>
      <c r="F103" s="349"/>
      <c r="G103" s="349"/>
      <c r="H103" s="349"/>
      <c r="I103" s="349"/>
      <c r="J103" s="349"/>
      <c r="K103" s="349"/>
      <c r="L103" s="349"/>
      <c r="M103" s="358"/>
      <c r="O103" s="183"/>
      <c r="P103" s="184"/>
      <c r="Q103" s="184"/>
      <c r="R103" s="184"/>
      <c r="S103" s="185"/>
      <c r="T103" s="188"/>
      <c r="U103" s="188"/>
      <c r="V103" s="188"/>
      <c r="W103" s="188"/>
      <c r="X103" s="188"/>
    </row>
    <row r="104" spans="1:24" s="182" customFormat="1" ht="15" customHeight="1">
      <c r="A104" s="348"/>
      <c r="B104" s="349"/>
      <c r="C104" s="349"/>
      <c r="D104" s="349"/>
      <c r="E104" s="349"/>
      <c r="F104" s="349"/>
      <c r="G104" s="349"/>
      <c r="H104" s="349"/>
      <c r="I104" s="349"/>
      <c r="J104" s="349"/>
      <c r="K104" s="349"/>
      <c r="L104" s="349"/>
      <c r="M104" s="358"/>
      <c r="O104" s="183"/>
      <c r="P104" s="184"/>
      <c r="Q104" s="184"/>
      <c r="R104" s="184"/>
      <c r="S104" s="185"/>
      <c r="T104" s="188"/>
      <c r="U104" s="188"/>
      <c r="V104" s="188"/>
      <c r="W104" s="188"/>
      <c r="X104" s="188"/>
    </row>
    <row r="105" spans="1:24" s="182" customFormat="1" ht="15" customHeight="1">
      <c r="A105" s="348"/>
      <c r="B105" s="349"/>
      <c r="C105" s="349"/>
      <c r="D105" s="349"/>
      <c r="E105" s="349"/>
      <c r="F105" s="349"/>
      <c r="G105" s="349"/>
      <c r="H105" s="349"/>
      <c r="I105" s="349"/>
      <c r="J105" s="349"/>
      <c r="K105" s="349"/>
      <c r="L105" s="349"/>
      <c r="M105" s="358"/>
      <c r="O105" s="183"/>
      <c r="P105" s="184"/>
      <c r="Q105" s="184"/>
      <c r="R105" s="184"/>
      <c r="S105" s="185"/>
      <c r="T105" s="188"/>
      <c r="U105" s="188"/>
      <c r="V105" s="188"/>
      <c r="W105" s="188"/>
      <c r="X105" s="188"/>
    </row>
    <row r="106" spans="1:24" s="182" customFormat="1" ht="15" customHeight="1">
      <c r="A106" s="348"/>
      <c r="B106" s="349"/>
      <c r="C106" s="349"/>
      <c r="D106" s="349"/>
      <c r="E106" s="349"/>
      <c r="F106" s="349"/>
      <c r="G106" s="349"/>
      <c r="H106" s="349"/>
      <c r="I106" s="349"/>
      <c r="J106" s="349"/>
      <c r="K106" s="349"/>
      <c r="L106" s="349"/>
      <c r="M106" s="358"/>
      <c r="O106" s="183"/>
      <c r="P106" s="184"/>
      <c r="Q106" s="184"/>
      <c r="R106" s="184"/>
      <c r="S106" s="185"/>
      <c r="T106" s="188"/>
      <c r="U106" s="188"/>
      <c r="V106" s="188"/>
      <c r="W106" s="188"/>
      <c r="X106" s="188"/>
    </row>
    <row r="107" spans="1:24" s="182" customFormat="1" ht="15" customHeight="1">
      <c r="A107" s="348"/>
      <c r="B107" s="349"/>
      <c r="C107" s="349"/>
      <c r="D107" s="349"/>
      <c r="E107" s="349"/>
      <c r="F107" s="349"/>
      <c r="G107" s="349"/>
      <c r="H107" s="349"/>
      <c r="I107" s="349"/>
      <c r="J107" s="349"/>
      <c r="K107" s="349"/>
      <c r="L107" s="349"/>
      <c r="M107" s="358"/>
      <c r="O107" s="183"/>
      <c r="P107" s="184"/>
      <c r="Q107" s="184"/>
      <c r="R107" s="184"/>
      <c r="S107" s="185"/>
      <c r="T107" s="188"/>
      <c r="U107" s="188"/>
      <c r="V107" s="188"/>
      <c r="W107" s="188"/>
      <c r="X107" s="188"/>
    </row>
    <row r="108" spans="1:24" s="182" customFormat="1" ht="15" customHeight="1">
      <c r="A108" s="348"/>
      <c r="B108" s="349"/>
      <c r="C108" s="349"/>
      <c r="D108" s="349"/>
      <c r="E108" s="349"/>
      <c r="F108" s="349"/>
      <c r="G108" s="349"/>
      <c r="H108" s="349"/>
      <c r="I108" s="349"/>
      <c r="J108" s="349"/>
      <c r="K108" s="349"/>
      <c r="L108" s="349"/>
      <c r="M108" s="358"/>
      <c r="O108" s="183"/>
      <c r="P108" s="184"/>
      <c r="Q108" s="184"/>
      <c r="R108" s="184"/>
      <c r="S108" s="185"/>
      <c r="T108" s="188"/>
      <c r="U108" s="188"/>
      <c r="V108" s="188"/>
      <c r="W108" s="188"/>
      <c r="X108" s="188"/>
    </row>
    <row r="109" spans="1:24" s="182" customFormat="1" ht="15" customHeight="1">
      <c r="A109" s="348"/>
      <c r="B109" s="349"/>
      <c r="C109" s="349"/>
      <c r="D109" s="349"/>
      <c r="E109" s="349"/>
      <c r="F109" s="349"/>
      <c r="G109" s="349"/>
      <c r="H109" s="349"/>
      <c r="I109" s="349"/>
      <c r="J109" s="349"/>
      <c r="K109" s="349"/>
      <c r="L109" s="349"/>
      <c r="M109" s="358"/>
      <c r="O109" s="183"/>
      <c r="P109" s="184"/>
      <c r="Q109" s="184"/>
      <c r="R109" s="184"/>
      <c r="S109" s="185"/>
      <c r="T109" s="188"/>
      <c r="U109" s="188"/>
      <c r="V109" s="188"/>
      <c r="W109" s="188"/>
      <c r="X109" s="188"/>
    </row>
    <row r="110" spans="1:24" s="182" customFormat="1" ht="15" customHeight="1">
      <c r="A110" s="348"/>
      <c r="B110" s="349"/>
      <c r="C110" s="349"/>
      <c r="D110" s="349"/>
      <c r="E110" s="349"/>
      <c r="F110" s="349"/>
      <c r="G110" s="349"/>
      <c r="H110" s="349"/>
      <c r="I110" s="349"/>
      <c r="J110" s="349"/>
      <c r="K110" s="349"/>
      <c r="L110" s="349"/>
      <c r="M110" s="358"/>
      <c r="O110" s="183"/>
      <c r="P110" s="184"/>
      <c r="Q110" s="184"/>
      <c r="R110" s="184"/>
      <c r="S110" s="185"/>
      <c r="T110" s="188"/>
      <c r="U110" s="188"/>
      <c r="V110" s="188"/>
      <c r="W110" s="188"/>
      <c r="X110" s="188"/>
    </row>
    <row r="111" spans="1:24" s="182" customFormat="1" ht="15" customHeight="1">
      <c r="A111" s="348"/>
      <c r="B111" s="349"/>
      <c r="C111" s="349"/>
      <c r="D111" s="349"/>
      <c r="E111" s="349"/>
      <c r="F111" s="349"/>
      <c r="G111" s="349"/>
      <c r="H111" s="349"/>
      <c r="I111" s="349"/>
      <c r="J111" s="349"/>
      <c r="K111" s="349"/>
      <c r="L111" s="349"/>
      <c r="M111" s="358"/>
      <c r="O111" s="183"/>
      <c r="P111" s="184"/>
      <c r="Q111" s="184"/>
      <c r="R111" s="184"/>
      <c r="S111" s="185"/>
      <c r="T111" s="188"/>
      <c r="U111" s="188"/>
      <c r="V111" s="188"/>
      <c r="W111" s="188"/>
      <c r="X111" s="188"/>
    </row>
    <row r="112" spans="1:24" s="182" customFormat="1" ht="15" customHeight="1">
      <c r="A112" s="348"/>
      <c r="B112" s="349"/>
      <c r="C112" s="349"/>
      <c r="D112" s="349"/>
      <c r="E112" s="349"/>
      <c r="F112" s="349"/>
      <c r="G112" s="349"/>
      <c r="H112" s="349"/>
      <c r="I112" s="349"/>
      <c r="J112" s="349"/>
      <c r="K112" s="349"/>
      <c r="L112" s="349"/>
      <c r="M112" s="358"/>
      <c r="O112" s="183"/>
      <c r="P112" s="184"/>
      <c r="Q112" s="184"/>
      <c r="R112" s="184"/>
      <c r="S112" s="185"/>
      <c r="T112" s="188"/>
      <c r="U112" s="188"/>
      <c r="V112" s="188"/>
      <c r="W112" s="188"/>
      <c r="X112" s="188"/>
    </row>
    <row r="113" spans="1:24" s="182" customFormat="1" ht="15" customHeight="1">
      <c r="A113" s="348"/>
      <c r="B113" s="349"/>
      <c r="C113" s="349"/>
      <c r="D113" s="349"/>
      <c r="E113" s="349"/>
      <c r="F113" s="349"/>
      <c r="G113" s="349"/>
      <c r="H113" s="349"/>
      <c r="I113" s="349"/>
      <c r="J113" s="349"/>
      <c r="K113" s="349"/>
      <c r="L113" s="349"/>
      <c r="M113" s="358"/>
      <c r="O113" s="183"/>
      <c r="P113" s="184"/>
      <c r="Q113" s="184"/>
      <c r="R113" s="184"/>
      <c r="S113" s="185"/>
      <c r="T113" s="188"/>
      <c r="U113" s="188"/>
      <c r="V113" s="188"/>
      <c r="W113" s="188"/>
      <c r="X113" s="188"/>
    </row>
    <row r="114" spans="1:24" s="182" customFormat="1" ht="15" customHeight="1">
      <c r="A114" s="348"/>
      <c r="B114" s="349"/>
      <c r="C114" s="349"/>
      <c r="D114" s="349"/>
      <c r="E114" s="349"/>
      <c r="F114" s="349"/>
      <c r="G114" s="349"/>
      <c r="H114" s="349"/>
      <c r="I114" s="349"/>
      <c r="J114" s="349"/>
      <c r="K114" s="349"/>
      <c r="L114" s="349"/>
      <c r="M114" s="358"/>
      <c r="O114" s="183"/>
      <c r="P114" s="184"/>
      <c r="Q114" s="184"/>
      <c r="R114" s="184"/>
      <c r="S114" s="185"/>
      <c r="T114" s="188"/>
      <c r="U114" s="188"/>
      <c r="V114" s="188"/>
      <c r="W114" s="188"/>
      <c r="X114" s="188"/>
    </row>
    <row r="115" spans="1:24" s="182" customFormat="1" ht="15" customHeight="1">
      <c r="A115" s="348"/>
      <c r="B115" s="349"/>
      <c r="C115" s="349"/>
      <c r="D115" s="349"/>
      <c r="E115" s="349"/>
      <c r="F115" s="349"/>
      <c r="G115" s="349"/>
      <c r="H115" s="349"/>
      <c r="I115" s="349"/>
      <c r="J115" s="349"/>
      <c r="K115" s="349"/>
      <c r="L115" s="349"/>
      <c r="M115" s="358"/>
      <c r="O115" s="183"/>
      <c r="P115" s="184"/>
      <c r="Q115" s="184"/>
      <c r="R115" s="184"/>
      <c r="S115" s="185"/>
      <c r="T115" s="188"/>
      <c r="U115" s="188"/>
      <c r="V115" s="188"/>
      <c r="W115" s="188"/>
      <c r="X115" s="188"/>
    </row>
    <row r="116" spans="1:24" s="182" customFormat="1" ht="15" customHeight="1">
      <c r="A116" s="348"/>
      <c r="B116" s="349"/>
      <c r="C116" s="349"/>
      <c r="D116" s="349"/>
      <c r="E116" s="349"/>
      <c r="F116" s="349"/>
      <c r="G116" s="349"/>
      <c r="H116" s="349"/>
      <c r="I116" s="349"/>
      <c r="J116" s="349"/>
      <c r="K116" s="349"/>
      <c r="L116" s="349"/>
      <c r="M116" s="358"/>
      <c r="O116" s="183"/>
      <c r="P116" s="184"/>
      <c r="Q116" s="184"/>
      <c r="R116" s="184"/>
      <c r="S116" s="185"/>
      <c r="T116" s="188"/>
      <c r="U116" s="188"/>
      <c r="V116" s="188"/>
      <c r="W116" s="188"/>
      <c r="X116" s="188"/>
    </row>
    <row r="117" spans="1:24" s="182" customFormat="1" ht="15" customHeight="1">
      <c r="A117" s="348"/>
      <c r="B117" s="349"/>
      <c r="C117" s="349"/>
      <c r="D117" s="349"/>
      <c r="E117" s="349"/>
      <c r="F117" s="349"/>
      <c r="G117" s="349"/>
      <c r="H117" s="349"/>
      <c r="I117" s="349"/>
      <c r="J117" s="349"/>
      <c r="K117" s="349"/>
      <c r="L117" s="349"/>
      <c r="M117" s="358"/>
      <c r="O117" s="183"/>
      <c r="P117" s="184"/>
      <c r="Q117" s="184"/>
      <c r="R117" s="184"/>
      <c r="S117" s="185"/>
      <c r="T117" s="188"/>
      <c r="U117" s="188"/>
      <c r="V117" s="188"/>
      <c r="W117" s="188"/>
      <c r="X117" s="188"/>
    </row>
    <row r="118" spans="1:24" s="182" customFormat="1" ht="15" customHeight="1">
      <c r="A118" s="348"/>
      <c r="B118" s="349"/>
      <c r="C118" s="349"/>
      <c r="D118" s="349"/>
      <c r="E118" s="349"/>
      <c r="F118" s="349"/>
      <c r="G118" s="349"/>
      <c r="H118" s="349"/>
      <c r="I118" s="349"/>
      <c r="J118" s="349"/>
      <c r="K118" s="349"/>
      <c r="L118" s="349"/>
      <c r="M118" s="358"/>
      <c r="O118" s="183"/>
      <c r="P118" s="184"/>
      <c r="Q118" s="184"/>
      <c r="R118" s="184"/>
      <c r="S118" s="185"/>
      <c r="T118" s="188"/>
      <c r="U118" s="188"/>
      <c r="V118" s="188"/>
      <c r="W118" s="188"/>
      <c r="X118" s="188"/>
    </row>
    <row r="119" spans="1:24" s="182" customFormat="1" ht="15" customHeight="1">
      <c r="A119" s="348"/>
      <c r="B119" s="349"/>
      <c r="C119" s="349"/>
      <c r="D119" s="349"/>
      <c r="E119" s="349"/>
      <c r="F119" s="349"/>
      <c r="G119" s="349"/>
      <c r="H119" s="349"/>
      <c r="I119" s="349"/>
      <c r="J119" s="349"/>
      <c r="K119" s="349"/>
      <c r="L119" s="349"/>
      <c r="M119" s="358"/>
      <c r="O119" s="183"/>
      <c r="P119" s="184"/>
      <c r="Q119" s="184"/>
      <c r="R119" s="184"/>
      <c r="S119" s="185"/>
      <c r="T119" s="188"/>
      <c r="U119" s="188"/>
      <c r="V119" s="188"/>
      <c r="W119" s="188"/>
      <c r="X119" s="188"/>
    </row>
    <row r="120" spans="1:24" s="182" customFormat="1" ht="15" customHeight="1">
      <c r="A120" s="348"/>
      <c r="B120" s="349"/>
      <c r="C120" s="349"/>
      <c r="D120" s="349"/>
      <c r="E120" s="349"/>
      <c r="F120" s="349"/>
      <c r="G120" s="349"/>
      <c r="H120" s="349"/>
      <c r="I120" s="349"/>
      <c r="J120" s="349"/>
      <c r="K120" s="349"/>
      <c r="L120" s="349"/>
      <c r="M120" s="358"/>
      <c r="O120" s="183"/>
      <c r="P120" s="184"/>
      <c r="Q120" s="184"/>
      <c r="R120" s="184"/>
      <c r="S120" s="185"/>
      <c r="T120" s="188"/>
      <c r="U120" s="188"/>
      <c r="V120" s="188"/>
      <c r="W120" s="188"/>
      <c r="X120" s="188"/>
    </row>
    <row r="121" spans="1:24" s="182" customFormat="1" ht="15" customHeight="1">
      <c r="A121" s="348"/>
      <c r="B121" s="349"/>
      <c r="C121" s="349"/>
      <c r="D121" s="349"/>
      <c r="E121" s="349"/>
      <c r="F121" s="349"/>
      <c r="G121" s="349"/>
      <c r="H121" s="349"/>
      <c r="I121" s="349"/>
      <c r="J121" s="349"/>
      <c r="K121" s="349"/>
      <c r="L121" s="349"/>
      <c r="M121" s="358"/>
      <c r="O121" s="183"/>
      <c r="P121" s="184"/>
      <c r="Q121" s="184"/>
      <c r="R121" s="184"/>
      <c r="S121" s="185"/>
      <c r="T121" s="188"/>
      <c r="U121" s="188"/>
      <c r="V121" s="188"/>
      <c r="W121" s="188"/>
      <c r="X121" s="188"/>
    </row>
    <row r="122" spans="1:24" s="182" customFormat="1" ht="15" customHeight="1">
      <c r="A122" s="348"/>
      <c r="B122" s="349"/>
      <c r="C122" s="349"/>
      <c r="D122" s="349"/>
      <c r="E122" s="349"/>
      <c r="F122" s="349"/>
      <c r="G122" s="349"/>
      <c r="H122" s="349"/>
      <c r="I122" s="349"/>
      <c r="J122" s="349"/>
      <c r="K122" s="349"/>
      <c r="L122" s="349"/>
      <c r="M122" s="358"/>
      <c r="O122" s="183"/>
      <c r="P122" s="184"/>
      <c r="Q122" s="184"/>
      <c r="R122" s="184"/>
      <c r="S122" s="185"/>
      <c r="T122" s="188"/>
      <c r="U122" s="188"/>
      <c r="V122" s="188"/>
      <c r="W122" s="188"/>
      <c r="X122" s="188"/>
    </row>
    <row r="123" spans="1:24" s="182" customFormat="1" ht="15" customHeight="1">
      <c r="A123" s="348"/>
      <c r="B123" s="349"/>
      <c r="C123" s="349"/>
      <c r="D123" s="349"/>
      <c r="E123" s="349"/>
      <c r="F123" s="349"/>
      <c r="G123" s="349"/>
      <c r="H123" s="349"/>
      <c r="I123" s="349"/>
      <c r="J123" s="349"/>
      <c r="K123" s="349"/>
      <c r="L123" s="349"/>
      <c r="M123" s="358"/>
      <c r="O123" s="183"/>
      <c r="P123" s="184"/>
      <c r="Q123" s="184"/>
      <c r="R123" s="184"/>
      <c r="S123" s="185"/>
      <c r="T123" s="188"/>
      <c r="U123" s="188"/>
      <c r="V123" s="188"/>
      <c r="W123" s="188"/>
      <c r="X123" s="188"/>
    </row>
    <row r="124" spans="1:24" s="182" customFormat="1" ht="15" customHeight="1">
      <c r="A124" s="348"/>
      <c r="B124" s="349"/>
      <c r="C124" s="349"/>
      <c r="D124" s="349"/>
      <c r="E124" s="349"/>
      <c r="F124" s="349"/>
      <c r="G124" s="349"/>
      <c r="H124" s="349"/>
      <c r="I124" s="349"/>
      <c r="J124" s="349"/>
      <c r="K124" s="349"/>
      <c r="L124" s="349"/>
      <c r="M124" s="358"/>
      <c r="O124" s="183"/>
      <c r="P124" s="184"/>
      <c r="Q124" s="184"/>
      <c r="R124" s="184"/>
      <c r="S124" s="185"/>
      <c r="T124" s="188"/>
      <c r="U124" s="188"/>
      <c r="V124" s="188"/>
      <c r="W124" s="188"/>
      <c r="X124" s="188"/>
    </row>
    <row r="125" spans="1:24" s="182" customFormat="1" ht="15" customHeight="1">
      <c r="A125" s="348"/>
      <c r="B125" s="349"/>
      <c r="C125" s="349"/>
      <c r="D125" s="349"/>
      <c r="E125" s="349"/>
      <c r="F125" s="349"/>
      <c r="G125" s="349"/>
      <c r="H125" s="349"/>
      <c r="I125" s="349"/>
      <c r="J125" s="349"/>
      <c r="K125" s="349"/>
      <c r="L125" s="349"/>
      <c r="M125" s="358"/>
      <c r="O125" s="183"/>
      <c r="P125" s="184"/>
      <c r="Q125" s="184"/>
      <c r="R125" s="184"/>
      <c r="S125" s="185"/>
      <c r="T125" s="188"/>
      <c r="U125" s="188"/>
      <c r="V125" s="188"/>
      <c r="W125" s="188"/>
      <c r="X125" s="188"/>
    </row>
    <row r="126" spans="1:24" s="182" customFormat="1" ht="15" customHeight="1">
      <c r="A126" s="348"/>
      <c r="B126" s="349"/>
      <c r="C126" s="349"/>
      <c r="D126" s="349"/>
      <c r="E126" s="349"/>
      <c r="F126" s="349"/>
      <c r="G126" s="349"/>
      <c r="H126" s="349"/>
      <c r="I126" s="349"/>
      <c r="J126" s="349"/>
      <c r="K126" s="349"/>
      <c r="L126" s="349"/>
      <c r="M126" s="358"/>
      <c r="O126" s="183"/>
      <c r="P126" s="184"/>
      <c r="Q126" s="184"/>
      <c r="R126" s="184"/>
      <c r="S126" s="185"/>
      <c r="T126" s="188"/>
      <c r="U126" s="188"/>
      <c r="V126" s="188"/>
      <c r="W126" s="188"/>
      <c r="X126" s="188"/>
    </row>
    <row r="127" spans="1:24" s="182" customFormat="1" ht="15" customHeight="1">
      <c r="A127" s="348"/>
      <c r="B127" s="349"/>
      <c r="C127" s="349"/>
      <c r="D127" s="349"/>
      <c r="E127" s="349"/>
      <c r="F127" s="349"/>
      <c r="G127" s="349"/>
      <c r="H127" s="349"/>
      <c r="I127" s="349"/>
      <c r="J127" s="349"/>
      <c r="K127" s="349"/>
      <c r="L127" s="349"/>
      <c r="M127" s="358"/>
      <c r="O127" s="183"/>
      <c r="P127" s="184"/>
      <c r="Q127" s="184"/>
      <c r="R127" s="184"/>
      <c r="S127" s="185"/>
      <c r="T127" s="188"/>
      <c r="U127" s="188"/>
      <c r="V127" s="188"/>
      <c r="W127" s="188"/>
      <c r="X127" s="188"/>
    </row>
    <row r="128" spans="1:24" s="182" customFormat="1" ht="15" customHeight="1">
      <c r="A128" s="348"/>
      <c r="B128" s="349"/>
      <c r="C128" s="349"/>
      <c r="D128" s="349"/>
      <c r="E128" s="349"/>
      <c r="F128" s="349"/>
      <c r="G128" s="349"/>
      <c r="H128" s="349"/>
      <c r="I128" s="349"/>
      <c r="J128" s="349"/>
      <c r="K128" s="349"/>
      <c r="L128" s="349"/>
      <c r="M128" s="358"/>
      <c r="O128" s="183"/>
      <c r="P128" s="184"/>
      <c r="Q128" s="184"/>
      <c r="R128" s="184"/>
      <c r="S128" s="185"/>
      <c r="T128" s="188"/>
      <c r="U128" s="188"/>
      <c r="V128" s="188"/>
      <c r="W128" s="188"/>
      <c r="X128" s="188"/>
    </row>
    <row r="129" spans="1:24" s="182" customFormat="1" ht="15" customHeight="1">
      <c r="A129" s="348"/>
      <c r="B129" s="349"/>
      <c r="C129" s="349"/>
      <c r="D129" s="349"/>
      <c r="E129" s="349"/>
      <c r="F129" s="349"/>
      <c r="G129" s="349"/>
      <c r="H129" s="349"/>
      <c r="I129" s="349"/>
      <c r="J129" s="349"/>
      <c r="K129" s="349"/>
      <c r="L129" s="349"/>
      <c r="M129" s="358"/>
      <c r="O129" s="183"/>
      <c r="P129" s="184"/>
      <c r="Q129" s="184"/>
      <c r="R129" s="184"/>
      <c r="S129" s="185"/>
      <c r="T129" s="188"/>
      <c r="U129" s="188"/>
      <c r="V129" s="188"/>
      <c r="W129" s="188"/>
      <c r="X129" s="188"/>
    </row>
    <row r="130" spans="1:24" s="182" customFormat="1" ht="15" customHeight="1">
      <c r="A130" s="348"/>
      <c r="B130" s="349"/>
      <c r="C130" s="349"/>
      <c r="D130" s="349"/>
      <c r="E130" s="349"/>
      <c r="F130" s="349"/>
      <c r="G130" s="349"/>
      <c r="H130" s="349"/>
      <c r="I130" s="349"/>
      <c r="J130" s="349"/>
      <c r="K130" s="349"/>
      <c r="L130" s="349"/>
      <c r="M130" s="358"/>
      <c r="O130" s="183"/>
      <c r="P130" s="184"/>
      <c r="Q130" s="184"/>
      <c r="R130" s="184"/>
      <c r="S130" s="185"/>
      <c r="T130" s="188"/>
      <c r="U130" s="188"/>
      <c r="V130" s="188"/>
      <c r="W130" s="188"/>
      <c r="X130" s="188"/>
    </row>
    <row r="131" spans="1:24" s="182" customFormat="1" ht="15" customHeight="1">
      <c r="A131" s="348"/>
      <c r="B131" s="349"/>
      <c r="C131" s="349"/>
      <c r="D131" s="349"/>
      <c r="E131" s="349"/>
      <c r="F131" s="349"/>
      <c r="G131" s="349"/>
      <c r="H131" s="349"/>
      <c r="I131" s="349"/>
      <c r="J131" s="349"/>
      <c r="K131" s="349"/>
      <c r="L131" s="349"/>
      <c r="M131" s="358"/>
      <c r="O131" s="183"/>
      <c r="P131" s="184"/>
      <c r="Q131" s="184"/>
      <c r="R131" s="184"/>
      <c r="S131" s="185"/>
      <c r="T131" s="188"/>
      <c r="U131" s="188"/>
      <c r="V131" s="188"/>
      <c r="W131" s="188"/>
      <c r="X131" s="188"/>
    </row>
    <row r="132" spans="1:24" s="182" customFormat="1" ht="15" customHeight="1">
      <c r="A132" s="348"/>
      <c r="B132" s="349"/>
      <c r="C132" s="349"/>
      <c r="D132" s="349"/>
      <c r="E132" s="349"/>
      <c r="F132" s="349"/>
      <c r="G132" s="349"/>
      <c r="H132" s="349"/>
      <c r="I132" s="349"/>
      <c r="J132" s="349"/>
      <c r="K132" s="349"/>
      <c r="L132" s="349"/>
      <c r="M132" s="358"/>
      <c r="O132" s="183"/>
      <c r="P132" s="184"/>
      <c r="Q132" s="184"/>
      <c r="R132" s="184"/>
      <c r="S132" s="185"/>
      <c r="T132" s="188"/>
      <c r="U132" s="188"/>
      <c r="V132" s="188"/>
      <c r="W132" s="188"/>
      <c r="X132" s="188"/>
    </row>
    <row r="133" spans="1:24" s="182" customFormat="1" ht="15" customHeight="1">
      <c r="A133" s="348"/>
      <c r="B133" s="349"/>
      <c r="C133" s="349"/>
      <c r="D133" s="349"/>
      <c r="E133" s="349"/>
      <c r="F133" s="349"/>
      <c r="G133" s="349"/>
      <c r="H133" s="349"/>
      <c r="I133" s="349"/>
      <c r="J133" s="349"/>
      <c r="K133" s="349"/>
      <c r="L133" s="349"/>
      <c r="M133" s="358"/>
      <c r="O133" s="183"/>
      <c r="P133" s="184"/>
      <c r="Q133" s="184"/>
      <c r="R133" s="184"/>
      <c r="S133" s="185"/>
      <c r="T133" s="188"/>
      <c r="U133" s="188"/>
      <c r="V133" s="188"/>
      <c r="W133" s="188"/>
      <c r="X133" s="188"/>
    </row>
    <row r="134" spans="1:24" s="182" customFormat="1" ht="15" customHeight="1">
      <c r="A134" s="348"/>
      <c r="B134" s="349"/>
      <c r="C134" s="349"/>
      <c r="D134" s="349"/>
      <c r="E134" s="349"/>
      <c r="F134" s="349"/>
      <c r="G134" s="349"/>
      <c r="H134" s="349"/>
      <c r="I134" s="349"/>
      <c r="J134" s="349"/>
      <c r="K134" s="349"/>
      <c r="L134" s="349"/>
      <c r="M134" s="358"/>
      <c r="O134" s="183"/>
      <c r="P134" s="184"/>
      <c r="Q134" s="184"/>
      <c r="R134" s="184"/>
      <c r="S134" s="185"/>
      <c r="T134" s="188"/>
      <c r="U134" s="188"/>
      <c r="V134" s="188"/>
      <c r="W134" s="188"/>
      <c r="X134" s="188"/>
    </row>
    <row r="135" spans="1:24" s="182" customFormat="1" ht="15" customHeight="1">
      <c r="A135" s="348"/>
      <c r="B135" s="349"/>
      <c r="C135" s="349"/>
      <c r="D135" s="349"/>
      <c r="E135" s="349"/>
      <c r="F135" s="349"/>
      <c r="G135" s="349"/>
      <c r="H135" s="349"/>
      <c r="I135" s="349"/>
      <c r="J135" s="349"/>
      <c r="K135" s="349"/>
      <c r="L135" s="349"/>
      <c r="M135" s="358"/>
      <c r="O135" s="183"/>
      <c r="P135" s="184"/>
      <c r="Q135" s="184"/>
      <c r="R135" s="184"/>
      <c r="S135" s="185"/>
      <c r="T135" s="188"/>
      <c r="U135" s="188"/>
      <c r="V135" s="188"/>
      <c r="W135" s="188"/>
      <c r="X135" s="188"/>
    </row>
    <row r="136" spans="1:24" s="182" customFormat="1" ht="15" customHeight="1">
      <c r="A136" s="348"/>
      <c r="B136" s="349"/>
      <c r="C136" s="349"/>
      <c r="D136" s="349"/>
      <c r="E136" s="349"/>
      <c r="F136" s="349"/>
      <c r="G136" s="349"/>
      <c r="H136" s="349"/>
      <c r="I136" s="349"/>
      <c r="J136" s="349"/>
      <c r="K136" s="349"/>
      <c r="L136" s="349"/>
      <c r="M136" s="358"/>
      <c r="O136" s="183"/>
      <c r="P136" s="184"/>
      <c r="Q136" s="184"/>
      <c r="R136" s="184"/>
      <c r="S136" s="185"/>
      <c r="T136" s="188"/>
      <c r="U136" s="188"/>
      <c r="V136" s="188"/>
      <c r="W136" s="188"/>
      <c r="X136" s="188"/>
    </row>
    <row r="137" spans="1:24" s="182" customFormat="1" ht="15" customHeight="1">
      <c r="A137" s="348"/>
      <c r="B137" s="349"/>
      <c r="C137" s="349"/>
      <c r="D137" s="349"/>
      <c r="E137" s="349"/>
      <c r="F137" s="349"/>
      <c r="G137" s="349"/>
      <c r="H137" s="349"/>
      <c r="I137" s="349"/>
      <c r="J137" s="349"/>
      <c r="K137" s="349"/>
      <c r="L137" s="349"/>
      <c r="M137" s="358"/>
      <c r="O137" s="183"/>
      <c r="P137" s="184"/>
      <c r="Q137" s="184"/>
      <c r="R137" s="184"/>
      <c r="S137" s="185"/>
      <c r="T137" s="188"/>
      <c r="U137" s="188"/>
      <c r="V137" s="188"/>
      <c r="W137" s="188"/>
      <c r="X137" s="188"/>
    </row>
    <row r="138" spans="1:24" s="182" customFormat="1" ht="15" customHeight="1">
      <c r="A138" s="348"/>
      <c r="B138" s="349"/>
      <c r="C138" s="349"/>
      <c r="D138" s="349"/>
      <c r="E138" s="349"/>
      <c r="F138" s="349"/>
      <c r="G138" s="349"/>
      <c r="H138" s="349"/>
      <c r="I138" s="349"/>
      <c r="J138" s="349"/>
      <c r="K138" s="349"/>
      <c r="L138" s="349"/>
      <c r="M138" s="358"/>
      <c r="O138" s="183"/>
      <c r="P138" s="184"/>
      <c r="Q138" s="184"/>
      <c r="R138" s="184"/>
      <c r="S138" s="185"/>
      <c r="T138" s="188"/>
      <c r="U138" s="188"/>
      <c r="V138" s="188"/>
      <c r="W138" s="188"/>
      <c r="X138" s="188"/>
    </row>
    <row r="139" spans="1:24" s="182" customFormat="1" ht="15" customHeight="1">
      <c r="A139" s="348"/>
      <c r="B139" s="349"/>
      <c r="C139" s="349"/>
      <c r="D139" s="349"/>
      <c r="E139" s="349"/>
      <c r="F139" s="349"/>
      <c r="G139" s="349"/>
      <c r="H139" s="349"/>
      <c r="I139" s="349"/>
      <c r="J139" s="349"/>
      <c r="K139" s="349"/>
      <c r="L139" s="349"/>
      <c r="M139" s="358"/>
      <c r="O139" s="183"/>
      <c r="P139" s="184"/>
      <c r="Q139" s="184"/>
      <c r="R139" s="184"/>
      <c r="S139" s="185"/>
      <c r="T139" s="188"/>
      <c r="U139" s="188"/>
      <c r="V139" s="188"/>
      <c r="W139" s="188"/>
      <c r="X139" s="188"/>
    </row>
    <row r="140" spans="1:24" s="182" customFormat="1" ht="15" customHeight="1">
      <c r="A140" s="348"/>
      <c r="B140" s="349"/>
      <c r="C140" s="349"/>
      <c r="D140" s="349"/>
      <c r="E140" s="349"/>
      <c r="F140" s="349"/>
      <c r="G140" s="349"/>
      <c r="H140" s="349"/>
      <c r="I140" s="349"/>
      <c r="J140" s="349"/>
      <c r="K140" s="349"/>
      <c r="L140" s="349"/>
      <c r="M140" s="358"/>
      <c r="O140" s="183"/>
      <c r="P140" s="184"/>
      <c r="Q140" s="184"/>
      <c r="R140" s="184"/>
      <c r="S140" s="185"/>
      <c r="T140" s="188"/>
      <c r="U140" s="188"/>
      <c r="V140" s="188"/>
      <c r="W140" s="188"/>
      <c r="X140" s="188"/>
    </row>
    <row r="141" spans="1:24" s="182" customFormat="1" ht="15" customHeight="1">
      <c r="A141" s="348"/>
      <c r="B141" s="349"/>
      <c r="C141" s="349"/>
      <c r="D141" s="349"/>
      <c r="E141" s="349"/>
      <c r="F141" s="349"/>
      <c r="G141" s="349"/>
      <c r="H141" s="349"/>
      <c r="I141" s="349"/>
      <c r="J141" s="349"/>
      <c r="K141" s="349"/>
      <c r="L141" s="349"/>
      <c r="M141" s="358"/>
      <c r="O141" s="183"/>
      <c r="P141" s="184"/>
      <c r="Q141" s="184"/>
      <c r="R141" s="184"/>
      <c r="S141" s="185"/>
      <c r="T141" s="188"/>
      <c r="U141" s="188"/>
      <c r="V141" s="188"/>
      <c r="W141" s="188"/>
      <c r="X141" s="188"/>
    </row>
    <row r="142" spans="1:24" s="182" customFormat="1" ht="15" customHeight="1">
      <c r="A142" s="348"/>
      <c r="B142" s="349"/>
      <c r="C142" s="349"/>
      <c r="D142" s="349"/>
      <c r="E142" s="349"/>
      <c r="F142" s="349"/>
      <c r="G142" s="349"/>
      <c r="H142" s="349"/>
      <c r="I142" s="349"/>
      <c r="J142" s="349"/>
      <c r="K142" s="349"/>
      <c r="L142" s="349"/>
      <c r="M142" s="358"/>
      <c r="O142" s="183"/>
      <c r="P142" s="184"/>
      <c r="Q142" s="184"/>
      <c r="R142" s="184"/>
      <c r="S142" s="185"/>
      <c r="T142" s="188"/>
      <c r="U142" s="188"/>
      <c r="V142" s="188"/>
      <c r="W142" s="188"/>
      <c r="X142" s="188"/>
    </row>
    <row r="143" spans="1:24" s="182" customFormat="1" ht="15" customHeight="1">
      <c r="A143" s="348"/>
      <c r="B143" s="349"/>
      <c r="C143" s="349"/>
      <c r="D143" s="349"/>
      <c r="E143" s="349"/>
      <c r="F143" s="349"/>
      <c r="G143" s="349"/>
      <c r="H143" s="349"/>
      <c r="I143" s="349"/>
      <c r="J143" s="349"/>
      <c r="K143" s="349"/>
      <c r="L143" s="349"/>
      <c r="M143" s="358"/>
      <c r="O143" s="183"/>
      <c r="P143" s="184"/>
      <c r="Q143" s="184"/>
      <c r="R143" s="184"/>
      <c r="S143" s="185"/>
      <c r="T143" s="188"/>
      <c r="U143" s="188"/>
      <c r="V143" s="188"/>
      <c r="W143" s="188"/>
      <c r="X143" s="188"/>
    </row>
    <row r="144" spans="1:24" s="182" customFormat="1" ht="15" customHeight="1">
      <c r="A144" s="348"/>
      <c r="B144" s="349"/>
      <c r="C144" s="349"/>
      <c r="D144" s="349"/>
      <c r="E144" s="349"/>
      <c r="F144" s="349"/>
      <c r="G144" s="349"/>
      <c r="H144" s="349"/>
      <c r="I144" s="349"/>
      <c r="J144" s="349"/>
      <c r="K144" s="349"/>
      <c r="L144" s="349"/>
      <c r="M144" s="358"/>
      <c r="O144" s="183"/>
      <c r="P144" s="184"/>
      <c r="Q144" s="184"/>
      <c r="R144" s="184"/>
      <c r="S144" s="185"/>
      <c r="T144" s="188"/>
      <c r="U144" s="188"/>
      <c r="V144" s="188"/>
      <c r="W144" s="188"/>
      <c r="X144" s="188"/>
    </row>
    <row r="145" spans="1:24" s="182" customFormat="1" ht="15" customHeight="1">
      <c r="A145" s="348"/>
      <c r="B145" s="349"/>
      <c r="C145" s="349"/>
      <c r="D145" s="349"/>
      <c r="E145" s="349"/>
      <c r="F145" s="349"/>
      <c r="G145" s="349"/>
      <c r="H145" s="349"/>
      <c r="I145" s="349"/>
      <c r="J145" s="349"/>
      <c r="K145" s="349"/>
      <c r="L145" s="349"/>
      <c r="M145" s="358"/>
      <c r="O145" s="183"/>
      <c r="P145" s="184"/>
      <c r="Q145" s="184"/>
      <c r="R145" s="184"/>
      <c r="S145" s="185"/>
      <c r="T145" s="188"/>
      <c r="U145" s="188"/>
      <c r="V145" s="188"/>
      <c r="W145" s="188"/>
      <c r="X145" s="188"/>
    </row>
    <row r="146" spans="1:24" s="182" customFormat="1" ht="15" customHeight="1">
      <c r="A146" s="348"/>
      <c r="B146" s="349"/>
      <c r="C146" s="349"/>
      <c r="D146" s="349"/>
      <c r="E146" s="349"/>
      <c r="F146" s="349"/>
      <c r="G146" s="349"/>
      <c r="H146" s="349"/>
      <c r="I146" s="349"/>
      <c r="J146" s="349"/>
      <c r="K146" s="349"/>
      <c r="L146" s="349"/>
      <c r="M146" s="358"/>
      <c r="O146" s="183"/>
      <c r="P146" s="184"/>
      <c r="Q146" s="184"/>
      <c r="R146" s="184"/>
      <c r="S146" s="185"/>
      <c r="T146" s="188"/>
      <c r="U146" s="188"/>
      <c r="V146" s="188"/>
      <c r="W146" s="188"/>
      <c r="X146" s="188"/>
    </row>
    <row r="147" spans="1:24" s="182" customFormat="1" ht="15" customHeight="1">
      <c r="A147" s="348"/>
      <c r="B147" s="349"/>
      <c r="C147" s="349"/>
      <c r="D147" s="349"/>
      <c r="E147" s="349"/>
      <c r="F147" s="349"/>
      <c r="G147" s="349"/>
      <c r="H147" s="349"/>
      <c r="I147" s="349"/>
      <c r="J147" s="349"/>
      <c r="K147" s="349"/>
      <c r="L147" s="349"/>
      <c r="M147" s="358"/>
      <c r="O147" s="183"/>
      <c r="P147" s="184"/>
      <c r="Q147" s="184"/>
      <c r="R147" s="184"/>
      <c r="S147" s="185"/>
      <c r="T147" s="188"/>
      <c r="U147" s="188"/>
      <c r="V147" s="188"/>
      <c r="W147" s="188"/>
      <c r="X147" s="188"/>
    </row>
    <row r="148" spans="1:24" s="182" customFormat="1" ht="15" customHeight="1">
      <c r="A148" s="348"/>
      <c r="B148" s="349"/>
      <c r="C148" s="349"/>
      <c r="D148" s="349"/>
      <c r="E148" s="349"/>
      <c r="F148" s="349"/>
      <c r="G148" s="349"/>
      <c r="H148" s="349"/>
      <c r="I148" s="349"/>
      <c r="J148" s="349"/>
      <c r="K148" s="349"/>
      <c r="L148" s="349"/>
      <c r="M148" s="358"/>
      <c r="O148" s="183"/>
      <c r="P148" s="184"/>
      <c r="Q148" s="184"/>
      <c r="R148" s="184"/>
      <c r="S148" s="185"/>
      <c r="T148" s="188"/>
      <c r="U148" s="188"/>
      <c r="V148" s="188"/>
      <c r="W148" s="188"/>
      <c r="X148" s="188"/>
    </row>
    <row r="149" spans="1:24" s="182" customFormat="1" ht="15" customHeight="1">
      <c r="A149" s="348"/>
      <c r="B149" s="349"/>
      <c r="C149" s="349"/>
      <c r="D149" s="349"/>
      <c r="E149" s="349"/>
      <c r="F149" s="349"/>
      <c r="G149" s="349"/>
      <c r="H149" s="349"/>
      <c r="I149" s="349"/>
      <c r="J149" s="349"/>
      <c r="K149" s="349"/>
      <c r="L149" s="349"/>
      <c r="M149" s="358"/>
      <c r="O149" s="183"/>
      <c r="P149" s="184"/>
      <c r="Q149" s="184"/>
      <c r="R149" s="184"/>
      <c r="S149" s="185"/>
      <c r="T149" s="188"/>
      <c r="U149" s="188"/>
      <c r="V149" s="188"/>
      <c r="W149" s="188"/>
      <c r="X149" s="188"/>
    </row>
    <row r="150" spans="1:24" s="182" customFormat="1" ht="15" customHeight="1">
      <c r="A150" s="348"/>
      <c r="B150" s="349"/>
      <c r="C150" s="349"/>
      <c r="D150" s="349"/>
      <c r="E150" s="349"/>
      <c r="F150" s="349"/>
      <c r="G150" s="349"/>
      <c r="H150" s="349"/>
      <c r="I150" s="349"/>
      <c r="J150" s="349"/>
      <c r="K150" s="349"/>
      <c r="L150" s="349"/>
      <c r="M150" s="358"/>
      <c r="O150" s="183"/>
      <c r="P150" s="184"/>
      <c r="Q150" s="184"/>
      <c r="R150" s="184"/>
      <c r="S150" s="185"/>
      <c r="T150" s="188"/>
      <c r="U150" s="188"/>
      <c r="V150" s="188"/>
      <c r="W150" s="188"/>
      <c r="X150" s="188"/>
    </row>
    <row r="151" spans="1:24" s="182" customFormat="1" ht="15" customHeight="1">
      <c r="A151" s="348"/>
      <c r="B151" s="349"/>
      <c r="C151" s="349"/>
      <c r="D151" s="349"/>
      <c r="E151" s="349"/>
      <c r="F151" s="349"/>
      <c r="G151" s="349"/>
      <c r="H151" s="349"/>
      <c r="I151" s="349"/>
      <c r="J151" s="349"/>
      <c r="K151" s="349"/>
      <c r="L151" s="349"/>
      <c r="M151" s="358"/>
      <c r="O151" s="183"/>
      <c r="P151" s="184"/>
      <c r="Q151" s="184"/>
      <c r="R151" s="184"/>
      <c r="S151" s="185"/>
      <c r="T151" s="188"/>
      <c r="U151" s="188"/>
      <c r="V151" s="188"/>
      <c r="W151" s="188"/>
      <c r="X151" s="188"/>
    </row>
    <row r="152" spans="1:24" s="182" customFormat="1" ht="15" customHeight="1">
      <c r="A152" s="348"/>
      <c r="B152" s="349"/>
      <c r="C152" s="349"/>
      <c r="D152" s="349"/>
      <c r="E152" s="349"/>
      <c r="F152" s="349"/>
      <c r="G152" s="349"/>
      <c r="H152" s="349"/>
      <c r="I152" s="349"/>
      <c r="J152" s="349"/>
      <c r="K152" s="349"/>
      <c r="L152" s="349"/>
      <c r="M152" s="358"/>
      <c r="O152" s="183"/>
      <c r="P152" s="184"/>
      <c r="Q152" s="184"/>
      <c r="R152" s="184"/>
      <c r="S152" s="185"/>
      <c r="T152" s="188"/>
      <c r="U152" s="188"/>
      <c r="V152" s="188"/>
      <c r="W152" s="188"/>
      <c r="X152" s="188"/>
    </row>
    <row r="153" spans="1:24" s="182" customFormat="1" ht="15" customHeight="1">
      <c r="A153" s="348"/>
      <c r="B153" s="349"/>
      <c r="C153" s="349"/>
      <c r="D153" s="349"/>
      <c r="E153" s="349"/>
      <c r="F153" s="349"/>
      <c r="G153" s="349"/>
      <c r="H153" s="349"/>
      <c r="I153" s="349"/>
      <c r="J153" s="349"/>
      <c r="K153" s="349"/>
      <c r="L153" s="349"/>
      <c r="M153" s="358"/>
      <c r="O153" s="183"/>
      <c r="P153" s="184"/>
      <c r="Q153" s="184"/>
      <c r="R153" s="184"/>
      <c r="S153" s="185"/>
      <c r="T153" s="188"/>
      <c r="U153" s="188"/>
      <c r="V153" s="188"/>
      <c r="W153" s="188"/>
      <c r="X153" s="188"/>
    </row>
    <row r="154" spans="1:24" s="182" customFormat="1" ht="15" customHeight="1">
      <c r="A154" s="348"/>
      <c r="B154" s="349"/>
      <c r="C154" s="349"/>
      <c r="D154" s="349"/>
      <c r="E154" s="349"/>
      <c r="F154" s="349"/>
      <c r="G154" s="349"/>
      <c r="H154" s="349"/>
      <c r="I154" s="349"/>
      <c r="J154" s="349"/>
      <c r="K154" s="349"/>
      <c r="L154" s="349"/>
      <c r="M154" s="358"/>
      <c r="O154" s="183"/>
      <c r="P154" s="184"/>
      <c r="Q154" s="184"/>
      <c r="R154" s="184"/>
      <c r="S154" s="185"/>
      <c r="T154" s="188"/>
      <c r="U154" s="188"/>
      <c r="V154" s="188"/>
      <c r="W154" s="188"/>
      <c r="X154" s="188"/>
    </row>
    <row r="155" spans="1:24" s="182" customFormat="1" ht="15" customHeight="1">
      <c r="A155" s="348"/>
      <c r="B155" s="349"/>
      <c r="C155" s="349"/>
      <c r="D155" s="349"/>
      <c r="E155" s="349"/>
      <c r="F155" s="349"/>
      <c r="G155" s="349"/>
      <c r="H155" s="349"/>
      <c r="I155" s="349"/>
      <c r="J155" s="349"/>
      <c r="K155" s="349"/>
      <c r="L155" s="349"/>
      <c r="M155" s="358"/>
      <c r="O155" s="183"/>
      <c r="P155" s="184"/>
      <c r="Q155" s="184"/>
      <c r="R155" s="184"/>
      <c r="S155" s="185"/>
      <c r="T155" s="188"/>
      <c r="U155" s="188"/>
      <c r="V155" s="188"/>
      <c r="W155" s="188"/>
      <c r="X155" s="188"/>
    </row>
    <row r="156" spans="1:24" s="182" customFormat="1" ht="15" customHeight="1">
      <c r="A156" s="348"/>
      <c r="B156" s="349"/>
      <c r="C156" s="349"/>
      <c r="D156" s="349"/>
      <c r="E156" s="349"/>
      <c r="F156" s="349"/>
      <c r="G156" s="349"/>
      <c r="H156" s="349"/>
      <c r="I156" s="349"/>
      <c r="J156" s="349"/>
      <c r="K156" s="349"/>
      <c r="L156" s="349"/>
      <c r="M156" s="358"/>
      <c r="O156" s="183"/>
      <c r="P156" s="184"/>
      <c r="Q156" s="184"/>
      <c r="R156" s="184"/>
      <c r="S156" s="185"/>
      <c r="T156" s="188"/>
      <c r="U156" s="188"/>
      <c r="V156" s="188"/>
      <c r="W156" s="188"/>
      <c r="X156" s="188"/>
    </row>
    <row r="157" spans="1:24" s="182" customFormat="1" ht="15" customHeight="1">
      <c r="A157" s="348"/>
      <c r="B157" s="349"/>
      <c r="C157" s="349"/>
      <c r="D157" s="349"/>
      <c r="E157" s="349"/>
      <c r="F157" s="349"/>
      <c r="G157" s="349"/>
      <c r="H157" s="349"/>
      <c r="I157" s="349"/>
      <c r="J157" s="349"/>
      <c r="K157" s="349"/>
      <c r="L157" s="349"/>
      <c r="M157" s="358"/>
      <c r="O157" s="183"/>
      <c r="P157" s="184"/>
      <c r="Q157" s="184"/>
      <c r="R157" s="184"/>
      <c r="S157" s="185"/>
      <c r="T157" s="188"/>
      <c r="U157" s="188"/>
      <c r="V157" s="188"/>
      <c r="W157" s="188"/>
      <c r="X157" s="188"/>
    </row>
    <row r="158" spans="1:24" s="182" customFormat="1" ht="15" customHeight="1">
      <c r="A158" s="348"/>
      <c r="B158" s="349"/>
      <c r="C158" s="349"/>
      <c r="D158" s="349"/>
      <c r="E158" s="349"/>
      <c r="F158" s="349"/>
      <c r="G158" s="349"/>
      <c r="H158" s="349"/>
      <c r="I158" s="349"/>
      <c r="J158" s="349"/>
      <c r="K158" s="349"/>
      <c r="L158" s="349"/>
      <c r="M158" s="358"/>
      <c r="O158" s="183"/>
      <c r="P158" s="184"/>
      <c r="Q158" s="184"/>
      <c r="R158" s="184"/>
      <c r="S158" s="185"/>
      <c r="T158" s="188"/>
      <c r="U158" s="188"/>
      <c r="V158" s="188"/>
      <c r="W158" s="188"/>
      <c r="X158" s="188"/>
    </row>
    <row r="159" spans="1:24" s="182" customFormat="1" ht="15" customHeight="1">
      <c r="A159" s="348"/>
      <c r="B159" s="349"/>
      <c r="C159" s="349"/>
      <c r="D159" s="349"/>
      <c r="E159" s="349"/>
      <c r="F159" s="349"/>
      <c r="G159" s="349"/>
      <c r="H159" s="349"/>
      <c r="I159" s="349"/>
      <c r="J159" s="349"/>
      <c r="K159" s="349"/>
      <c r="L159" s="349"/>
      <c r="M159" s="358"/>
      <c r="O159" s="183"/>
      <c r="P159" s="184"/>
      <c r="Q159" s="184"/>
      <c r="R159" s="184"/>
      <c r="S159" s="185"/>
      <c r="T159" s="188"/>
      <c r="U159" s="188"/>
      <c r="V159" s="188"/>
      <c r="W159" s="188"/>
      <c r="X159" s="188"/>
    </row>
    <row r="160" spans="1:24" s="182" customFormat="1" ht="15" customHeight="1">
      <c r="A160" s="348"/>
      <c r="B160" s="349"/>
      <c r="C160" s="349"/>
      <c r="D160" s="349"/>
      <c r="E160" s="349"/>
      <c r="F160" s="349"/>
      <c r="G160" s="349"/>
      <c r="H160" s="349"/>
      <c r="I160" s="349"/>
      <c r="J160" s="349"/>
      <c r="K160" s="349"/>
      <c r="L160" s="349"/>
      <c r="M160" s="358"/>
      <c r="O160" s="183"/>
      <c r="P160" s="184"/>
      <c r="Q160" s="184"/>
      <c r="R160" s="184"/>
      <c r="S160" s="185"/>
      <c r="T160" s="188"/>
      <c r="U160" s="188"/>
      <c r="V160" s="188"/>
      <c r="W160" s="188"/>
      <c r="X160" s="188"/>
    </row>
    <row r="161" spans="1:24" s="182" customFormat="1" ht="15" customHeight="1">
      <c r="A161" s="348"/>
      <c r="B161" s="349"/>
      <c r="C161" s="349"/>
      <c r="D161" s="349"/>
      <c r="E161" s="349"/>
      <c r="F161" s="349"/>
      <c r="G161" s="349"/>
      <c r="H161" s="349"/>
      <c r="I161" s="349"/>
      <c r="J161" s="349"/>
      <c r="K161" s="349"/>
      <c r="L161" s="349"/>
      <c r="M161" s="358"/>
      <c r="O161" s="183"/>
      <c r="P161" s="184"/>
      <c r="Q161" s="184"/>
      <c r="R161" s="184"/>
      <c r="S161" s="185"/>
      <c r="T161" s="188"/>
      <c r="U161" s="188"/>
      <c r="V161" s="188"/>
      <c r="W161" s="188"/>
      <c r="X161" s="188"/>
    </row>
    <row r="162" spans="1:24" s="182" customFormat="1" ht="15" customHeight="1">
      <c r="A162" s="348"/>
      <c r="B162" s="349"/>
      <c r="C162" s="349"/>
      <c r="D162" s="349"/>
      <c r="E162" s="349"/>
      <c r="F162" s="349"/>
      <c r="G162" s="349"/>
      <c r="H162" s="349"/>
      <c r="I162" s="349"/>
      <c r="J162" s="349"/>
      <c r="K162" s="349"/>
      <c r="L162" s="349"/>
      <c r="M162" s="358"/>
      <c r="O162" s="183"/>
      <c r="P162" s="184"/>
      <c r="Q162" s="184"/>
      <c r="R162" s="184"/>
      <c r="S162" s="185"/>
      <c r="T162" s="188"/>
      <c r="U162" s="188"/>
      <c r="V162" s="188"/>
      <c r="W162" s="188"/>
      <c r="X162" s="188"/>
    </row>
    <row r="163" spans="1:24" s="182" customFormat="1" ht="15" customHeight="1">
      <c r="A163" s="348"/>
      <c r="B163" s="349"/>
      <c r="C163" s="349"/>
      <c r="D163" s="349"/>
      <c r="E163" s="349"/>
      <c r="F163" s="349"/>
      <c r="G163" s="349"/>
      <c r="H163" s="349"/>
      <c r="I163" s="349"/>
      <c r="J163" s="349"/>
      <c r="K163" s="349"/>
      <c r="L163" s="349"/>
      <c r="M163" s="358"/>
      <c r="O163" s="183"/>
      <c r="P163" s="184"/>
      <c r="Q163" s="184"/>
      <c r="R163" s="184"/>
      <c r="S163" s="185"/>
      <c r="T163" s="188"/>
      <c r="U163" s="188"/>
      <c r="V163" s="188"/>
      <c r="W163" s="188"/>
      <c r="X163" s="188"/>
    </row>
    <row r="164" spans="1:24" s="182" customFormat="1" ht="15" customHeight="1">
      <c r="A164" s="348"/>
      <c r="B164" s="349"/>
      <c r="C164" s="349"/>
      <c r="D164" s="349"/>
      <c r="E164" s="349"/>
      <c r="F164" s="349"/>
      <c r="G164" s="349"/>
      <c r="H164" s="349"/>
      <c r="I164" s="349"/>
      <c r="J164" s="349"/>
      <c r="K164" s="349"/>
      <c r="L164" s="349"/>
      <c r="M164" s="358"/>
      <c r="O164" s="183"/>
      <c r="P164" s="184"/>
      <c r="Q164" s="184"/>
      <c r="R164" s="184"/>
      <c r="S164" s="185"/>
      <c r="T164" s="188"/>
      <c r="U164" s="188"/>
      <c r="V164" s="188"/>
      <c r="W164" s="188"/>
      <c r="X164" s="188"/>
    </row>
    <row r="165" spans="1:24" s="182" customFormat="1" ht="15" customHeight="1">
      <c r="A165" s="348"/>
      <c r="B165" s="349"/>
      <c r="C165" s="349"/>
      <c r="D165" s="349"/>
      <c r="E165" s="349"/>
      <c r="F165" s="349"/>
      <c r="G165" s="349"/>
      <c r="H165" s="349"/>
      <c r="I165" s="349"/>
      <c r="J165" s="349"/>
      <c r="K165" s="349"/>
      <c r="L165" s="349"/>
      <c r="M165" s="358"/>
      <c r="O165" s="183"/>
      <c r="P165" s="184"/>
      <c r="Q165" s="184"/>
      <c r="R165" s="184"/>
      <c r="S165" s="185"/>
      <c r="T165" s="188"/>
      <c r="U165" s="188"/>
      <c r="V165" s="188"/>
      <c r="W165" s="188"/>
      <c r="X165" s="188"/>
    </row>
    <row r="166" spans="1:24" s="182" customFormat="1" ht="15" customHeight="1">
      <c r="A166" s="348"/>
      <c r="B166" s="349"/>
      <c r="C166" s="349"/>
      <c r="D166" s="349"/>
      <c r="E166" s="349"/>
      <c r="F166" s="349"/>
      <c r="G166" s="349"/>
      <c r="H166" s="349"/>
      <c r="I166" s="349"/>
      <c r="J166" s="349"/>
      <c r="K166" s="349"/>
      <c r="L166" s="349"/>
      <c r="M166" s="358"/>
      <c r="O166" s="183"/>
      <c r="P166" s="184"/>
      <c r="Q166" s="184"/>
      <c r="R166" s="184"/>
      <c r="S166" s="185"/>
      <c r="T166" s="188"/>
      <c r="U166" s="188"/>
      <c r="V166" s="188"/>
      <c r="W166" s="188"/>
      <c r="X166" s="188"/>
    </row>
    <row r="167" spans="1:24" s="182" customFormat="1" ht="15" customHeight="1">
      <c r="A167" s="348"/>
      <c r="B167" s="349"/>
      <c r="C167" s="349"/>
      <c r="D167" s="349"/>
      <c r="E167" s="349"/>
      <c r="F167" s="349"/>
      <c r="G167" s="349"/>
      <c r="H167" s="349"/>
      <c r="I167" s="349"/>
      <c r="J167" s="349"/>
      <c r="K167" s="349"/>
      <c r="L167" s="349"/>
      <c r="M167" s="358"/>
      <c r="O167" s="183"/>
      <c r="P167" s="184"/>
      <c r="Q167" s="184"/>
      <c r="R167" s="184"/>
      <c r="S167" s="185"/>
      <c r="T167" s="188"/>
      <c r="U167" s="188"/>
      <c r="V167" s="188"/>
      <c r="W167" s="188"/>
      <c r="X167" s="188"/>
    </row>
    <row r="168" spans="1:24" s="182" customFormat="1" ht="15" customHeight="1">
      <c r="A168" s="348"/>
      <c r="B168" s="349"/>
      <c r="C168" s="349"/>
      <c r="D168" s="349"/>
      <c r="E168" s="349"/>
      <c r="F168" s="349"/>
      <c r="G168" s="349"/>
      <c r="H168" s="349"/>
      <c r="I168" s="349"/>
      <c r="J168" s="349"/>
      <c r="K168" s="349"/>
      <c r="L168" s="349"/>
      <c r="M168" s="358"/>
      <c r="O168" s="183"/>
      <c r="P168" s="184"/>
      <c r="Q168" s="184"/>
      <c r="R168" s="184"/>
      <c r="S168" s="185"/>
      <c r="T168" s="188"/>
      <c r="U168" s="188"/>
      <c r="V168" s="188"/>
      <c r="W168" s="188"/>
      <c r="X168" s="188"/>
    </row>
    <row r="169" spans="1:24" s="182" customFormat="1" ht="15" customHeight="1">
      <c r="A169" s="348"/>
      <c r="B169" s="349"/>
      <c r="C169" s="349"/>
      <c r="D169" s="349"/>
      <c r="E169" s="349"/>
      <c r="F169" s="349"/>
      <c r="G169" s="349"/>
      <c r="H169" s="349"/>
      <c r="I169" s="349"/>
      <c r="J169" s="349"/>
      <c r="K169" s="349"/>
      <c r="L169" s="349"/>
      <c r="M169" s="358"/>
      <c r="O169" s="183"/>
      <c r="P169" s="184"/>
      <c r="Q169" s="184"/>
      <c r="R169" s="184"/>
      <c r="S169" s="185"/>
      <c r="T169" s="188"/>
      <c r="U169" s="188"/>
      <c r="V169" s="188"/>
      <c r="W169" s="188"/>
      <c r="X169" s="188"/>
    </row>
    <row r="170" spans="1:24" s="182" customFormat="1" ht="15" customHeight="1">
      <c r="A170" s="348"/>
      <c r="B170" s="349"/>
      <c r="C170" s="349"/>
      <c r="D170" s="349"/>
      <c r="E170" s="349"/>
      <c r="F170" s="349"/>
      <c r="G170" s="349"/>
      <c r="H170" s="349"/>
      <c r="I170" s="349"/>
      <c r="J170" s="349"/>
      <c r="K170" s="349"/>
      <c r="L170" s="349"/>
      <c r="M170" s="358"/>
      <c r="O170" s="183"/>
      <c r="P170" s="184"/>
      <c r="Q170" s="184"/>
      <c r="R170" s="184"/>
      <c r="S170" s="185"/>
      <c r="T170" s="188"/>
      <c r="U170" s="188"/>
      <c r="V170" s="188"/>
      <c r="W170" s="188"/>
      <c r="X170" s="188"/>
    </row>
    <row r="171" spans="1:24" s="182" customFormat="1" ht="15" customHeight="1">
      <c r="A171" s="348"/>
      <c r="B171" s="349"/>
      <c r="C171" s="349"/>
      <c r="D171" s="349"/>
      <c r="E171" s="349"/>
      <c r="F171" s="349"/>
      <c r="G171" s="349"/>
      <c r="H171" s="349"/>
      <c r="I171" s="349"/>
      <c r="J171" s="349"/>
      <c r="K171" s="349"/>
      <c r="L171" s="349"/>
      <c r="M171" s="358"/>
      <c r="O171" s="183"/>
      <c r="P171" s="184"/>
      <c r="Q171" s="184"/>
      <c r="R171" s="184"/>
      <c r="S171" s="185"/>
      <c r="T171" s="188"/>
      <c r="U171" s="188"/>
      <c r="V171" s="188"/>
      <c r="W171" s="188"/>
      <c r="X171" s="188"/>
    </row>
    <row r="172" spans="1:24" s="182" customFormat="1" ht="15" customHeight="1">
      <c r="A172" s="348"/>
      <c r="B172" s="349"/>
      <c r="C172" s="349"/>
      <c r="D172" s="349"/>
      <c r="E172" s="349"/>
      <c r="F172" s="349"/>
      <c r="G172" s="349"/>
      <c r="H172" s="349"/>
      <c r="I172" s="349"/>
      <c r="J172" s="349"/>
      <c r="K172" s="349"/>
      <c r="L172" s="349"/>
      <c r="M172" s="358"/>
      <c r="O172" s="183"/>
      <c r="P172" s="184"/>
      <c r="Q172" s="184"/>
      <c r="R172" s="184"/>
      <c r="S172" s="185"/>
      <c r="T172" s="188"/>
      <c r="U172" s="188"/>
      <c r="V172" s="188"/>
      <c r="W172" s="188"/>
      <c r="X172" s="188"/>
    </row>
    <row r="173" spans="1:24" s="182" customFormat="1" ht="15" customHeight="1">
      <c r="A173" s="348"/>
      <c r="B173" s="349"/>
      <c r="C173" s="349"/>
      <c r="D173" s="349"/>
      <c r="E173" s="349"/>
      <c r="F173" s="349"/>
      <c r="G173" s="349"/>
      <c r="H173" s="349"/>
      <c r="I173" s="349"/>
      <c r="J173" s="349"/>
      <c r="K173" s="349"/>
      <c r="L173" s="349"/>
      <c r="M173" s="358"/>
      <c r="O173" s="183"/>
      <c r="P173" s="184"/>
      <c r="Q173" s="184"/>
      <c r="R173" s="184"/>
      <c r="S173" s="185"/>
      <c r="T173" s="188"/>
      <c r="U173" s="188"/>
      <c r="V173" s="188"/>
      <c r="W173" s="188"/>
      <c r="X173" s="188"/>
    </row>
    <row r="174" spans="1:24" s="182" customFormat="1" ht="15" customHeight="1">
      <c r="A174" s="348"/>
      <c r="B174" s="349"/>
      <c r="C174" s="349"/>
      <c r="D174" s="349"/>
      <c r="E174" s="349"/>
      <c r="F174" s="349"/>
      <c r="G174" s="349"/>
      <c r="H174" s="349"/>
      <c r="I174" s="349"/>
      <c r="J174" s="349"/>
      <c r="K174" s="349"/>
      <c r="L174" s="349"/>
      <c r="M174" s="358"/>
      <c r="O174" s="183"/>
      <c r="P174" s="184"/>
      <c r="Q174" s="184"/>
      <c r="R174" s="184"/>
      <c r="S174" s="185"/>
      <c r="T174" s="188"/>
      <c r="U174" s="188"/>
      <c r="V174" s="188"/>
      <c r="W174" s="188"/>
      <c r="X174" s="188"/>
    </row>
    <row r="175" spans="1:24" s="182" customFormat="1" ht="15" customHeight="1">
      <c r="A175" s="348"/>
      <c r="B175" s="349"/>
      <c r="C175" s="349"/>
      <c r="D175" s="349"/>
      <c r="E175" s="349"/>
      <c r="F175" s="349"/>
      <c r="G175" s="349"/>
      <c r="H175" s="349"/>
      <c r="I175" s="349"/>
      <c r="J175" s="349"/>
      <c r="K175" s="349"/>
      <c r="L175" s="349"/>
      <c r="M175" s="358"/>
      <c r="O175" s="183"/>
      <c r="P175" s="184"/>
      <c r="Q175" s="184"/>
      <c r="R175" s="184"/>
      <c r="S175" s="185"/>
      <c r="T175" s="188"/>
      <c r="U175" s="188"/>
      <c r="V175" s="188"/>
      <c r="W175" s="188"/>
      <c r="X175" s="188"/>
    </row>
    <row r="176" spans="1:24" s="182" customFormat="1" ht="15" customHeight="1">
      <c r="A176" s="348"/>
      <c r="B176" s="349"/>
      <c r="C176" s="349"/>
      <c r="D176" s="349"/>
      <c r="E176" s="349"/>
      <c r="F176" s="349"/>
      <c r="G176" s="349"/>
      <c r="H176" s="349"/>
      <c r="I176" s="349"/>
      <c r="J176" s="349"/>
      <c r="K176" s="349"/>
      <c r="L176" s="349"/>
      <c r="M176" s="358"/>
      <c r="O176" s="183"/>
      <c r="P176" s="184"/>
      <c r="Q176" s="184"/>
      <c r="R176" s="184"/>
      <c r="S176" s="185"/>
      <c r="T176" s="188"/>
      <c r="U176" s="188"/>
      <c r="V176" s="188"/>
      <c r="W176" s="188"/>
      <c r="X176" s="188"/>
    </row>
    <row r="177" spans="1:24" s="182" customFormat="1" ht="15" customHeight="1">
      <c r="A177" s="348"/>
      <c r="B177" s="349"/>
      <c r="C177" s="349"/>
      <c r="D177" s="349"/>
      <c r="E177" s="349"/>
      <c r="F177" s="349"/>
      <c r="G177" s="349"/>
      <c r="H177" s="349"/>
      <c r="I177" s="349"/>
      <c r="J177" s="349"/>
      <c r="K177" s="349"/>
      <c r="L177" s="349"/>
      <c r="M177" s="358"/>
      <c r="O177" s="183"/>
      <c r="P177" s="184"/>
      <c r="Q177" s="184"/>
      <c r="R177" s="184"/>
      <c r="S177" s="185"/>
      <c r="T177" s="188"/>
      <c r="U177" s="188"/>
      <c r="V177" s="188"/>
      <c r="W177" s="188"/>
      <c r="X177" s="188"/>
    </row>
    <row r="178" spans="1:24" s="182" customFormat="1" ht="15" customHeight="1">
      <c r="A178" s="348"/>
      <c r="B178" s="349"/>
      <c r="C178" s="349"/>
      <c r="D178" s="349"/>
      <c r="E178" s="349"/>
      <c r="F178" s="349"/>
      <c r="G178" s="349"/>
      <c r="H178" s="349"/>
      <c r="I178" s="349"/>
      <c r="J178" s="349"/>
      <c r="K178" s="349"/>
      <c r="L178" s="349"/>
      <c r="M178" s="358"/>
      <c r="O178" s="183"/>
      <c r="P178" s="184"/>
      <c r="Q178" s="184"/>
      <c r="R178" s="184"/>
      <c r="S178" s="185"/>
      <c r="T178" s="188"/>
      <c r="U178" s="188"/>
      <c r="V178" s="188"/>
      <c r="W178" s="188"/>
      <c r="X178" s="188"/>
    </row>
    <row r="179" spans="1:24" s="182" customFormat="1" ht="15" customHeight="1">
      <c r="A179" s="348"/>
      <c r="B179" s="349"/>
      <c r="C179" s="349"/>
      <c r="D179" s="349"/>
      <c r="E179" s="349"/>
      <c r="F179" s="349"/>
      <c r="G179" s="349"/>
      <c r="H179" s="349"/>
      <c r="I179" s="349"/>
      <c r="J179" s="349"/>
      <c r="K179" s="349"/>
      <c r="L179" s="349"/>
      <c r="M179" s="358"/>
      <c r="O179" s="183"/>
      <c r="P179" s="184"/>
      <c r="Q179" s="184"/>
      <c r="R179" s="184"/>
      <c r="S179" s="185"/>
      <c r="T179" s="188"/>
      <c r="U179" s="188"/>
      <c r="V179" s="188"/>
      <c r="W179" s="188"/>
      <c r="X179" s="188"/>
    </row>
    <row r="180" spans="1:24" s="182" customFormat="1" ht="15" customHeight="1">
      <c r="A180" s="348"/>
      <c r="B180" s="349"/>
      <c r="C180" s="349"/>
      <c r="D180" s="349"/>
      <c r="E180" s="349"/>
      <c r="F180" s="349"/>
      <c r="G180" s="349"/>
      <c r="H180" s="349"/>
      <c r="I180" s="349"/>
      <c r="J180" s="349"/>
      <c r="K180" s="349"/>
      <c r="L180" s="349"/>
      <c r="M180" s="358"/>
      <c r="O180" s="183"/>
      <c r="P180" s="184"/>
      <c r="Q180" s="184"/>
      <c r="R180" s="184"/>
      <c r="S180" s="185"/>
      <c r="T180" s="188"/>
      <c r="U180" s="188"/>
      <c r="V180" s="188"/>
      <c r="W180" s="188"/>
      <c r="X180" s="188"/>
    </row>
    <row r="181" spans="1:24" s="182" customFormat="1" ht="15" customHeight="1">
      <c r="A181" s="348"/>
      <c r="B181" s="349"/>
      <c r="C181" s="349"/>
      <c r="D181" s="349"/>
      <c r="E181" s="349"/>
      <c r="F181" s="349"/>
      <c r="G181" s="349"/>
      <c r="H181" s="349"/>
      <c r="I181" s="349"/>
      <c r="J181" s="349"/>
      <c r="K181" s="349"/>
      <c r="L181" s="349"/>
      <c r="M181" s="358"/>
      <c r="O181" s="183"/>
      <c r="P181" s="184"/>
      <c r="Q181" s="184"/>
      <c r="R181" s="184"/>
      <c r="S181" s="185"/>
      <c r="T181" s="188"/>
      <c r="U181" s="188"/>
      <c r="V181" s="188"/>
      <c r="W181" s="188"/>
      <c r="X181" s="188"/>
    </row>
    <row r="182" spans="1:24" s="182" customFormat="1" ht="15" customHeight="1">
      <c r="A182" s="348"/>
      <c r="B182" s="349"/>
      <c r="C182" s="349"/>
      <c r="D182" s="349"/>
      <c r="E182" s="349"/>
      <c r="F182" s="349"/>
      <c r="G182" s="349"/>
      <c r="H182" s="349"/>
      <c r="I182" s="349"/>
      <c r="J182" s="349"/>
      <c r="K182" s="349"/>
      <c r="L182" s="349"/>
      <c r="M182" s="358"/>
      <c r="O182" s="183"/>
      <c r="P182" s="184"/>
      <c r="Q182" s="184"/>
      <c r="R182" s="184"/>
      <c r="S182" s="185"/>
      <c r="T182" s="188"/>
      <c r="U182" s="188"/>
      <c r="V182" s="188"/>
      <c r="W182" s="188"/>
      <c r="X182" s="188"/>
    </row>
    <row r="183" spans="1:24" s="182" customFormat="1" ht="15" customHeight="1">
      <c r="A183" s="348"/>
      <c r="B183" s="349"/>
      <c r="C183" s="349"/>
      <c r="D183" s="349"/>
      <c r="E183" s="349"/>
      <c r="F183" s="349"/>
      <c r="G183" s="349"/>
      <c r="H183" s="349"/>
      <c r="I183" s="349"/>
      <c r="J183" s="349"/>
      <c r="K183" s="349"/>
      <c r="L183" s="349"/>
      <c r="M183" s="358"/>
      <c r="O183" s="183"/>
      <c r="P183" s="184"/>
      <c r="Q183" s="184"/>
      <c r="R183" s="184"/>
      <c r="S183" s="185"/>
      <c r="T183" s="188"/>
      <c r="U183" s="188"/>
      <c r="V183" s="188"/>
      <c r="W183" s="188"/>
      <c r="X183" s="188"/>
    </row>
    <row r="184" spans="1:24" s="182" customFormat="1" ht="15" customHeight="1">
      <c r="A184" s="348"/>
      <c r="B184" s="349"/>
      <c r="C184" s="349"/>
      <c r="D184" s="349"/>
      <c r="E184" s="349"/>
      <c r="F184" s="349"/>
      <c r="G184" s="349"/>
      <c r="H184" s="349"/>
      <c r="I184" s="349"/>
      <c r="J184" s="349"/>
      <c r="K184" s="349"/>
      <c r="L184" s="349"/>
      <c r="M184" s="358"/>
      <c r="O184" s="183"/>
      <c r="P184" s="184"/>
      <c r="Q184" s="184"/>
      <c r="R184" s="184"/>
      <c r="S184" s="185"/>
      <c r="T184" s="188"/>
      <c r="U184" s="188"/>
      <c r="V184" s="188"/>
      <c r="W184" s="188"/>
      <c r="X184" s="188"/>
    </row>
    <row r="185" spans="1:24" s="182" customFormat="1" ht="15" customHeight="1">
      <c r="A185" s="348"/>
      <c r="B185" s="349"/>
      <c r="C185" s="349"/>
      <c r="D185" s="349"/>
      <c r="E185" s="349"/>
      <c r="F185" s="349"/>
      <c r="G185" s="349"/>
      <c r="H185" s="349"/>
      <c r="I185" s="349"/>
      <c r="J185" s="349"/>
      <c r="K185" s="349"/>
      <c r="L185" s="349"/>
      <c r="M185" s="358"/>
      <c r="O185" s="183"/>
      <c r="P185" s="184"/>
      <c r="Q185" s="184"/>
      <c r="R185" s="184"/>
      <c r="S185" s="185"/>
      <c r="T185" s="188"/>
      <c r="U185" s="188"/>
      <c r="V185" s="188"/>
      <c r="W185" s="188"/>
      <c r="X185" s="188"/>
    </row>
    <row r="186" spans="1:24" s="182" customFormat="1" ht="15" customHeight="1">
      <c r="A186" s="348"/>
      <c r="B186" s="349"/>
      <c r="C186" s="349"/>
      <c r="D186" s="349"/>
      <c r="E186" s="349"/>
      <c r="F186" s="349"/>
      <c r="G186" s="349"/>
      <c r="H186" s="349"/>
      <c r="I186" s="349"/>
      <c r="J186" s="349"/>
      <c r="K186" s="349"/>
      <c r="L186" s="349"/>
      <c r="M186" s="358"/>
      <c r="O186" s="183"/>
      <c r="P186" s="184"/>
      <c r="Q186" s="184"/>
      <c r="R186" s="184"/>
      <c r="S186" s="185"/>
      <c r="T186" s="188"/>
      <c r="U186" s="188"/>
      <c r="V186" s="188"/>
      <c r="W186" s="188"/>
      <c r="X186" s="188"/>
    </row>
    <row r="187" spans="1:24" s="182" customFormat="1" ht="15" customHeight="1">
      <c r="A187" s="348"/>
      <c r="B187" s="349"/>
      <c r="C187" s="349"/>
      <c r="D187" s="349"/>
      <c r="E187" s="349"/>
      <c r="F187" s="349"/>
      <c r="G187" s="349"/>
      <c r="H187" s="349"/>
      <c r="I187" s="349"/>
      <c r="J187" s="349"/>
      <c r="K187" s="349"/>
      <c r="L187" s="349"/>
      <c r="M187" s="358"/>
      <c r="O187" s="183"/>
      <c r="P187" s="184"/>
      <c r="Q187" s="184"/>
      <c r="R187" s="184"/>
      <c r="S187" s="185"/>
      <c r="T187" s="188"/>
      <c r="U187" s="188"/>
      <c r="V187" s="188"/>
      <c r="W187" s="188"/>
      <c r="X187" s="188"/>
    </row>
    <row r="188" spans="1:24" s="182" customFormat="1" ht="15" customHeight="1">
      <c r="A188" s="348"/>
      <c r="B188" s="349"/>
      <c r="C188" s="349"/>
      <c r="D188" s="349"/>
      <c r="E188" s="349"/>
      <c r="F188" s="349"/>
      <c r="G188" s="349"/>
      <c r="H188" s="349"/>
      <c r="I188" s="349"/>
      <c r="J188" s="349"/>
      <c r="K188" s="349"/>
      <c r="L188" s="349"/>
      <c r="M188" s="358"/>
      <c r="O188" s="183"/>
      <c r="P188" s="184"/>
      <c r="Q188" s="184"/>
      <c r="R188" s="184"/>
      <c r="S188" s="185"/>
      <c r="T188" s="188"/>
      <c r="U188" s="188"/>
      <c r="V188" s="188"/>
      <c r="W188" s="188"/>
      <c r="X188" s="188"/>
    </row>
    <row r="189" spans="1:24" s="182" customFormat="1" ht="15" customHeight="1">
      <c r="A189" s="348"/>
      <c r="B189" s="349"/>
      <c r="C189" s="349"/>
      <c r="D189" s="349"/>
      <c r="E189" s="349"/>
      <c r="F189" s="349"/>
      <c r="G189" s="349"/>
      <c r="H189" s="349"/>
      <c r="I189" s="349"/>
      <c r="J189" s="349"/>
      <c r="K189" s="349"/>
      <c r="L189" s="349"/>
      <c r="M189" s="358"/>
      <c r="O189" s="183"/>
      <c r="P189" s="184"/>
      <c r="Q189" s="184"/>
      <c r="R189" s="184"/>
      <c r="S189" s="185"/>
      <c r="T189" s="188"/>
      <c r="U189" s="188"/>
      <c r="V189" s="188"/>
      <c r="W189" s="188"/>
      <c r="X189" s="188"/>
    </row>
    <row r="190" spans="1:24" s="182" customFormat="1" ht="15" customHeight="1">
      <c r="A190" s="348"/>
      <c r="B190" s="349"/>
      <c r="C190" s="349"/>
      <c r="D190" s="349"/>
      <c r="E190" s="349"/>
      <c r="F190" s="349"/>
      <c r="G190" s="349"/>
      <c r="H190" s="349"/>
      <c r="I190" s="349"/>
      <c r="J190" s="349"/>
      <c r="K190" s="349"/>
      <c r="L190" s="349"/>
      <c r="M190" s="358"/>
      <c r="O190" s="183"/>
      <c r="P190" s="184"/>
      <c r="Q190" s="184"/>
      <c r="R190" s="184"/>
      <c r="S190" s="185"/>
      <c r="T190" s="188"/>
      <c r="U190" s="188"/>
      <c r="V190" s="188"/>
      <c r="W190" s="188"/>
      <c r="X190" s="188"/>
    </row>
    <row r="191" spans="1:24" s="182" customFormat="1" ht="15" customHeight="1">
      <c r="A191" s="348"/>
      <c r="B191" s="349"/>
      <c r="C191" s="349"/>
      <c r="D191" s="349"/>
      <c r="E191" s="349"/>
      <c r="F191" s="349"/>
      <c r="G191" s="349"/>
      <c r="H191" s="349"/>
      <c r="I191" s="349"/>
      <c r="J191" s="349"/>
      <c r="K191" s="349"/>
      <c r="L191" s="349"/>
      <c r="M191" s="358"/>
      <c r="O191" s="183"/>
      <c r="P191" s="184"/>
      <c r="Q191" s="184"/>
      <c r="R191" s="184"/>
      <c r="S191" s="185"/>
      <c r="T191" s="188"/>
      <c r="U191" s="188"/>
      <c r="V191" s="188"/>
      <c r="W191" s="188"/>
      <c r="X191" s="188"/>
    </row>
    <row r="192" spans="1:24" s="182" customFormat="1" ht="15" customHeight="1">
      <c r="A192" s="348"/>
      <c r="B192" s="349"/>
      <c r="C192" s="349"/>
      <c r="D192" s="349"/>
      <c r="E192" s="349"/>
      <c r="F192" s="349"/>
      <c r="G192" s="349"/>
      <c r="H192" s="349"/>
      <c r="I192" s="349"/>
      <c r="J192" s="349"/>
      <c r="K192" s="349"/>
      <c r="L192" s="349"/>
      <c r="M192" s="358"/>
      <c r="O192" s="183"/>
      <c r="P192" s="184"/>
      <c r="Q192" s="184"/>
      <c r="R192" s="184"/>
      <c r="S192" s="185"/>
      <c r="T192" s="188"/>
      <c r="U192" s="188"/>
      <c r="V192" s="188"/>
      <c r="W192" s="188"/>
      <c r="X192" s="188"/>
    </row>
    <row r="193" spans="1:24" s="182" customFormat="1" ht="15" customHeight="1">
      <c r="A193" s="348"/>
      <c r="B193" s="349"/>
      <c r="C193" s="349"/>
      <c r="D193" s="349"/>
      <c r="E193" s="349"/>
      <c r="F193" s="349"/>
      <c r="G193" s="349"/>
      <c r="H193" s="349"/>
      <c r="I193" s="349"/>
      <c r="J193" s="349"/>
      <c r="K193" s="349"/>
      <c r="L193" s="349"/>
      <c r="M193" s="358"/>
      <c r="O193" s="183"/>
      <c r="P193" s="184"/>
      <c r="Q193" s="184"/>
      <c r="R193" s="184"/>
      <c r="S193" s="185"/>
      <c r="T193" s="188"/>
      <c r="U193" s="188"/>
      <c r="V193" s="188"/>
      <c r="W193" s="188"/>
      <c r="X193" s="188"/>
    </row>
    <row r="194" spans="1:24" s="182" customFormat="1" ht="15" customHeight="1">
      <c r="A194" s="348"/>
      <c r="B194" s="349"/>
      <c r="C194" s="349"/>
      <c r="D194" s="349"/>
      <c r="E194" s="349"/>
      <c r="F194" s="349"/>
      <c r="G194" s="349"/>
      <c r="H194" s="349"/>
      <c r="I194" s="349"/>
      <c r="J194" s="349"/>
      <c r="K194" s="349"/>
      <c r="L194" s="349"/>
      <c r="M194" s="358"/>
      <c r="O194" s="183"/>
      <c r="P194" s="184"/>
      <c r="Q194" s="184"/>
      <c r="R194" s="184"/>
      <c r="S194" s="185"/>
      <c r="T194" s="188"/>
      <c r="U194" s="188"/>
      <c r="V194" s="188"/>
      <c r="W194" s="188"/>
      <c r="X194" s="188"/>
    </row>
    <row r="195" spans="1:24" s="182" customFormat="1" ht="15" customHeight="1">
      <c r="A195" s="348"/>
      <c r="B195" s="349"/>
      <c r="C195" s="349"/>
      <c r="D195" s="349"/>
      <c r="E195" s="349"/>
      <c r="F195" s="349"/>
      <c r="G195" s="349"/>
      <c r="H195" s="349"/>
      <c r="I195" s="349"/>
      <c r="J195" s="349"/>
      <c r="K195" s="349"/>
      <c r="L195" s="349"/>
      <c r="M195" s="358"/>
      <c r="O195" s="183"/>
      <c r="P195" s="184"/>
      <c r="Q195" s="184"/>
      <c r="R195" s="184"/>
      <c r="S195" s="185"/>
      <c r="T195" s="188"/>
      <c r="U195" s="188"/>
      <c r="V195" s="188"/>
      <c r="W195" s="188"/>
      <c r="X195" s="188"/>
    </row>
    <row r="196" spans="1:24" s="182" customFormat="1" ht="15" customHeight="1">
      <c r="A196" s="348"/>
      <c r="B196" s="349"/>
      <c r="C196" s="349"/>
      <c r="D196" s="349"/>
      <c r="E196" s="349"/>
      <c r="F196" s="349"/>
      <c r="G196" s="349"/>
      <c r="H196" s="349"/>
      <c r="I196" s="349"/>
      <c r="J196" s="349"/>
      <c r="K196" s="349"/>
      <c r="L196" s="349"/>
      <c r="M196" s="358"/>
      <c r="O196" s="183"/>
      <c r="P196" s="184"/>
      <c r="Q196" s="184"/>
      <c r="R196" s="184"/>
      <c r="S196" s="185"/>
      <c r="T196" s="188"/>
      <c r="U196" s="188"/>
      <c r="V196" s="188"/>
      <c r="W196" s="188"/>
      <c r="X196" s="188"/>
    </row>
    <row r="197" spans="1:24" s="182" customFormat="1" ht="15" customHeight="1">
      <c r="A197" s="348"/>
      <c r="B197" s="349"/>
      <c r="C197" s="349"/>
      <c r="D197" s="349"/>
      <c r="E197" s="349"/>
      <c r="F197" s="349"/>
      <c r="G197" s="349"/>
      <c r="H197" s="349"/>
      <c r="I197" s="349"/>
      <c r="J197" s="349"/>
      <c r="K197" s="349"/>
      <c r="L197" s="349"/>
      <c r="M197" s="358"/>
      <c r="O197" s="183"/>
      <c r="P197" s="184"/>
      <c r="Q197" s="184"/>
      <c r="R197" s="184"/>
      <c r="S197" s="185"/>
      <c r="T197" s="188"/>
      <c r="U197" s="188"/>
      <c r="V197" s="188"/>
      <c r="W197" s="188"/>
      <c r="X197" s="188"/>
    </row>
    <row r="198" spans="1:24" s="182" customFormat="1" ht="15" customHeight="1">
      <c r="A198" s="348"/>
      <c r="B198" s="349"/>
      <c r="C198" s="349"/>
      <c r="D198" s="349"/>
      <c r="E198" s="349"/>
      <c r="F198" s="349"/>
      <c r="G198" s="349"/>
      <c r="H198" s="349"/>
      <c r="I198" s="349"/>
      <c r="J198" s="349"/>
      <c r="K198" s="349"/>
      <c r="L198" s="349"/>
      <c r="M198" s="358"/>
      <c r="O198" s="183"/>
      <c r="P198" s="184"/>
      <c r="Q198" s="184"/>
      <c r="R198" s="184"/>
      <c r="S198" s="185"/>
      <c r="T198" s="188"/>
      <c r="U198" s="188"/>
      <c r="V198" s="188"/>
      <c r="W198" s="188"/>
      <c r="X198" s="188"/>
    </row>
    <row r="199" spans="1:24" s="182" customFormat="1" ht="15" customHeight="1">
      <c r="A199" s="348"/>
      <c r="B199" s="349"/>
      <c r="C199" s="349"/>
      <c r="D199" s="349"/>
      <c r="E199" s="349"/>
      <c r="F199" s="349"/>
      <c r="G199" s="349"/>
      <c r="H199" s="349"/>
      <c r="I199" s="349"/>
      <c r="J199" s="349"/>
      <c r="K199" s="349"/>
      <c r="L199" s="349"/>
      <c r="M199" s="358"/>
      <c r="O199" s="183"/>
      <c r="P199" s="184"/>
      <c r="Q199" s="184"/>
      <c r="R199" s="184"/>
      <c r="S199" s="185"/>
      <c r="T199" s="188"/>
      <c r="U199" s="188"/>
      <c r="V199" s="188"/>
      <c r="W199" s="188"/>
      <c r="X199" s="188"/>
    </row>
    <row r="200" spans="1:24" s="182" customFormat="1" ht="15" customHeight="1">
      <c r="A200" s="348"/>
      <c r="B200" s="349"/>
      <c r="C200" s="349"/>
      <c r="D200" s="349"/>
      <c r="E200" s="349"/>
      <c r="F200" s="349"/>
      <c r="G200" s="349"/>
      <c r="H200" s="349"/>
      <c r="I200" s="349"/>
      <c r="J200" s="349"/>
      <c r="K200" s="349"/>
      <c r="L200" s="349"/>
      <c r="M200" s="358"/>
      <c r="O200" s="183"/>
      <c r="P200" s="184"/>
      <c r="Q200" s="184"/>
      <c r="R200" s="184"/>
      <c r="S200" s="185"/>
      <c r="T200" s="188"/>
      <c r="U200" s="188"/>
      <c r="V200" s="188"/>
      <c r="W200" s="188"/>
      <c r="X200" s="188"/>
    </row>
    <row r="201" spans="1:24" s="182" customFormat="1" ht="15" customHeight="1">
      <c r="A201" s="348"/>
      <c r="B201" s="349"/>
      <c r="C201" s="349"/>
      <c r="D201" s="349"/>
      <c r="E201" s="349"/>
      <c r="F201" s="349"/>
      <c r="G201" s="349"/>
      <c r="H201" s="349"/>
      <c r="I201" s="349"/>
      <c r="J201" s="349"/>
      <c r="K201" s="349"/>
      <c r="L201" s="349"/>
      <c r="M201" s="358"/>
      <c r="O201" s="183"/>
      <c r="P201" s="184"/>
      <c r="Q201" s="184"/>
      <c r="R201" s="184"/>
      <c r="S201" s="185"/>
      <c r="T201" s="188"/>
      <c r="U201" s="188"/>
      <c r="V201" s="188"/>
      <c r="W201" s="188"/>
      <c r="X201" s="188"/>
    </row>
    <row r="202" spans="1:24" s="182" customFormat="1" ht="15" customHeight="1">
      <c r="A202" s="348"/>
      <c r="B202" s="349"/>
      <c r="C202" s="349"/>
      <c r="D202" s="349"/>
      <c r="E202" s="349"/>
      <c r="F202" s="349"/>
      <c r="G202" s="349"/>
      <c r="H202" s="349"/>
      <c r="I202" s="349"/>
      <c r="J202" s="349"/>
      <c r="K202" s="349"/>
      <c r="L202" s="349"/>
      <c r="M202" s="358"/>
      <c r="O202" s="183"/>
      <c r="P202" s="184"/>
      <c r="Q202" s="184"/>
      <c r="R202" s="184"/>
      <c r="S202" s="185"/>
      <c r="T202" s="188"/>
      <c r="U202" s="188"/>
      <c r="V202" s="188"/>
      <c r="W202" s="188"/>
      <c r="X202" s="188"/>
    </row>
    <row r="203" spans="1:24" s="182" customFormat="1" ht="15" customHeight="1">
      <c r="A203" s="348"/>
      <c r="B203" s="349"/>
      <c r="C203" s="349"/>
      <c r="D203" s="349"/>
      <c r="E203" s="349"/>
      <c r="F203" s="349"/>
      <c r="G203" s="349"/>
      <c r="H203" s="349"/>
      <c r="I203" s="349"/>
      <c r="J203" s="349"/>
      <c r="K203" s="349"/>
      <c r="L203" s="349"/>
      <c r="M203" s="358"/>
      <c r="O203" s="183"/>
      <c r="P203" s="184"/>
      <c r="Q203" s="184"/>
      <c r="R203" s="184"/>
      <c r="S203" s="185"/>
      <c r="T203" s="188"/>
      <c r="U203" s="188"/>
      <c r="V203" s="188"/>
      <c r="W203" s="188"/>
      <c r="X203" s="188"/>
    </row>
    <row r="204" spans="1:24" s="182" customFormat="1" ht="15" customHeight="1">
      <c r="A204" s="348"/>
      <c r="B204" s="349"/>
      <c r="C204" s="349"/>
      <c r="D204" s="349"/>
      <c r="E204" s="349"/>
      <c r="F204" s="349"/>
      <c r="G204" s="349"/>
      <c r="H204" s="349"/>
      <c r="I204" s="349"/>
      <c r="J204" s="349"/>
      <c r="K204" s="349"/>
      <c r="L204" s="349"/>
      <c r="M204" s="358"/>
      <c r="O204" s="183"/>
      <c r="P204" s="184"/>
      <c r="Q204" s="184"/>
      <c r="R204" s="184"/>
      <c r="S204" s="185"/>
      <c r="T204" s="188"/>
      <c r="U204" s="188"/>
      <c r="V204" s="188"/>
      <c r="W204" s="188"/>
      <c r="X204" s="188"/>
    </row>
    <row r="205" spans="1:24" s="182" customFormat="1" ht="15" customHeight="1">
      <c r="A205" s="348"/>
      <c r="B205" s="349"/>
      <c r="C205" s="349"/>
      <c r="D205" s="349"/>
      <c r="E205" s="349"/>
      <c r="F205" s="349"/>
      <c r="G205" s="349"/>
      <c r="H205" s="349"/>
      <c r="I205" s="349"/>
      <c r="J205" s="349"/>
      <c r="K205" s="349"/>
      <c r="L205" s="349"/>
      <c r="M205" s="358"/>
      <c r="O205" s="183"/>
      <c r="P205" s="184"/>
      <c r="Q205" s="184"/>
      <c r="R205" s="184"/>
      <c r="S205" s="185"/>
      <c r="T205" s="188"/>
      <c r="U205" s="188"/>
      <c r="V205" s="188"/>
      <c r="W205" s="188"/>
      <c r="X205" s="188"/>
    </row>
    <row r="206" spans="1:24" s="182" customFormat="1" ht="15" customHeight="1">
      <c r="A206" s="348"/>
      <c r="B206" s="349"/>
      <c r="C206" s="349"/>
      <c r="D206" s="349"/>
      <c r="E206" s="349"/>
      <c r="F206" s="349"/>
      <c r="G206" s="349"/>
      <c r="H206" s="349"/>
      <c r="I206" s="349"/>
      <c r="J206" s="349"/>
      <c r="K206" s="349"/>
      <c r="L206" s="349"/>
      <c r="M206" s="358"/>
      <c r="O206" s="183"/>
      <c r="P206" s="184"/>
      <c r="Q206" s="184"/>
      <c r="R206" s="184"/>
      <c r="S206" s="185"/>
      <c r="T206" s="188"/>
      <c r="U206" s="188"/>
      <c r="V206" s="188"/>
      <c r="W206" s="188"/>
      <c r="X206" s="188"/>
    </row>
    <row r="207" spans="1:24" s="182" customFormat="1" ht="15" customHeight="1">
      <c r="A207" s="348"/>
      <c r="B207" s="349"/>
      <c r="C207" s="349"/>
      <c r="D207" s="349"/>
      <c r="E207" s="349"/>
      <c r="F207" s="349"/>
      <c r="G207" s="349"/>
      <c r="H207" s="349"/>
      <c r="I207" s="349"/>
      <c r="J207" s="349"/>
      <c r="K207" s="349"/>
      <c r="L207" s="349"/>
      <c r="M207" s="358"/>
      <c r="O207" s="183"/>
      <c r="P207" s="184"/>
      <c r="Q207" s="184"/>
      <c r="R207" s="184"/>
      <c r="S207" s="185"/>
      <c r="T207" s="188"/>
      <c r="U207" s="188"/>
      <c r="V207" s="188"/>
      <c r="W207" s="188"/>
      <c r="X207" s="188"/>
    </row>
    <row r="208" spans="1:24" s="182" customFormat="1" ht="15" customHeight="1">
      <c r="A208" s="348"/>
      <c r="B208" s="349"/>
      <c r="C208" s="349"/>
      <c r="D208" s="349"/>
      <c r="E208" s="349"/>
      <c r="F208" s="349"/>
      <c r="G208" s="349"/>
      <c r="H208" s="349"/>
      <c r="I208" s="349"/>
      <c r="J208" s="349"/>
      <c r="K208" s="349"/>
      <c r="L208" s="349"/>
      <c r="M208" s="358"/>
      <c r="O208" s="183"/>
      <c r="P208" s="184"/>
      <c r="Q208" s="184"/>
      <c r="R208" s="184"/>
      <c r="S208" s="185"/>
      <c r="T208" s="188"/>
      <c r="U208" s="188"/>
      <c r="V208" s="188"/>
      <c r="W208" s="188"/>
      <c r="X208" s="188"/>
    </row>
    <row r="209" spans="1:24" s="182" customFormat="1" ht="15" customHeight="1">
      <c r="A209" s="348"/>
      <c r="B209" s="349"/>
      <c r="C209" s="349"/>
      <c r="D209" s="349"/>
      <c r="E209" s="349"/>
      <c r="F209" s="349"/>
      <c r="G209" s="349"/>
      <c r="H209" s="349"/>
      <c r="I209" s="349"/>
      <c r="J209" s="349"/>
      <c r="K209" s="349"/>
      <c r="L209" s="349"/>
      <c r="M209" s="358"/>
      <c r="O209" s="183"/>
      <c r="P209" s="184"/>
      <c r="Q209" s="184"/>
      <c r="R209" s="184"/>
      <c r="S209" s="185"/>
      <c r="T209" s="188"/>
      <c r="U209" s="188"/>
      <c r="V209" s="188"/>
      <c r="W209" s="188"/>
      <c r="X209" s="188"/>
    </row>
    <row r="210" spans="1:24" s="182" customFormat="1" ht="15" customHeight="1">
      <c r="A210" s="348"/>
      <c r="B210" s="349"/>
      <c r="C210" s="349"/>
      <c r="D210" s="349"/>
      <c r="E210" s="349"/>
      <c r="F210" s="349"/>
      <c r="G210" s="349"/>
      <c r="H210" s="349"/>
      <c r="I210" s="349"/>
      <c r="J210" s="349"/>
      <c r="K210" s="349"/>
      <c r="L210" s="349"/>
      <c r="M210" s="358"/>
      <c r="O210" s="183"/>
      <c r="P210" s="184"/>
      <c r="Q210" s="184"/>
      <c r="R210" s="184"/>
      <c r="S210" s="185"/>
      <c r="T210" s="188"/>
      <c r="U210" s="188"/>
      <c r="V210" s="188"/>
      <c r="W210" s="188"/>
      <c r="X210" s="188"/>
    </row>
    <row r="211" spans="1:24" s="182" customFormat="1" ht="15" customHeight="1">
      <c r="A211" s="348"/>
      <c r="B211" s="349"/>
      <c r="C211" s="349"/>
      <c r="D211" s="349"/>
      <c r="E211" s="349"/>
      <c r="F211" s="349"/>
      <c r="G211" s="349"/>
      <c r="H211" s="349"/>
      <c r="I211" s="349"/>
      <c r="J211" s="349"/>
      <c r="K211" s="349"/>
      <c r="L211" s="349"/>
      <c r="M211" s="358"/>
      <c r="O211" s="183"/>
      <c r="P211" s="184"/>
      <c r="Q211" s="184"/>
      <c r="R211" s="184"/>
      <c r="S211" s="185"/>
      <c r="T211" s="188"/>
      <c r="U211" s="188"/>
      <c r="V211" s="188"/>
      <c r="W211" s="188"/>
      <c r="X211" s="188"/>
    </row>
    <row r="212" spans="1:24" s="182" customFormat="1" ht="15" customHeight="1">
      <c r="A212" s="348"/>
      <c r="B212" s="349"/>
      <c r="C212" s="349"/>
      <c r="D212" s="349"/>
      <c r="E212" s="349"/>
      <c r="F212" s="349"/>
      <c r="G212" s="349"/>
      <c r="H212" s="349"/>
      <c r="I212" s="349"/>
      <c r="J212" s="349"/>
      <c r="K212" s="349"/>
      <c r="L212" s="349"/>
      <c r="M212" s="358"/>
      <c r="O212" s="183"/>
      <c r="P212" s="184"/>
      <c r="Q212" s="184"/>
      <c r="R212" s="184"/>
      <c r="S212" s="185"/>
      <c r="T212" s="188"/>
      <c r="U212" s="188"/>
      <c r="V212" s="188"/>
      <c r="W212" s="188"/>
      <c r="X212" s="188"/>
    </row>
    <row r="213" spans="1:24" s="182" customFormat="1" ht="15" customHeight="1">
      <c r="A213" s="348"/>
      <c r="B213" s="349"/>
      <c r="C213" s="349"/>
      <c r="D213" s="349"/>
      <c r="E213" s="349"/>
      <c r="F213" s="349"/>
      <c r="G213" s="349"/>
      <c r="H213" s="349"/>
      <c r="I213" s="349"/>
      <c r="J213" s="349"/>
      <c r="K213" s="349"/>
      <c r="L213" s="349"/>
      <c r="M213" s="358"/>
      <c r="O213" s="183"/>
      <c r="P213" s="184"/>
      <c r="Q213" s="184"/>
      <c r="R213" s="184"/>
      <c r="S213" s="185"/>
      <c r="T213" s="188"/>
      <c r="U213" s="188"/>
      <c r="V213" s="188"/>
      <c r="W213" s="188"/>
      <c r="X213" s="188"/>
    </row>
    <row r="214" spans="1:24" s="182" customFormat="1" ht="15" customHeight="1">
      <c r="A214" s="348"/>
      <c r="B214" s="349"/>
      <c r="C214" s="349"/>
      <c r="D214" s="349"/>
      <c r="E214" s="349"/>
      <c r="F214" s="349"/>
      <c r="G214" s="349"/>
      <c r="H214" s="349"/>
      <c r="I214" s="349"/>
      <c r="J214" s="349"/>
      <c r="K214" s="349"/>
      <c r="L214" s="349"/>
      <c r="M214" s="358"/>
      <c r="O214" s="183"/>
      <c r="P214" s="184"/>
      <c r="Q214" s="184"/>
      <c r="R214" s="184"/>
      <c r="S214" s="185"/>
      <c r="T214" s="188"/>
      <c r="U214" s="188"/>
      <c r="V214" s="188"/>
      <c r="W214" s="188"/>
      <c r="X214" s="188"/>
    </row>
    <row r="215" spans="1:24" s="182" customFormat="1" ht="15" customHeight="1">
      <c r="A215" s="179"/>
      <c r="B215" s="180"/>
      <c r="C215" s="180"/>
      <c r="D215" s="180"/>
      <c r="E215" s="180"/>
      <c r="F215" s="180"/>
      <c r="G215" s="180"/>
      <c r="H215" s="180"/>
      <c r="I215" s="180"/>
      <c r="J215" s="180"/>
      <c r="K215" s="180"/>
      <c r="L215" s="180"/>
      <c r="M215" s="358"/>
      <c r="O215" s="183"/>
      <c r="P215" s="184"/>
      <c r="Q215" s="184"/>
      <c r="R215" s="184"/>
      <c r="S215" s="185"/>
      <c r="T215" s="188"/>
      <c r="U215" s="188"/>
      <c r="V215" s="188"/>
      <c r="W215" s="188"/>
      <c r="X215" s="188"/>
    </row>
    <row r="216" spans="1:24" s="182" customFormat="1" ht="15" customHeight="1">
      <c r="A216" s="179"/>
      <c r="B216" s="180"/>
      <c r="C216" s="180"/>
      <c r="D216" s="180"/>
      <c r="E216" s="180"/>
      <c r="F216" s="180"/>
      <c r="G216" s="180"/>
      <c r="H216" s="180"/>
      <c r="I216" s="180"/>
      <c r="J216" s="180"/>
      <c r="K216" s="180"/>
      <c r="L216" s="180"/>
      <c r="M216" s="358"/>
      <c r="O216" s="183"/>
      <c r="P216" s="184"/>
      <c r="Q216" s="184"/>
      <c r="R216" s="184"/>
      <c r="S216" s="185"/>
      <c r="T216" s="188"/>
      <c r="U216" s="188"/>
      <c r="V216" s="188"/>
      <c r="W216" s="188"/>
      <c r="X216" s="188"/>
    </row>
    <row r="217" spans="1:24" s="182" customFormat="1" ht="15" customHeight="1">
      <c r="A217" s="179"/>
      <c r="B217" s="180"/>
      <c r="C217" s="180"/>
      <c r="D217" s="180"/>
      <c r="E217" s="180"/>
      <c r="F217" s="180"/>
      <c r="G217" s="180"/>
      <c r="H217" s="180"/>
      <c r="I217" s="180"/>
      <c r="J217" s="180"/>
      <c r="K217" s="180"/>
      <c r="L217" s="180"/>
      <c r="M217" s="358"/>
      <c r="O217" s="183"/>
      <c r="P217" s="184"/>
      <c r="Q217" s="184"/>
      <c r="R217" s="184"/>
      <c r="S217" s="185"/>
      <c r="T217" s="188"/>
      <c r="U217" s="188"/>
      <c r="V217" s="188"/>
      <c r="W217" s="188"/>
      <c r="X217" s="188"/>
    </row>
    <row r="218" spans="1:24" s="182" customFormat="1" ht="15" customHeight="1">
      <c r="A218" s="179"/>
      <c r="B218" s="180"/>
      <c r="C218" s="180"/>
      <c r="D218" s="180"/>
      <c r="E218" s="180"/>
      <c r="F218" s="180"/>
      <c r="G218" s="180"/>
      <c r="H218" s="180"/>
      <c r="I218" s="180"/>
      <c r="J218" s="180"/>
      <c r="K218" s="180"/>
      <c r="L218" s="180"/>
      <c r="M218" s="358"/>
      <c r="O218" s="183"/>
      <c r="P218" s="184"/>
      <c r="Q218" s="184"/>
      <c r="R218" s="184"/>
      <c r="S218" s="185"/>
      <c r="T218" s="188"/>
      <c r="U218" s="188"/>
      <c r="V218" s="188"/>
      <c r="W218" s="188"/>
      <c r="X218" s="188"/>
    </row>
    <row r="219" spans="1:24" s="182" customFormat="1" ht="15" customHeight="1">
      <c r="A219" s="179"/>
      <c r="B219" s="180"/>
      <c r="C219" s="180"/>
      <c r="D219" s="180"/>
      <c r="E219" s="180"/>
      <c r="F219" s="180"/>
      <c r="G219" s="180"/>
      <c r="H219" s="180"/>
      <c r="I219" s="180"/>
      <c r="J219" s="180"/>
      <c r="K219" s="180"/>
      <c r="L219" s="180"/>
      <c r="M219" s="358"/>
      <c r="O219" s="183"/>
      <c r="P219" s="184"/>
      <c r="Q219" s="184"/>
      <c r="R219" s="184"/>
      <c r="S219" s="185"/>
      <c r="T219" s="188"/>
      <c r="U219" s="188"/>
      <c r="V219" s="188"/>
      <c r="W219" s="188"/>
      <c r="X219" s="188"/>
    </row>
    <row r="220" spans="1:24" s="182" customFormat="1" ht="15" customHeight="1">
      <c r="A220" s="179"/>
      <c r="B220" s="180"/>
      <c r="C220" s="180"/>
      <c r="D220" s="180"/>
      <c r="E220" s="180"/>
      <c r="F220" s="180"/>
      <c r="G220" s="180"/>
      <c r="H220" s="180"/>
      <c r="I220" s="180"/>
      <c r="J220" s="180"/>
      <c r="K220" s="180"/>
      <c r="L220" s="180"/>
      <c r="M220" s="358"/>
      <c r="O220" s="183"/>
      <c r="P220" s="184"/>
      <c r="Q220" s="184"/>
      <c r="R220" s="184"/>
      <c r="S220" s="185"/>
      <c r="T220" s="188"/>
      <c r="U220" s="188"/>
      <c r="V220" s="188"/>
      <c r="W220" s="188"/>
      <c r="X220" s="188"/>
    </row>
    <row r="221" spans="1:24" s="182" customFormat="1" ht="15" customHeight="1">
      <c r="A221" s="179"/>
      <c r="B221" s="180"/>
      <c r="C221" s="180"/>
      <c r="D221" s="180"/>
      <c r="E221" s="180"/>
      <c r="F221" s="180"/>
      <c r="G221" s="180"/>
      <c r="H221" s="180"/>
      <c r="I221" s="180"/>
      <c r="J221" s="180"/>
      <c r="K221" s="180"/>
      <c r="L221" s="180"/>
      <c r="M221" s="358"/>
      <c r="O221" s="183"/>
      <c r="P221" s="184"/>
      <c r="Q221" s="184"/>
      <c r="R221" s="184"/>
      <c r="S221" s="185"/>
      <c r="T221" s="188"/>
      <c r="U221" s="188"/>
      <c r="V221" s="188"/>
      <c r="W221" s="188"/>
      <c r="X221" s="188"/>
    </row>
    <row r="222" spans="1:24" s="182" customFormat="1" ht="15" customHeight="1">
      <c r="A222" s="179"/>
      <c r="B222" s="180"/>
      <c r="C222" s="180"/>
      <c r="D222" s="180"/>
      <c r="E222" s="180"/>
      <c r="F222" s="180"/>
      <c r="G222" s="180"/>
      <c r="H222" s="180"/>
      <c r="I222" s="180"/>
      <c r="J222" s="180"/>
      <c r="K222" s="180"/>
      <c r="L222" s="180"/>
      <c r="M222" s="358"/>
      <c r="O222" s="183"/>
      <c r="P222" s="184"/>
      <c r="Q222" s="184"/>
      <c r="R222" s="184"/>
      <c r="S222" s="185"/>
      <c r="T222" s="188"/>
      <c r="U222" s="188"/>
      <c r="V222" s="188"/>
      <c r="W222" s="188"/>
      <c r="X222" s="188"/>
    </row>
    <row r="223" spans="1:24" s="182" customFormat="1" ht="15" customHeight="1">
      <c r="A223" s="179"/>
      <c r="B223" s="180"/>
      <c r="C223" s="180"/>
      <c r="D223" s="180"/>
      <c r="E223" s="180"/>
      <c r="F223" s="180"/>
      <c r="G223" s="180"/>
      <c r="H223" s="180"/>
      <c r="I223" s="180"/>
      <c r="J223" s="180"/>
      <c r="K223" s="180"/>
      <c r="L223" s="180"/>
      <c r="M223" s="358"/>
      <c r="O223" s="183"/>
      <c r="P223" s="184"/>
      <c r="Q223" s="184"/>
      <c r="R223" s="184"/>
      <c r="S223" s="185"/>
      <c r="T223" s="188"/>
      <c r="U223" s="188"/>
      <c r="V223" s="188"/>
      <c r="W223" s="188"/>
      <c r="X223" s="188"/>
    </row>
    <row r="224" spans="1:24" s="182" customFormat="1" ht="15" customHeight="1">
      <c r="A224" s="179"/>
      <c r="B224" s="180"/>
      <c r="C224" s="180"/>
      <c r="D224" s="180"/>
      <c r="E224" s="180"/>
      <c r="F224" s="180"/>
      <c r="G224" s="180"/>
      <c r="H224" s="180"/>
      <c r="I224" s="180"/>
      <c r="J224" s="180"/>
      <c r="K224" s="180"/>
      <c r="L224" s="180"/>
      <c r="M224" s="358"/>
      <c r="O224" s="183"/>
      <c r="P224" s="184"/>
      <c r="Q224" s="184"/>
      <c r="R224" s="184"/>
      <c r="S224" s="185"/>
      <c r="T224" s="188"/>
      <c r="U224" s="188"/>
      <c r="V224" s="188"/>
      <c r="W224" s="188"/>
      <c r="X224" s="188"/>
    </row>
    <row r="225" spans="1:24" s="182" customFormat="1" ht="15" customHeight="1">
      <c r="A225" s="179"/>
      <c r="B225" s="180"/>
      <c r="C225" s="180"/>
      <c r="D225" s="180"/>
      <c r="E225" s="180"/>
      <c r="F225" s="180"/>
      <c r="G225" s="180"/>
      <c r="H225" s="180"/>
      <c r="I225" s="180"/>
      <c r="J225" s="180"/>
      <c r="K225" s="180"/>
      <c r="L225" s="180"/>
      <c r="M225" s="358"/>
      <c r="O225" s="183"/>
      <c r="P225" s="184"/>
      <c r="Q225" s="184"/>
      <c r="R225" s="184"/>
      <c r="S225" s="185"/>
      <c r="T225" s="188"/>
      <c r="U225" s="188"/>
      <c r="V225" s="188"/>
      <c r="W225" s="188"/>
      <c r="X225" s="188"/>
    </row>
    <row r="226" spans="1:24" s="182" customFormat="1" ht="15" customHeight="1">
      <c r="A226" s="179"/>
      <c r="B226" s="180"/>
      <c r="C226" s="180"/>
      <c r="D226" s="180"/>
      <c r="E226" s="180"/>
      <c r="F226" s="180"/>
      <c r="G226" s="180"/>
      <c r="H226" s="180"/>
      <c r="I226" s="180"/>
      <c r="J226" s="180"/>
      <c r="K226" s="180"/>
      <c r="L226" s="180"/>
      <c r="M226" s="358"/>
      <c r="O226" s="183"/>
      <c r="P226" s="184"/>
      <c r="Q226" s="184"/>
      <c r="R226" s="184"/>
      <c r="S226" s="185"/>
      <c r="T226" s="188"/>
      <c r="U226" s="188"/>
      <c r="V226" s="188"/>
      <c r="W226" s="188"/>
      <c r="X226" s="188"/>
    </row>
    <row r="227" spans="1:24" s="182" customFormat="1" ht="15" customHeight="1">
      <c r="A227" s="179"/>
      <c r="B227" s="180"/>
      <c r="C227" s="180"/>
      <c r="D227" s="180"/>
      <c r="E227" s="180"/>
      <c r="F227" s="180"/>
      <c r="G227" s="180"/>
      <c r="H227" s="180"/>
      <c r="I227" s="180"/>
      <c r="J227" s="180"/>
      <c r="K227" s="180"/>
      <c r="L227" s="180"/>
      <c r="M227" s="358"/>
      <c r="O227" s="183"/>
      <c r="P227" s="184"/>
      <c r="Q227" s="184"/>
      <c r="R227" s="184"/>
      <c r="S227" s="185"/>
      <c r="T227" s="188"/>
      <c r="U227" s="188"/>
      <c r="V227" s="188"/>
      <c r="W227" s="188"/>
      <c r="X227" s="188"/>
    </row>
    <row r="228" spans="1:24" s="182" customFormat="1" ht="15" customHeight="1">
      <c r="A228" s="179"/>
      <c r="B228" s="180"/>
      <c r="C228" s="180"/>
      <c r="D228" s="180"/>
      <c r="E228" s="180"/>
      <c r="F228" s="180"/>
      <c r="G228" s="180"/>
      <c r="H228" s="180"/>
      <c r="I228" s="180"/>
      <c r="J228" s="180"/>
      <c r="K228" s="180"/>
      <c r="L228" s="180"/>
      <c r="M228" s="358"/>
      <c r="O228" s="183"/>
      <c r="P228" s="184"/>
      <c r="Q228" s="184"/>
      <c r="R228" s="184"/>
      <c r="S228" s="185"/>
      <c r="T228" s="188"/>
      <c r="U228" s="188"/>
      <c r="V228" s="188"/>
      <c r="W228" s="188"/>
      <c r="X228" s="188"/>
    </row>
    <row r="229" spans="1:24" s="182" customFormat="1" ht="15" customHeight="1">
      <c r="A229" s="179"/>
      <c r="B229" s="180"/>
      <c r="C229" s="180"/>
      <c r="D229" s="180"/>
      <c r="E229" s="180"/>
      <c r="F229" s="180"/>
      <c r="G229" s="180"/>
      <c r="H229" s="180"/>
      <c r="I229" s="180"/>
      <c r="J229" s="180"/>
      <c r="K229" s="180"/>
      <c r="L229" s="180"/>
      <c r="M229" s="358"/>
      <c r="O229" s="183"/>
      <c r="P229" s="184"/>
      <c r="Q229" s="184"/>
      <c r="R229" s="184"/>
      <c r="S229" s="185"/>
      <c r="T229" s="188"/>
      <c r="U229" s="188"/>
      <c r="V229" s="188"/>
      <c r="W229" s="188"/>
      <c r="X229" s="188"/>
    </row>
    <row r="230" spans="1:24" s="182" customFormat="1" ht="15" customHeight="1">
      <c r="A230" s="179"/>
      <c r="B230" s="180"/>
      <c r="C230" s="180"/>
      <c r="D230" s="180"/>
      <c r="E230" s="180"/>
      <c r="F230" s="180"/>
      <c r="G230" s="180"/>
      <c r="H230" s="180"/>
      <c r="I230" s="180"/>
      <c r="J230" s="180"/>
      <c r="K230" s="180"/>
      <c r="L230" s="180"/>
      <c r="M230" s="358"/>
      <c r="O230" s="183"/>
      <c r="P230" s="184"/>
      <c r="Q230" s="184"/>
      <c r="R230" s="184"/>
      <c r="S230" s="185"/>
      <c r="T230" s="188"/>
      <c r="U230" s="188"/>
      <c r="V230" s="188"/>
      <c r="W230" s="188"/>
      <c r="X230" s="188"/>
    </row>
  </sheetData>
  <protectedRanges>
    <protectedRange password="DD40" sqref="B26:G27 M24 B28:B30 H13:L14 K1 B1:D4 B14 B85:L65396 L6:L12 E1:E2 L2:L3 J4 I18:L18 E18:G25 C28:G29 G1:H2 I9:K12 J32:J38 C15:L17 D18 J27:K29 H6:H12 F6:G9 H18:H19 B31:G39 B19:D25 C8:D9 H39 F11:G13 C12:D13 B11:E11 B6:E7 K32:K39 J20:K25 B5:L5" name="Range1"/>
    <protectedRange password="DD40" sqref="J39 L39" name="Range1_6"/>
    <protectedRange password="DD40" sqref="H20:H29 H31:H38 I32:I39 I20:I25 I27:I29" name="Range1_2"/>
    <protectedRange password="DD40" sqref="M23" name="Range1_4_1"/>
    <protectedRange password="DD40" sqref="A6" name="Range1_1"/>
    <protectedRange password="DD40" sqref="K26 K31" name="Range1_3"/>
    <protectedRange password="DD40" sqref="I26 I31" name="Range1_6_3"/>
    <protectedRange password="DD40" sqref="L26 L31" name="Range1_6_1_1"/>
    <protectedRange password="DD40" sqref="L56:L60 L67:L68 L47:L48 L40:L41 L72:L84 L62:L64" name="Range1_4"/>
    <protectedRange password="DD40" sqref="J48 J41" name="Range1_4_1_1"/>
    <protectedRange password="DD40" sqref="C47:G47 B41:B45 C41:F41 B56:B58 C55:G55 B48:B53 H48 C48:E48 G56:G58" name="Range1_5_1_1"/>
    <protectedRange password="DD40" sqref="C77:E77 F72:G76 G77 B84 H84 J68:J73 C68:D73 E70:E73 F68:H71 K77:K84 J78:J84 E78:E84 C77:D84 H72:H77" name="Range1_7_1_1"/>
    <protectedRange password="DD40" sqref="I74:I77 G82:H83" name="Range1_1_1_1"/>
    <protectedRange password="DD40" sqref="L42:L45" name="Range1_5"/>
    <protectedRange password="DD40" sqref="K42:K45" name="Range1_4_1_2_1"/>
    <protectedRange password="DD40" sqref="J42:J45" name="Range1_6_2_2_1"/>
    <protectedRange password="DD40" sqref="I42:I45" name="Range1_2_1_2_1"/>
    <protectedRange password="DD40" sqref="L49:L53" name="Range1_7"/>
    <protectedRange password="DD40" sqref="K49:K53" name="Range1_4_1_2"/>
    <protectedRange password="DD40" sqref="J49:J53" name="Range1_6_2_1"/>
    <protectedRange password="DD40" sqref="I49:I53" name="Range1_2_1_1"/>
    <protectedRange password="DD40" sqref="L61" name="Range1_9"/>
    <protectedRange password="DD40" sqref="J74:J76" name="Range1_7_1"/>
  </protectedRanges>
  <mergeCells count="58">
    <mergeCell ref="B61:L61"/>
    <mergeCell ref="C28:G28"/>
    <mergeCell ref="B64:L64"/>
    <mergeCell ref="G52:L52"/>
    <mergeCell ref="G49:L49"/>
    <mergeCell ref="C38:G38"/>
    <mergeCell ref="G41:L41"/>
    <mergeCell ref="G50:L50"/>
    <mergeCell ref="G51:L51"/>
    <mergeCell ref="B57:C57"/>
    <mergeCell ref="B58:C58"/>
    <mergeCell ref="C30:G30"/>
    <mergeCell ref="C51:F51"/>
    <mergeCell ref="C37:G37"/>
    <mergeCell ref="C48:F48"/>
    <mergeCell ref="C49:F49"/>
    <mergeCell ref="D66:E66"/>
    <mergeCell ref="D12:L12"/>
    <mergeCell ref="C24:G24"/>
    <mergeCell ref="L17:L18"/>
    <mergeCell ref="C27:G27"/>
    <mergeCell ref="G44:L44"/>
    <mergeCell ref="C32:G32"/>
    <mergeCell ref="J17:K17"/>
    <mergeCell ref="C33:G33"/>
    <mergeCell ref="C34:G34"/>
    <mergeCell ref="G42:L42"/>
    <mergeCell ref="G43:L43"/>
    <mergeCell ref="H17:I17"/>
    <mergeCell ref="C29:G29"/>
    <mergeCell ref="C42:E42"/>
    <mergeCell ref="C43:E43"/>
    <mergeCell ref="C50:F50"/>
    <mergeCell ref="B56:C56"/>
    <mergeCell ref="C52:F52"/>
    <mergeCell ref="C44:E44"/>
    <mergeCell ref="C45:E45"/>
    <mergeCell ref="G48:L48"/>
    <mergeCell ref="C36:G36"/>
    <mergeCell ref="C41:E41"/>
    <mergeCell ref="G45:L45"/>
    <mergeCell ref="C17:G18"/>
    <mergeCell ref="C35:G35"/>
    <mergeCell ref="O1:O2"/>
    <mergeCell ref="P1:P2"/>
    <mergeCell ref="E3:J3"/>
    <mergeCell ref="E4:G4"/>
    <mergeCell ref="P41:Q41"/>
    <mergeCell ref="B5:L5"/>
    <mergeCell ref="C23:G23"/>
    <mergeCell ref="B17:B18"/>
    <mergeCell ref="D8:L8"/>
    <mergeCell ref="C20:G20"/>
    <mergeCell ref="C25:G25"/>
    <mergeCell ref="C21:G21"/>
    <mergeCell ref="C22:G22"/>
    <mergeCell ref="D13:L13"/>
    <mergeCell ref="D9:L9"/>
  </mergeCells>
  <conditionalFormatting sqref="J20:K25 J27:K30 J32:K38">
    <cfRule type="cellIs" dxfId="1" priority="1" operator="lessThan">
      <formula>70</formula>
    </cfRule>
  </conditionalFormatting>
  <conditionalFormatting sqref="H20:I25 H27:I30 H32:I38">
    <cfRule type="cellIs" dxfId="0" priority="2" operator="lessThan">
      <formula>70</formula>
    </cfRule>
  </conditionalFormatting>
  <printOptions horizontalCentered="1"/>
  <pageMargins left="0.23622047244094491" right="0.23622047244094491" top="0.39370078740157483" bottom="0.11811023622047245" header="0.11811023622047245" footer="0"/>
  <headerFooter>
    <oddHeader>&amp;L&amp;G</oddHead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V45"/>
  <sheetViews>
    <sheetView showGridLines="0" topLeftCell="A97" workbookViewId="0">
      <selection activeCell="C24" sqref="C24"/>
    </sheetView>
  </sheetViews>
  <sheetFormatPr defaultColWidth="9" defaultRowHeight="12.75"/>
  <cols>
    <col min="1" max="10" width="9.140625" style="409" customWidth="1"/>
    <col min="11" max="11" width="9.140625" style="410" customWidth="1"/>
    <col min="12" max="14" width="9.140625" style="411" customWidth="1"/>
    <col min="15" max="15" width="7.7109375" style="411" customWidth="1"/>
    <col min="16" max="16" width="9.140625" style="411" customWidth="1"/>
    <col min="17" max="256" width="9.140625" style="412" customWidth="1"/>
  </cols>
  <sheetData>
    <row r="1" spans="1:16" ht="16.5">
      <c r="A1" s="413"/>
      <c r="B1" s="414"/>
      <c r="C1" s="413"/>
      <c r="D1" s="413"/>
      <c r="E1" s="413"/>
      <c r="F1" s="413"/>
      <c r="G1" s="413"/>
      <c r="H1" s="413"/>
      <c r="I1" s="413"/>
      <c r="J1" s="413"/>
      <c r="P1" s="411">
        <v>1</v>
      </c>
    </row>
    <row r="2" spans="1:16" ht="16.5">
      <c r="A2" s="413"/>
      <c r="B2" s="414"/>
      <c r="C2" s="413"/>
      <c r="D2" s="413"/>
      <c r="E2" s="413"/>
      <c r="F2" s="413"/>
      <c r="G2" s="413"/>
      <c r="H2" s="413"/>
      <c r="I2" s="413"/>
      <c r="J2" s="413"/>
    </row>
    <row r="3" spans="1:16" ht="16.5">
      <c r="A3" s="413"/>
      <c r="B3" s="414"/>
      <c r="C3" s="413"/>
      <c r="D3" s="413"/>
      <c r="E3" s="413"/>
      <c r="F3" s="413"/>
      <c r="G3" s="413"/>
      <c r="H3" s="413"/>
      <c r="I3" s="413"/>
      <c r="J3" s="413"/>
    </row>
    <row r="4" spans="1:16" ht="16.5">
      <c r="A4" s="413"/>
      <c r="B4" s="414"/>
      <c r="C4" s="413"/>
      <c r="D4" s="413"/>
      <c r="E4" s="413"/>
      <c r="F4" s="413"/>
      <c r="G4" s="413"/>
      <c r="H4" s="413"/>
      <c r="I4" s="413"/>
      <c r="J4" s="413"/>
    </row>
    <row r="5" spans="1:16" ht="16.5">
      <c r="A5" s="413"/>
      <c r="B5" s="414"/>
      <c r="C5" s="413"/>
      <c r="D5" s="413"/>
      <c r="E5" s="413"/>
      <c r="F5" s="413"/>
      <c r="G5" s="413"/>
      <c r="H5" s="413"/>
      <c r="I5" s="413"/>
      <c r="J5" s="413"/>
    </row>
    <row r="6" spans="1:16" ht="16.5">
      <c r="A6" s="413"/>
      <c r="B6" s="414"/>
      <c r="C6" s="413"/>
      <c r="D6" s="413"/>
      <c r="E6" s="413"/>
      <c r="F6" s="413"/>
      <c r="G6" s="413"/>
      <c r="H6" s="413"/>
      <c r="I6" s="413"/>
      <c r="J6" s="413"/>
    </row>
    <row r="7" spans="1:16" ht="16.5">
      <c r="A7" s="413"/>
      <c r="B7" s="414"/>
      <c r="C7" s="413"/>
      <c r="D7" s="413"/>
      <c r="E7" s="413"/>
      <c r="F7" s="413"/>
      <c r="G7" s="413"/>
      <c r="H7" s="413"/>
      <c r="I7" s="413"/>
      <c r="J7" s="413"/>
    </row>
    <row r="8" spans="1:16" ht="16.5">
      <c r="A8" s="413"/>
      <c r="B8" s="414"/>
      <c r="C8" s="413"/>
      <c r="D8" s="413"/>
      <c r="E8" s="413"/>
      <c r="F8" s="413"/>
      <c r="G8" s="413"/>
      <c r="H8" s="413"/>
      <c r="I8" s="413"/>
      <c r="J8" s="413"/>
    </row>
    <row r="9" spans="1:16" ht="16.5">
      <c r="A9" s="413"/>
      <c r="B9" s="414"/>
      <c r="C9" s="413"/>
      <c r="D9" s="413"/>
      <c r="E9" s="413"/>
      <c r="F9" s="413"/>
      <c r="G9" s="413"/>
      <c r="H9" s="413"/>
      <c r="I9" s="413"/>
      <c r="J9" s="413"/>
    </row>
    <row r="10" spans="1:16" ht="16.5">
      <c r="A10" s="413"/>
      <c r="B10" s="414"/>
      <c r="C10" s="413"/>
      <c r="D10" s="413"/>
      <c r="E10" s="413"/>
      <c r="F10" s="413"/>
      <c r="G10" s="413"/>
      <c r="H10" s="413"/>
      <c r="I10" s="413"/>
      <c r="J10" s="413"/>
    </row>
    <row r="11" spans="1:16" ht="16.5">
      <c r="A11" s="413"/>
      <c r="B11" s="414"/>
      <c r="C11" s="413"/>
      <c r="D11" s="413"/>
      <c r="E11" s="413"/>
      <c r="F11" s="413"/>
      <c r="G11" s="413"/>
      <c r="H11" s="413"/>
      <c r="I11" s="413"/>
      <c r="J11" s="413"/>
    </row>
    <row r="12" spans="1:16" ht="16.5">
      <c r="A12" s="413"/>
      <c r="B12" s="414"/>
      <c r="C12" s="413"/>
      <c r="D12" s="413"/>
      <c r="E12" s="413"/>
      <c r="F12" s="413"/>
      <c r="G12" s="413"/>
      <c r="H12" s="413"/>
      <c r="I12" s="413"/>
      <c r="J12" s="413"/>
    </row>
    <row r="13" spans="1:16" ht="16.5">
      <c r="A13" s="413"/>
      <c r="B13" s="414"/>
      <c r="C13" s="413"/>
      <c r="D13" s="413"/>
      <c r="E13" s="413"/>
      <c r="F13" s="413"/>
      <c r="G13" s="413"/>
      <c r="H13" s="413"/>
      <c r="I13" s="413"/>
      <c r="J13" s="413"/>
    </row>
    <row r="14" spans="1:16" ht="16.5">
      <c r="A14" s="413"/>
      <c r="B14" s="414"/>
      <c r="C14" s="413"/>
      <c r="D14" s="413"/>
      <c r="E14" s="413"/>
      <c r="F14" s="413"/>
      <c r="G14" s="413"/>
      <c r="H14" s="413"/>
      <c r="I14" s="413"/>
      <c r="J14" s="413"/>
    </row>
    <row r="15" spans="1:16" ht="16.5">
      <c r="A15" s="413"/>
      <c r="B15" s="414"/>
      <c r="C15" s="413"/>
      <c r="D15" s="413"/>
      <c r="E15" s="413"/>
      <c r="F15" s="413"/>
      <c r="G15" s="413"/>
      <c r="H15" s="413"/>
      <c r="I15" s="413"/>
      <c r="J15" s="413"/>
    </row>
    <row r="16" spans="1:16" ht="16.5">
      <c r="A16" s="413"/>
      <c r="B16" s="414"/>
      <c r="C16" s="413"/>
      <c r="D16" s="413"/>
      <c r="E16" s="413"/>
      <c r="F16" s="413"/>
      <c r="G16" s="413"/>
      <c r="H16" s="413"/>
      <c r="I16" s="413"/>
      <c r="J16" s="413"/>
    </row>
    <row r="17" spans="1:10" ht="16.5">
      <c r="A17" s="413"/>
      <c r="B17" s="414"/>
      <c r="C17" s="413"/>
      <c r="D17" s="413"/>
      <c r="E17" s="413"/>
      <c r="F17" s="413"/>
      <c r="G17" s="413"/>
      <c r="H17" s="413"/>
      <c r="I17" s="413"/>
      <c r="J17" s="413"/>
    </row>
    <row r="18" spans="1:10" ht="16.5">
      <c r="A18" s="413"/>
      <c r="B18" s="414"/>
      <c r="C18" s="413"/>
      <c r="D18" s="413"/>
      <c r="E18" s="413"/>
      <c r="F18" s="413"/>
      <c r="G18" s="413"/>
      <c r="H18" s="413"/>
      <c r="I18" s="413"/>
      <c r="J18" s="413"/>
    </row>
    <row r="19" spans="1:10" ht="16.5">
      <c r="A19" s="413"/>
      <c r="B19" s="414"/>
      <c r="C19" s="413"/>
      <c r="D19" s="413"/>
      <c r="E19" s="413"/>
      <c r="F19" s="413"/>
      <c r="G19" s="413"/>
      <c r="H19" s="413"/>
      <c r="I19" s="413"/>
      <c r="J19" s="413"/>
    </row>
    <row r="20" spans="1:10" ht="16.5">
      <c r="A20" s="413"/>
      <c r="B20" s="414"/>
      <c r="C20" s="413"/>
      <c r="D20" s="413"/>
      <c r="E20" s="413"/>
      <c r="F20" s="413"/>
      <c r="G20" s="413"/>
      <c r="H20" s="413"/>
      <c r="I20" s="413"/>
      <c r="J20" s="413"/>
    </row>
    <row r="21" spans="1:10" ht="16.5">
      <c r="A21" s="413"/>
      <c r="B21" s="414"/>
      <c r="C21" s="413"/>
      <c r="D21" s="413"/>
      <c r="E21" s="413"/>
      <c r="F21" s="413"/>
      <c r="G21" s="413"/>
      <c r="H21" s="413"/>
      <c r="I21" s="413"/>
      <c r="J21" s="413"/>
    </row>
    <row r="22" spans="1:10" ht="16.5">
      <c r="A22" s="413"/>
      <c r="B22" s="414"/>
      <c r="C22" s="413"/>
      <c r="D22" s="413"/>
      <c r="E22" s="413"/>
      <c r="F22" s="413"/>
      <c r="G22" s="413"/>
      <c r="H22" s="413"/>
      <c r="I22" s="413"/>
      <c r="J22" s="413"/>
    </row>
    <row r="23" spans="1:10" ht="16.5">
      <c r="A23" s="413"/>
      <c r="B23" s="414"/>
      <c r="C23" s="413"/>
      <c r="D23" s="413"/>
      <c r="E23" s="413"/>
      <c r="F23" s="413"/>
      <c r="G23" s="413"/>
      <c r="H23" s="413"/>
      <c r="I23" s="413"/>
      <c r="J23" s="413"/>
    </row>
    <row r="24" spans="1:10" ht="16.5">
      <c r="A24" s="413"/>
      <c r="B24" s="414"/>
      <c r="C24" s="413"/>
      <c r="D24" s="413"/>
      <c r="E24" s="413"/>
      <c r="F24" s="413"/>
      <c r="G24" s="413"/>
      <c r="H24" s="413"/>
      <c r="I24" s="413"/>
      <c r="J24" s="413"/>
    </row>
    <row r="25" spans="1:10" ht="18">
      <c r="A25" s="413"/>
      <c r="B25" s="414"/>
      <c r="C25" s="704" t="s">
        <v>221</v>
      </c>
      <c r="D25" s="704"/>
      <c r="E25" s="704"/>
      <c r="F25" s="704"/>
      <c r="G25" s="704"/>
      <c r="H25" s="704"/>
      <c r="I25" s="413"/>
      <c r="J25" s="413"/>
    </row>
    <row r="26" spans="1:10" ht="21.95" customHeight="1">
      <c r="A26" s="413"/>
      <c r="B26" s="414"/>
      <c r="C26" s="701" t="str">
        <f>VLOOKUP(P1,biononis,3,1)</f>
        <v>ADITA TRI KURNIA PUTRI</v>
      </c>
      <c r="D26" s="702"/>
      <c r="E26" s="702"/>
      <c r="F26" s="702"/>
      <c r="G26" s="702"/>
      <c r="H26" s="703"/>
      <c r="I26" s="415"/>
      <c r="J26" s="413"/>
    </row>
    <row r="27" spans="1:10" ht="16.5">
      <c r="A27" s="413"/>
      <c r="B27" s="414"/>
      <c r="C27" s="416"/>
      <c r="D27" s="416"/>
      <c r="E27" s="415"/>
      <c r="F27" s="415"/>
      <c r="G27" s="415"/>
      <c r="H27" s="415"/>
      <c r="I27" s="415"/>
      <c r="J27" s="413"/>
    </row>
    <row r="28" spans="1:10" ht="18">
      <c r="A28" s="413"/>
      <c r="B28" s="414"/>
      <c r="C28" s="704" t="s">
        <v>222</v>
      </c>
      <c r="D28" s="704"/>
      <c r="E28" s="704"/>
      <c r="F28" s="704"/>
      <c r="G28" s="704"/>
      <c r="H28" s="704"/>
      <c r="I28" s="415"/>
      <c r="J28" s="413"/>
    </row>
    <row r="29" spans="1:10" ht="21.95" customHeight="1">
      <c r="A29" s="413"/>
      <c r="B29" s="414"/>
      <c r="C29" s="701" t="str">
        <f>VLOOKUP(P1,biononis,2,1)</f>
        <v>181910008</v>
      </c>
      <c r="D29" s="702"/>
      <c r="E29" s="702"/>
      <c r="F29" s="702"/>
      <c r="G29" s="702"/>
      <c r="H29" s="703"/>
      <c r="I29" s="417"/>
      <c r="J29" s="413"/>
    </row>
    <row r="30" spans="1:10" ht="16.5">
      <c r="A30" s="413"/>
      <c r="B30" s="414"/>
      <c r="C30" s="413"/>
      <c r="D30" s="413"/>
      <c r="E30" s="413"/>
      <c r="F30" s="415"/>
      <c r="G30" s="415"/>
      <c r="H30" s="415"/>
      <c r="I30" s="415"/>
      <c r="J30" s="413"/>
    </row>
    <row r="31" spans="1:10" ht="18">
      <c r="A31" s="413"/>
      <c r="B31" s="414"/>
      <c r="C31" s="413"/>
      <c r="D31" s="704" t="s">
        <v>223</v>
      </c>
      <c r="E31" s="704"/>
      <c r="F31" s="704"/>
      <c r="G31" s="704"/>
      <c r="H31" s="704"/>
      <c r="I31" s="415"/>
      <c r="J31" s="413"/>
    </row>
    <row r="32" spans="1:10" ht="21.95" customHeight="1">
      <c r="A32" s="413"/>
      <c r="B32" s="414"/>
      <c r="C32" s="701">
        <f>VLOOKUP(P1,Biodata!A9:D48,4,1)</f>
        <v>9991234567</v>
      </c>
      <c r="D32" s="702"/>
      <c r="E32" s="702"/>
      <c r="F32" s="702"/>
      <c r="G32" s="702"/>
      <c r="H32" s="703"/>
      <c r="I32" s="413"/>
      <c r="J32" s="413"/>
    </row>
    <row r="33" spans="1:10" ht="16.5">
      <c r="A33" s="413"/>
      <c r="B33" s="414"/>
      <c r="C33" s="413"/>
      <c r="D33" s="413"/>
      <c r="E33" s="418"/>
      <c r="F33" s="413"/>
      <c r="G33" s="413"/>
      <c r="H33" s="413"/>
      <c r="I33" s="413"/>
      <c r="J33" s="413"/>
    </row>
    <row r="34" spans="1:10" ht="16.5">
      <c r="A34" s="413"/>
      <c r="B34" s="414"/>
      <c r="C34" s="413"/>
      <c r="D34" s="413"/>
      <c r="E34" s="413"/>
      <c r="F34" s="413"/>
      <c r="G34" s="413"/>
      <c r="H34" s="413"/>
      <c r="I34" s="413"/>
      <c r="J34" s="413"/>
    </row>
    <row r="35" spans="1:10" ht="16.5">
      <c r="A35" s="413"/>
      <c r="B35" s="414"/>
      <c r="C35" s="413"/>
      <c r="D35" s="413"/>
      <c r="E35" s="413"/>
      <c r="F35" s="413"/>
      <c r="G35" s="413"/>
      <c r="H35" s="413"/>
      <c r="I35" s="413"/>
      <c r="J35" s="413"/>
    </row>
    <row r="36" spans="1:10" ht="16.5">
      <c r="A36" s="413"/>
      <c r="B36" s="414"/>
      <c r="C36" s="413"/>
      <c r="D36" s="413"/>
      <c r="E36" s="413"/>
      <c r="F36" s="413"/>
      <c r="G36" s="413"/>
      <c r="H36" s="413"/>
      <c r="I36" s="413"/>
      <c r="J36" s="413"/>
    </row>
    <row r="37" spans="1:10" ht="16.5">
      <c r="A37" s="413"/>
      <c r="B37" s="414"/>
      <c r="C37" s="413"/>
      <c r="D37" s="413"/>
      <c r="E37" s="413"/>
      <c r="F37" s="413"/>
      <c r="G37" s="413"/>
      <c r="H37" s="413"/>
      <c r="I37" s="413"/>
      <c r="J37" s="413"/>
    </row>
    <row r="38" spans="1:10" ht="16.5">
      <c r="A38" s="413"/>
      <c r="B38" s="414"/>
      <c r="C38" s="413"/>
      <c r="D38" s="413"/>
      <c r="E38" s="413"/>
      <c r="F38" s="413"/>
      <c r="G38" s="413"/>
      <c r="H38" s="413"/>
      <c r="I38" s="413"/>
      <c r="J38" s="413"/>
    </row>
    <row r="39" spans="1:10" ht="16.5">
      <c r="A39" s="415"/>
      <c r="B39" s="414"/>
      <c r="C39" s="413"/>
      <c r="D39" s="413"/>
      <c r="E39" s="413"/>
      <c r="F39" s="413"/>
      <c r="G39" s="413"/>
      <c r="H39" s="413"/>
      <c r="I39" s="413"/>
      <c r="J39" s="413"/>
    </row>
    <row r="40" spans="1:10" ht="16.5">
      <c r="A40" s="415"/>
      <c r="B40" s="414"/>
      <c r="C40" s="413"/>
      <c r="D40" s="413"/>
      <c r="E40" s="413"/>
      <c r="F40" s="413"/>
      <c r="G40" s="413"/>
      <c r="H40" s="413"/>
      <c r="I40" s="413"/>
      <c r="J40" s="413"/>
    </row>
    <row r="41" spans="1:10">
      <c r="A41" s="413"/>
      <c r="B41" s="413"/>
      <c r="C41" s="413"/>
      <c r="D41" s="413"/>
      <c r="E41" s="413"/>
      <c r="F41" s="413"/>
      <c r="G41" s="413"/>
      <c r="H41" s="413"/>
      <c r="I41" s="413"/>
      <c r="J41" s="413"/>
    </row>
    <row r="42" spans="1:10">
      <c r="A42" s="413"/>
      <c r="B42" s="413"/>
      <c r="C42" s="413"/>
      <c r="D42" s="413"/>
      <c r="E42" s="413"/>
      <c r="F42" s="413"/>
      <c r="G42" s="413"/>
      <c r="H42" s="413"/>
      <c r="I42" s="413"/>
      <c r="J42" s="413"/>
    </row>
    <row r="43" spans="1:10">
      <c r="A43" s="413"/>
      <c r="B43" s="413"/>
      <c r="C43" s="413"/>
      <c r="D43" s="413"/>
      <c r="E43" s="413"/>
      <c r="F43" s="413"/>
      <c r="G43" s="413"/>
      <c r="H43" s="413"/>
      <c r="I43" s="413"/>
      <c r="J43" s="413"/>
    </row>
    <row r="44" spans="1:10">
      <c r="A44" s="413"/>
      <c r="B44" s="413"/>
      <c r="C44" s="413"/>
      <c r="D44" s="413"/>
      <c r="E44" s="413"/>
      <c r="F44" s="413"/>
      <c r="G44" s="413"/>
      <c r="H44" s="413"/>
      <c r="I44" s="413"/>
      <c r="J44" s="413"/>
    </row>
    <row r="45" spans="1:10">
      <c r="A45" s="413"/>
      <c r="B45" s="413"/>
      <c r="C45" s="413"/>
      <c r="D45" s="413"/>
      <c r="E45" s="413"/>
      <c r="F45" s="413"/>
      <c r="G45" s="413"/>
      <c r="H45" s="413"/>
      <c r="I45" s="413"/>
      <c r="J45" s="413"/>
    </row>
  </sheetData>
  <sheetProtection sheet="1" objects="1" scenarios="1"/>
  <mergeCells count="6">
    <mergeCell ref="C26:H26"/>
    <mergeCell ref="C25:H25"/>
    <mergeCell ref="C28:H28"/>
    <mergeCell ref="C29:H29"/>
    <mergeCell ref="C32:H32"/>
    <mergeCell ref="D31:H31"/>
  </mergeCells>
  <printOptions horizontalCentered="1"/>
  <pageMargins left="0.78740157480314965" right="0.27559055118110237" top="0.74803149606299213" bottom="0.78740157480314965" header="0.43307086614173229" footer="0.51181102362204722"/>
  <headerFooter alignWithMargins="0"/>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IV44"/>
  <sheetViews>
    <sheetView showGridLines="0" topLeftCell="A19" workbookViewId="0">
      <selection activeCell="P23" sqref="P23"/>
    </sheetView>
  </sheetViews>
  <sheetFormatPr defaultColWidth="9" defaultRowHeight="16.5"/>
  <cols>
    <col min="1" max="1" width="3.5703125" style="419" customWidth="1"/>
    <col min="2" max="2" width="27.140625" style="420" customWidth="1"/>
    <col min="3" max="3" width="1.85546875" style="420" customWidth="1"/>
    <col min="4" max="4" width="53.85546875" style="420" customWidth="1"/>
    <col min="5" max="5" width="7.140625" style="421" customWidth="1"/>
    <col min="6" max="12" width="9.140625" style="421" customWidth="1"/>
    <col min="13" max="256" width="9.140625" style="422" customWidth="1"/>
  </cols>
  <sheetData>
    <row r="1" spans="1:16" ht="18">
      <c r="A1" s="423"/>
      <c r="B1" s="424"/>
      <c r="C1" s="425" t="s">
        <v>220</v>
      </c>
      <c r="D1" s="424"/>
      <c r="E1" s="426"/>
      <c r="F1" s="421" t="s">
        <v>437</v>
      </c>
    </row>
    <row r="2" spans="1:16">
      <c r="A2" s="423"/>
      <c r="B2" s="424"/>
      <c r="C2" s="424"/>
      <c r="D2" s="424"/>
      <c r="E2" s="426"/>
    </row>
    <row r="3" spans="1:16" ht="20.100000000000001" customHeight="1">
      <c r="A3" s="427" t="s">
        <v>105</v>
      </c>
      <c r="B3" s="424" t="s">
        <v>106</v>
      </c>
      <c r="C3" s="428" t="s">
        <v>3</v>
      </c>
      <c r="D3" s="429" t="str">
        <f>VLOOKUP($G$3,Biodata!$A$9:$X$48,3,0)</f>
        <v>ADITA TRI KURNIA PUTRI</v>
      </c>
      <c r="E3" s="426"/>
      <c r="G3" s="430">
        <v>1</v>
      </c>
      <c r="P3" s="422">
        <v>2</v>
      </c>
    </row>
    <row r="4" spans="1:16" ht="20.100000000000001" customHeight="1">
      <c r="A4" s="427" t="s">
        <v>107</v>
      </c>
      <c r="B4" s="424" t="s">
        <v>108</v>
      </c>
      <c r="C4" s="428" t="s">
        <v>3</v>
      </c>
      <c r="D4" s="429" t="str">
        <f>VLOOKUP($G$3,Biodata!$A$9:$X$48,2,0)</f>
        <v>181910008</v>
      </c>
      <c r="E4" s="426"/>
    </row>
    <row r="5" spans="1:16" ht="20.100000000000001" customHeight="1">
      <c r="A5" s="427"/>
      <c r="B5" s="424" t="s">
        <v>109</v>
      </c>
      <c r="C5" s="428" t="s">
        <v>3</v>
      </c>
      <c r="D5" s="429">
        <f>VLOOKUP($G$3,Biodata!$A$9:$X$48,4,0)</f>
        <v>9991234567</v>
      </c>
      <c r="E5" s="426"/>
    </row>
    <row r="6" spans="1:16" ht="20.100000000000001" customHeight="1">
      <c r="A6" s="427" t="s">
        <v>110</v>
      </c>
      <c r="B6" s="424" t="s">
        <v>111</v>
      </c>
      <c r="C6" s="428" t="s">
        <v>3</v>
      </c>
      <c r="D6" s="429" t="str">
        <f>VLOOKUP($G$3,Biodata!$A$9:$X$48,5,0)</f>
        <v>Banjarnegara, 8 Mei 1999</v>
      </c>
      <c r="E6" s="426"/>
    </row>
    <row r="7" spans="1:16" ht="20.100000000000001" customHeight="1">
      <c r="A7" s="427" t="s">
        <v>112</v>
      </c>
      <c r="B7" s="424" t="s">
        <v>79</v>
      </c>
      <c r="C7" s="428" t="s">
        <v>3</v>
      </c>
      <c r="D7" s="429" t="str">
        <f>VLOOKUP($G$3,Biodata!$A$9:$X$48,6,0)</f>
        <v>Laki-laki</v>
      </c>
      <c r="E7" s="426"/>
    </row>
    <row r="8" spans="1:16" ht="20.100000000000001" customHeight="1">
      <c r="A8" s="427" t="s">
        <v>113</v>
      </c>
      <c r="B8" s="424" t="s">
        <v>114</v>
      </c>
      <c r="C8" s="428" t="s">
        <v>3</v>
      </c>
      <c r="D8" s="429" t="str">
        <f>VLOOKUP($G$3,Biodata!$A$9:$X$48,7,0)</f>
        <v>Islam</v>
      </c>
      <c r="E8" s="426"/>
    </row>
    <row r="9" spans="1:16" ht="20.100000000000001" customHeight="1">
      <c r="A9" s="427" t="s">
        <v>115</v>
      </c>
      <c r="B9" s="424" t="s">
        <v>116</v>
      </c>
      <c r="C9" s="428" t="s">
        <v>3</v>
      </c>
      <c r="D9" s="429" t="str">
        <f>VLOOKUP($G$3,Biodata!$A$9:$X$48,8,0)</f>
        <v>Anak Kandung</v>
      </c>
      <c r="E9" s="426"/>
    </row>
    <row r="10" spans="1:16" ht="20.100000000000001" customHeight="1">
      <c r="A10" s="427" t="s">
        <v>117</v>
      </c>
      <c r="B10" s="424" t="s">
        <v>118</v>
      </c>
      <c r="C10" s="428" t="s">
        <v>3</v>
      </c>
      <c r="D10" s="429">
        <f>VLOOKUP($G$3,Biodata!$A$9:$X$48,9,0)</f>
        <v>1</v>
      </c>
      <c r="E10" s="426"/>
    </row>
    <row r="11" spans="1:16" ht="20.100000000000001" customHeight="1">
      <c r="A11" s="427" t="s">
        <v>119</v>
      </c>
      <c r="B11" s="424" t="s">
        <v>120</v>
      </c>
      <c r="C11" s="428" t="s">
        <v>3</v>
      </c>
      <c r="D11" s="429" t="str">
        <f>VLOOKUP($G$3,Biodata!$A$9:$X$48,10,0)</f>
        <v xml:space="preserve">Banjaran </v>
      </c>
      <c r="E11" s="426"/>
    </row>
    <row r="12" spans="1:16" ht="20.100000000000001" customHeight="1">
      <c r="A12" s="427" t="s">
        <v>121</v>
      </c>
      <c r="B12" s="424" t="s">
        <v>122</v>
      </c>
      <c r="C12" s="428" t="s">
        <v>3</v>
      </c>
      <c r="D12" s="429" t="str">
        <f>VLOOKUP($G$3,Biodata!$A$9:$X$48,11,0)</f>
        <v>022</v>
      </c>
      <c r="E12" s="426"/>
    </row>
    <row r="13" spans="1:16" ht="20.100000000000001" customHeight="1">
      <c r="A13" s="427" t="s">
        <v>123</v>
      </c>
      <c r="B13" s="424" t="s">
        <v>124</v>
      </c>
      <c r="C13" s="428" t="s">
        <v>3</v>
      </c>
      <c r="D13" s="429" t="str">
        <f>VLOOKUP($G$3,Biodata!$A$9:$X$48,12,0)</f>
        <v>SMP N X Banjaran</v>
      </c>
      <c r="E13" s="426"/>
    </row>
    <row r="14" spans="1:16">
      <c r="A14" s="427" t="s">
        <v>125</v>
      </c>
      <c r="B14" s="424" t="s">
        <v>126</v>
      </c>
      <c r="C14" s="428"/>
      <c r="D14" s="429"/>
      <c r="E14" s="426"/>
    </row>
    <row r="15" spans="1:16" ht="20.100000000000001" customHeight="1">
      <c r="A15" s="427"/>
      <c r="B15" s="424" t="s">
        <v>127</v>
      </c>
      <c r="C15" s="428" t="s">
        <v>3</v>
      </c>
      <c r="D15" s="429" t="str">
        <f>VLOOKUP($G$3,Biodata!$A$9:$X$48,13,0)</f>
        <v>X</v>
      </c>
      <c r="E15" s="426"/>
    </row>
    <row r="16" spans="1:16" ht="20.100000000000001" customHeight="1">
      <c r="A16" s="427"/>
      <c r="B16" s="424" t="s">
        <v>236</v>
      </c>
      <c r="C16" s="428" t="s">
        <v>3</v>
      </c>
      <c r="D16" s="429" t="str">
        <f>VLOOKUP($G$3,Biodata!$A$9:$X$48,14,0)</f>
        <v>16 Juli 2018</v>
      </c>
      <c r="E16" s="426"/>
    </row>
    <row r="17" spans="1:12">
      <c r="A17" s="427" t="s">
        <v>128</v>
      </c>
      <c r="B17" s="424" t="s">
        <v>129</v>
      </c>
      <c r="C17" s="428"/>
      <c r="D17" s="429"/>
      <c r="E17" s="426"/>
    </row>
    <row r="18" spans="1:12" ht="20.100000000000001" customHeight="1">
      <c r="A18" s="427"/>
      <c r="B18" s="424" t="s">
        <v>130</v>
      </c>
      <c r="C18" s="428" t="s">
        <v>3</v>
      </c>
      <c r="D18" s="429" t="str">
        <f>VLOOKUP($G$3,Biodata!$A$9:$X$48,15,0)</f>
        <v>OON</v>
      </c>
      <c r="E18" s="426"/>
    </row>
    <row r="19" spans="1:12">
      <c r="A19" s="427"/>
      <c r="B19" s="424" t="s">
        <v>131</v>
      </c>
      <c r="C19" s="428" t="s">
        <v>3</v>
      </c>
      <c r="D19" s="429" t="str">
        <f>VLOOKUP($G$3,Biodata!$A$9:$X$48,16,0)</f>
        <v>IIN</v>
      </c>
      <c r="E19" s="426"/>
      <c r="L19" s="422"/>
    </row>
    <row r="20" spans="1:12">
      <c r="A20" s="427"/>
      <c r="B20" s="424" t="s">
        <v>132</v>
      </c>
      <c r="C20" s="428" t="s">
        <v>3</v>
      </c>
      <c r="D20" s="429" t="str">
        <f>VLOOKUP($G$3,Biodata!$A$9:$X$48,17,0)</f>
        <v>Banjarnegra</v>
      </c>
      <c r="E20" s="426"/>
      <c r="L20" s="422"/>
    </row>
    <row r="21" spans="1:12">
      <c r="A21" s="427"/>
      <c r="B21" s="424" t="s">
        <v>133</v>
      </c>
      <c r="C21" s="428" t="s">
        <v>3</v>
      </c>
      <c r="D21" s="429" t="str">
        <f>VLOOKUP($G$3,Biodata!$A$9:$X$48,18,0)</f>
        <v>081</v>
      </c>
      <c r="E21" s="426"/>
      <c r="L21" s="422"/>
    </row>
    <row r="22" spans="1:12">
      <c r="A22" s="427" t="s">
        <v>134</v>
      </c>
      <c r="B22" s="424" t="s">
        <v>135</v>
      </c>
      <c r="C22" s="428"/>
      <c r="D22" s="429"/>
      <c r="E22" s="426"/>
      <c r="L22" s="422"/>
    </row>
    <row r="23" spans="1:12">
      <c r="A23" s="427"/>
      <c r="B23" s="424" t="s">
        <v>136</v>
      </c>
      <c r="C23" s="428" t="s">
        <v>3</v>
      </c>
      <c r="D23" s="429" t="str">
        <f>VLOOKUP($G$3,Biodata!$A$9:$X$48,19,0)</f>
        <v>PNS</v>
      </c>
      <c r="E23" s="426"/>
      <c r="L23" s="422"/>
    </row>
    <row r="24" spans="1:12">
      <c r="A24" s="427"/>
      <c r="B24" s="424" t="s">
        <v>137</v>
      </c>
      <c r="C24" s="428" t="s">
        <v>3</v>
      </c>
      <c r="D24" s="429" t="str">
        <f>VLOOKUP($G$3,Biodata!$A$9:$X$48,20,0)</f>
        <v>IRT</v>
      </c>
      <c r="E24" s="426"/>
      <c r="L24" s="422"/>
    </row>
    <row r="25" spans="1:12">
      <c r="A25" s="427" t="s">
        <v>138</v>
      </c>
      <c r="B25" s="424" t="s">
        <v>139</v>
      </c>
      <c r="C25" s="428"/>
      <c r="D25" s="429"/>
      <c r="E25" s="426"/>
      <c r="L25" s="422"/>
    </row>
    <row r="26" spans="1:12">
      <c r="A26" s="423"/>
      <c r="B26" s="424" t="s">
        <v>140</v>
      </c>
      <c r="C26" s="428" t="s">
        <v>3</v>
      </c>
      <c r="D26" s="429" t="str">
        <f>VLOOKUP($G$3,Biodata!$A$9:$X$48,21,0)</f>
        <v>UUN</v>
      </c>
      <c r="E26" s="426"/>
      <c r="L26" s="422"/>
    </row>
    <row r="27" spans="1:12">
      <c r="A27" s="423"/>
      <c r="B27" s="424" t="s">
        <v>141</v>
      </c>
      <c r="C27" s="428" t="s">
        <v>3</v>
      </c>
      <c r="D27" s="429"/>
      <c r="E27" s="426"/>
      <c r="L27" s="422"/>
    </row>
    <row r="28" spans="1:12">
      <c r="A28" s="423"/>
      <c r="B28" s="424" t="s">
        <v>132</v>
      </c>
      <c r="C28" s="428" t="s">
        <v>3</v>
      </c>
      <c r="D28" s="429" t="str">
        <f>VLOOKUP($G$3,Biodata!$A$9:$X$48,23,0)</f>
        <v>Babakan Pasundan</v>
      </c>
      <c r="E28" s="426"/>
      <c r="L28" s="422"/>
    </row>
    <row r="29" spans="1:12">
      <c r="A29" s="423"/>
      <c r="B29" s="424" t="s">
        <v>142</v>
      </c>
      <c r="C29" s="428" t="s">
        <v>3</v>
      </c>
      <c r="D29" s="429" t="str">
        <f>VLOOKUP($G$3,Biodata!$A$9:$X$48,24,0)</f>
        <v>Dagang</v>
      </c>
      <c r="E29" s="426"/>
      <c r="L29" s="422"/>
    </row>
    <row r="30" spans="1:12">
      <c r="A30" s="423"/>
      <c r="B30" s="424"/>
      <c r="C30" s="424"/>
      <c r="D30" s="424"/>
      <c r="E30" s="426"/>
      <c r="L30" s="422"/>
    </row>
    <row r="31" spans="1:12">
      <c r="A31" s="423"/>
      <c r="B31" s="424"/>
      <c r="C31" s="424"/>
      <c r="D31" s="431" t="s">
        <v>298</v>
      </c>
      <c r="E31" s="426"/>
      <c r="L31" s="422"/>
    </row>
    <row r="32" spans="1:12">
      <c r="A32" s="423"/>
      <c r="B32" s="424"/>
      <c r="C32" s="424"/>
      <c r="D32" s="432"/>
      <c r="E32" s="426"/>
      <c r="L32" s="422"/>
    </row>
    <row r="33" spans="1:12">
      <c r="A33" s="423"/>
      <c r="B33" s="424"/>
      <c r="C33" s="424"/>
      <c r="D33" s="433" t="s">
        <v>1</v>
      </c>
      <c r="E33" s="426"/>
      <c r="L33" s="422"/>
    </row>
    <row r="34" spans="1:12">
      <c r="A34" s="423"/>
      <c r="B34" s="424"/>
      <c r="C34" s="424"/>
      <c r="D34" s="433"/>
      <c r="E34" s="426"/>
      <c r="L34" s="422"/>
    </row>
    <row r="35" spans="1:12">
      <c r="A35" s="423"/>
      <c r="B35" s="424"/>
      <c r="C35" s="424"/>
      <c r="D35" s="433"/>
      <c r="E35" s="426"/>
    </row>
    <row r="36" spans="1:12">
      <c r="A36" s="423"/>
      <c r="B36" s="424"/>
      <c r="C36" s="424"/>
      <c r="D36" s="433"/>
      <c r="E36" s="426"/>
    </row>
    <row r="37" spans="1:12">
      <c r="A37" s="423"/>
      <c r="B37" s="424"/>
      <c r="C37" s="424"/>
      <c r="D37" s="424"/>
      <c r="E37" s="426"/>
    </row>
    <row r="38" spans="1:12">
      <c r="A38" s="423"/>
      <c r="B38" s="424"/>
      <c r="C38" s="424"/>
      <c r="D38" s="434" t="s">
        <v>143</v>
      </c>
      <c r="E38" s="426"/>
    </row>
    <row r="39" spans="1:12" s="435" customFormat="1" ht="15">
      <c r="A39" s="433"/>
      <c r="B39" s="432"/>
      <c r="C39" s="432"/>
      <c r="D39" s="436" t="s">
        <v>144</v>
      </c>
      <c r="E39" s="182"/>
      <c r="F39" s="183"/>
      <c r="G39" s="183"/>
      <c r="H39" s="183"/>
      <c r="I39" s="183"/>
      <c r="J39" s="183"/>
      <c r="K39" s="183"/>
      <c r="L39" s="183"/>
    </row>
    <row r="40" spans="1:12" s="437" customFormat="1" ht="15">
      <c r="A40" s="438" t="s">
        <v>217</v>
      </c>
      <c r="B40" s="439"/>
      <c r="C40" s="439"/>
      <c r="D40" s="439"/>
      <c r="E40" s="250"/>
      <c r="F40" s="187"/>
      <c r="G40" s="187"/>
      <c r="H40" s="187"/>
      <c r="I40" s="187"/>
      <c r="J40" s="187"/>
      <c r="K40" s="187"/>
      <c r="L40" s="187"/>
    </row>
    <row r="41" spans="1:12">
      <c r="A41" s="440" t="s">
        <v>219</v>
      </c>
      <c r="B41" s="424"/>
      <c r="C41" s="424"/>
      <c r="D41" s="424"/>
      <c r="E41" s="426"/>
    </row>
    <row r="42" spans="1:12">
      <c r="A42" s="440" t="s">
        <v>218</v>
      </c>
      <c r="B42" s="424"/>
      <c r="C42" s="424"/>
      <c r="D42" s="424"/>
      <c r="E42" s="426"/>
    </row>
    <row r="43" spans="1:12">
      <c r="A43" s="441"/>
      <c r="B43" s="442"/>
      <c r="C43" s="442"/>
      <c r="D43" s="442"/>
      <c r="E43" s="426"/>
    </row>
    <row r="44" spans="1:12">
      <c r="A44" s="441"/>
      <c r="B44" s="442"/>
      <c r="C44" s="442"/>
      <c r="D44" s="442"/>
      <c r="E44" s="426"/>
    </row>
  </sheetData>
  <printOptions horizontalCentered="1"/>
  <pageMargins left="0.6692913385826772" right="0.23622047244094491" top="0.9" bottom="0.19685039370078741" header="0.35433070866141736" footer="0.11811023622047245"/>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34</vt:i4>
      </vt:variant>
    </vt:vector>
  </HeadingPairs>
  <TitlesOfParts>
    <vt:vector size="62" baseType="lpstr">
      <vt:lpstr>PETUNJUK</vt:lpstr>
      <vt:lpstr>Biodata</vt:lpstr>
      <vt:lpstr>LEGER</vt:lpstr>
      <vt:lpstr>CatatPrestasi</vt:lpstr>
      <vt:lpstr>RAPORT</vt:lpstr>
      <vt:lpstr>NilKon</vt:lpstr>
      <vt:lpstr>RAPORT (1)</vt:lpstr>
      <vt:lpstr>COVER</vt:lpstr>
      <vt:lpstr>Identitas</vt:lpstr>
      <vt:lpstr>PdhKeluar</vt:lpstr>
      <vt:lpstr>PdhMasuk</vt:lpstr>
      <vt:lpstr>PAiBP</vt:lpstr>
      <vt:lpstr>PKN</vt:lpstr>
      <vt:lpstr>BIND</vt:lpstr>
      <vt:lpstr>MATH</vt:lpstr>
      <vt:lpstr>SJRID</vt:lpstr>
      <vt:lpstr>BING</vt:lpstr>
      <vt:lpstr>SENI</vt:lpstr>
      <vt:lpstr>PJOK</vt:lpstr>
      <vt:lpstr>PKWU</vt:lpstr>
      <vt:lpstr>MULOK</vt:lpstr>
      <vt:lpstr>SJRIPS</vt:lpstr>
      <vt:lpstr>GEOG</vt:lpstr>
      <vt:lpstr>SOSIO</vt:lpstr>
      <vt:lpstr>EKON</vt:lpstr>
      <vt:lpstr>LM-1</vt:lpstr>
      <vt:lpstr>LM-2</vt:lpstr>
      <vt:lpstr>BTQ</vt:lpstr>
      <vt:lpstr>LEGER!_151610003A</vt:lpstr>
      <vt:lpstr>RAPORT!_151610003A</vt:lpstr>
      <vt:lpstr>'RAPORT (1)'!_151610003A</vt:lpstr>
      <vt:lpstr>Biodata</vt:lpstr>
      <vt:lpstr>bionisnama</vt:lpstr>
      <vt:lpstr>biononis</vt:lpstr>
      <vt:lpstr>catatan</vt:lpstr>
      <vt:lpstr>Cover</vt:lpstr>
      <vt:lpstr>'RAPORT (1)'!Ledger</vt:lpstr>
      <vt:lpstr>Ledger</vt:lpstr>
      <vt:lpstr>Leger</vt:lpstr>
      <vt:lpstr>leger10</vt:lpstr>
      <vt:lpstr>legger</vt:lpstr>
      <vt:lpstr>leggerx</vt:lpstr>
      <vt:lpstr>leggerx1</vt:lpstr>
      <vt:lpstr>nilkonv</vt:lpstr>
      <vt:lpstr>'RAPORT (1)'!nomor</vt:lpstr>
      <vt:lpstr>nomor</vt:lpstr>
      <vt:lpstr>prestasi</vt:lpstr>
      <vt:lpstr>COVER!Print_Area</vt:lpstr>
      <vt:lpstr>Identitas!Print_Area</vt:lpstr>
      <vt:lpstr>LEGER!Print_Area</vt:lpstr>
      <vt:lpstr>PdhKeluar!Print_Area</vt:lpstr>
      <vt:lpstr>PdhMasuk!Print_Area</vt:lpstr>
      <vt:lpstr>PETUNJUK!Print_Area</vt:lpstr>
      <vt:lpstr>RAPORT!Print_Area</vt:lpstr>
      <vt:lpstr>'RAPORT (1)'!Print_Area</vt:lpstr>
      <vt:lpstr>Biodata!Print_Titles</vt:lpstr>
      <vt:lpstr>LEGER!Print_Titles</vt:lpstr>
      <vt:lpstr>RAPORT!Print_Titles</vt:lpstr>
      <vt:lpstr>'RAPORT (1)'!Print_Titles</vt:lpstr>
      <vt:lpstr>'RAPORT (1)'!Rapor</vt:lpstr>
      <vt:lpstr>Rapor</vt:lpstr>
      <vt:lpstr>SB</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sekolah</dc:creator>
  <cp:lastModifiedBy>Haru.com</cp:lastModifiedBy>
  <dcterms:created xsi:type="dcterms:W3CDTF">2006-08-18T19:21:34Z</dcterms:created>
  <dcterms:modified xsi:type="dcterms:W3CDTF">2019-01-29T02:33:28Z</dcterms:modified>
</cp:coreProperties>
</file>