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e9a2cf461f89c/Desktop/Excel Practice/Own Projects/"/>
    </mc:Choice>
  </mc:AlternateContent>
  <xr:revisionPtr revIDLastSave="766" documentId="8_{46E85E82-22D1-441B-9C80-1982CF1D8F67}" xr6:coauthVersionLast="47" xr6:coauthVersionMax="47" xr10:uidLastSave="{5C7D04AF-A274-4CC9-BEC1-CDF3A7EA266D}"/>
  <bookViews>
    <workbookView xWindow="-108" yWindow="-108" windowWidth="23256" windowHeight="12456" xr2:uid="{D23CBEC1-671D-453E-845D-6682451C9FB5}"/>
  </bookViews>
  <sheets>
    <sheet name="DCF" sheetId="1" r:id="rId1"/>
    <sheet name="Data Tables" sheetId="2" r:id="rId2"/>
    <sheet name="IS" sheetId="3" r:id="rId3"/>
    <sheet name="BS" sheetId="4" r:id="rId4"/>
    <sheet name="CFS" sheetId="5" r:id="rId5"/>
  </sheets>
  <definedNames>
    <definedName name="_xlnm._FilterDatabase" localSheetId="0" hidden="1">DCF!$B$27:$W$48</definedName>
    <definedName name="ExternalData_1" localSheetId="3" hidden="1">BS!$B$2:$J$34</definedName>
    <definedName name="ExternalData_1" localSheetId="4" hidden="1">CFS!$C$2:$J$23</definedName>
    <definedName name="ExternalData_1" localSheetId="2" hidden="1">IS!$B$2:$F$37</definedName>
    <definedName name="tgr">DCF!$E$24</definedName>
    <definedName name="wacc">DCF!$E$23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3" l="1"/>
  <c r="Y13" i="3"/>
  <c r="O13" i="3"/>
  <c r="P13" i="3"/>
  <c r="Q13" i="3"/>
  <c r="R13" i="3"/>
  <c r="S13" i="3"/>
  <c r="T13" i="3"/>
  <c r="U13" i="3"/>
  <c r="V13" i="3"/>
  <c r="W13" i="3"/>
  <c r="N13" i="3"/>
  <c r="Y15" i="3"/>
  <c r="O15" i="3"/>
  <c r="P15" i="3"/>
  <c r="Q15" i="3"/>
  <c r="R15" i="3"/>
  <c r="S15" i="3"/>
  <c r="T15" i="3"/>
  <c r="U15" i="3"/>
  <c r="V15" i="3"/>
  <c r="W15" i="3"/>
  <c r="N15" i="3"/>
  <c r="O68" i="1"/>
  <c r="P68" i="1"/>
  <c r="Q68" i="1"/>
  <c r="R68" i="1"/>
  <c r="S68" i="1"/>
  <c r="T68" i="1"/>
  <c r="U68" i="1"/>
  <c r="V68" i="1"/>
  <c r="W68" i="1"/>
  <c r="N68" i="1"/>
  <c r="O66" i="1"/>
  <c r="P66" i="1"/>
  <c r="Q66" i="1"/>
  <c r="R66" i="1"/>
  <c r="S66" i="1"/>
  <c r="T66" i="1"/>
  <c r="U66" i="1"/>
  <c r="V66" i="1"/>
  <c r="W66" i="1"/>
  <c r="N66" i="1"/>
  <c r="F16" i="2"/>
  <c r="G16" i="2"/>
  <c r="H16" i="2"/>
  <c r="I16" i="2"/>
  <c r="J16" i="2" s="1"/>
  <c r="K16" i="2" s="1"/>
  <c r="L16" i="2" s="1"/>
  <c r="M16" i="2" s="1"/>
  <c r="E16" i="2"/>
  <c r="D16" i="2"/>
  <c r="F14" i="2"/>
  <c r="G14" i="2" s="1"/>
  <c r="H14" i="2" s="1"/>
  <c r="I14" i="2" s="1"/>
  <c r="J14" i="2" s="1"/>
  <c r="K14" i="2" s="1"/>
  <c r="L14" i="2" s="1"/>
  <c r="M14" i="2" s="1"/>
  <c r="E14" i="2"/>
  <c r="F15" i="2"/>
  <c r="G15" i="2"/>
  <c r="H15" i="2"/>
  <c r="I15" i="2"/>
  <c r="J15" i="2" s="1"/>
  <c r="E15" i="2"/>
  <c r="E93" i="1"/>
  <c r="E90" i="1"/>
  <c r="E89" i="1"/>
  <c r="D10" i="2" a="1"/>
  <c r="D10" i="2" s="1"/>
  <c r="D9" i="2" s="1"/>
  <c r="N60" i="1" s="1"/>
  <c r="O55" i="1"/>
  <c r="O53" i="1" s="1"/>
  <c r="W55" i="1"/>
  <c r="W53" i="1" s="1"/>
  <c r="N55" i="1"/>
  <c r="N53" i="1" s="1"/>
  <c r="D4" i="2"/>
  <c r="N54" i="1" s="1"/>
  <c r="E4" i="2"/>
  <c r="O54" i="1" s="1"/>
  <c r="M4" i="2"/>
  <c r="W54" i="1" s="1"/>
  <c r="D6" i="2"/>
  <c r="N56" i="1" s="1"/>
  <c r="E6" i="2"/>
  <c r="O56" i="1" s="1"/>
  <c r="M6" i="2"/>
  <c r="W56" i="1" s="1"/>
  <c r="K15" i="2" l="1"/>
  <c r="U67" i="1"/>
  <c r="U65" i="1" s="1"/>
  <c r="Q67" i="1"/>
  <c r="Q65" i="1" s="1"/>
  <c r="N67" i="1"/>
  <c r="N65" i="1" s="1"/>
  <c r="N64" i="1" s="1"/>
  <c r="T67" i="1"/>
  <c r="T65" i="1" s="1"/>
  <c r="P67" i="1"/>
  <c r="P65" i="1" s="1"/>
  <c r="S67" i="1"/>
  <c r="S65" i="1" s="1"/>
  <c r="O67" i="1"/>
  <c r="O65" i="1" s="1"/>
  <c r="R67" i="1"/>
  <c r="R65" i="1" s="1"/>
  <c r="D11" i="2"/>
  <c r="N62" i="1" s="1"/>
  <c r="N61" i="1"/>
  <c r="N59" i="1" s="1"/>
  <c r="N58" i="1" s="1"/>
  <c r="F10" i="2"/>
  <c r="E11" i="2"/>
  <c r="O62" i="1" s="1"/>
  <c r="O61" i="1"/>
  <c r="O59" i="1" s="1"/>
  <c r="E9" i="2"/>
  <c r="O60" i="1" s="1"/>
  <c r="L15" i="2" l="1"/>
  <c r="O64" i="1"/>
  <c r="P64" i="1" s="1"/>
  <c r="Q64" i="1" s="1"/>
  <c r="R64" i="1" s="1"/>
  <c r="S64" i="1" s="1"/>
  <c r="T64" i="1" s="1"/>
  <c r="U64" i="1" s="1"/>
  <c r="O58" i="1"/>
  <c r="G10" i="2"/>
  <c r="F11" i="2"/>
  <c r="P62" i="1" s="1"/>
  <c r="F9" i="2"/>
  <c r="P60" i="1" s="1"/>
  <c r="P61" i="1"/>
  <c r="P59" i="1" s="1"/>
  <c r="M15" i="2" l="1"/>
  <c r="V67" i="1"/>
  <c r="V65" i="1" s="1"/>
  <c r="V64" i="1" s="1"/>
  <c r="P58" i="1"/>
  <c r="Q61" i="1"/>
  <c r="Q59" i="1" s="1"/>
  <c r="G9" i="2"/>
  <c r="Q60" i="1" s="1"/>
  <c r="H10" i="2"/>
  <c r="G11" i="2"/>
  <c r="Q62" i="1" s="1"/>
  <c r="W67" i="1" l="1"/>
  <c r="W65" i="1" s="1"/>
  <c r="W64" i="1" s="1"/>
  <c r="Q58" i="1"/>
  <c r="I10" i="2"/>
  <c r="H11" i="2"/>
  <c r="R62" i="1" s="1"/>
  <c r="R61" i="1"/>
  <c r="R59" i="1" s="1"/>
  <c r="H9" i="2"/>
  <c r="R60" i="1" s="1"/>
  <c r="R58" i="1" l="1"/>
  <c r="J10" i="2"/>
  <c r="I9" i="2"/>
  <c r="S60" i="1" s="1"/>
  <c r="S61" i="1"/>
  <c r="S59" i="1" s="1"/>
  <c r="I11" i="2"/>
  <c r="S62" i="1" s="1"/>
  <c r="S58" i="1" l="1"/>
  <c r="K10" i="2"/>
  <c r="J11" i="2"/>
  <c r="T62" i="1" s="1"/>
  <c r="J9" i="2"/>
  <c r="T60" i="1" s="1"/>
  <c r="T61" i="1"/>
  <c r="T59" i="1" s="1"/>
  <c r="T58" i="1" l="1"/>
  <c r="L10" i="2"/>
  <c r="U61" i="1"/>
  <c r="U59" i="1" s="1"/>
  <c r="K9" i="2"/>
  <c r="U60" i="1" s="1"/>
  <c r="K11" i="2"/>
  <c r="U62" i="1" s="1"/>
  <c r="U58" i="1" l="1"/>
  <c r="M10" i="2"/>
  <c r="L11" i="2"/>
  <c r="V62" i="1" s="1"/>
  <c r="V61" i="1"/>
  <c r="V59" i="1" s="1"/>
  <c r="L9" i="2"/>
  <c r="V60" i="1" s="1"/>
  <c r="V58" i="1" l="1"/>
  <c r="M9" i="2"/>
  <c r="W60" i="1" s="1"/>
  <c r="W61" i="1"/>
  <c r="W59" i="1" s="1"/>
  <c r="M11" i="2"/>
  <c r="W62" i="1" s="1"/>
  <c r="W58" i="1" l="1"/>
  <c r="E2" i="2" l="1"/>
  <c r="F2" i="2" s="1"/>
  <c r="G2" i="2" s="1"/>
  <c r="H2" i="2" s="1"/>
  <c r="I2" i="2" s="1"/>
  <c r="J2" i="2" s="1"/>
  <c r="K2" i="2" s="1"/>
  <c r="L2" i="2" s="1"/>
  <c r="M2" i="2" s="1"/>
  <c r="O5" i="2" s="1"/>
  <c r="F5" i="2" s="1"/>
  <c r="F45" i="1"/>
  <c r="F78" i="1" s="1"/>
  <c r="G45" i="1"/>
  <c r="G78" i="1" s="1"/>
  <c r="H45" i="1"/>
  <c r="H78" i="1" s="1"/>
  <c r="I45" i="1"/>
  <c r="I78" i="1" s="1"/>
  <c r="J45" i="1"/>
  <c r="J78" i="1" s="1"/>
  <c r="K45" i="1"/>
  <c r="K78" i="1" s="1"/>
  <c r="L45" i="1"/>
  <c r="L78" i="1" s="1"/>
  <c r="M45" i="1"/>
  <c r="M78" i="1" s="1"/>
  <c r="E45" i="1"/>
  <c r="E78" i="1" s="1"/>
  <c r="E36" i="4"/>
  <c r="F36" i="4"/>
  <c r="G36" i="4"/>
  <c r="H36" i="4"/>
  <c r="I36" i="4"/>
  <c r="J36" i="4"/>
  <c r="K36" i="4"/>
  <c r="L36" i="4"/>
  <c r="D36" i="4"/>
  <c r="E42" i="1"/>
  <c r="E75" i="1" s="1"/>
  <c r="F42" i="1"/>
  <c r="G42" i="1"/>
  <c r="G75" i="1" s="1"/>
  <c r="H42" i="1"/>
  <c r="H75" i="1" s="1"/>
  <c r="I42" i="1"/>
  <c r="I75" i="1" s="1"/>
  <c r="J42" i="1"/>
  <c r="K42" i="1"/>
  <c r="K75" i="1" s="1"/>
  <c r="L42" i="1"/>
  <c r="L75" i="1" s="1"/>
  <c r="M42" i="1"/>
  <c r="M75" i="1" s="1"/>
  <c r="D42" i="1"/>
  <c r="E39" i="1"/>
  <c r="E72" i="1" s="1"/>
  <c r="F39" i="1"/>
  <c r="F72" i="1" s="1"/>
  <c r="G39" i="1"/>
  <c r="G72" i="1" s="1"/>
  <c r="H39" i="1"/>
  <c r="H72" i="1" s="1"/>
  <c r="I39" i="1"/>
  <c r="I72" i="1" s="1"/>
  <c r="J39" i="1"/>
  <c r="J72" i="1" s="1"/>
  <c r="K39" i="1"/>
  <c r="K72" i="1" s="1"/>
  <c r="L39" i="1"/>
  <c r="L72" i="1" s="1"/>
  <c r="M39" i="1"/>
  <c r="M72" i="1" s="1"/>
  <c r="D39" i="1"/>
  <c r="D72" i="1" s="1"/>
  <c r="E32" i="1"/>
  <c r="E35" i="1" s="1"/>
  <c r="F32" i="1"/>
  <c r="F35" i="1" s="1"/>
  <c r="G32" i="1"/>
  <c r="G35" i="1" s="1"/>
  <c r="H32" i="1"/>
  <c r="I32" i="1"/>
  <c r="I35" i="1" s="1"/>
  <c r="J32" i="1"/>
  <c r="J35" i="1" s="1"/>
  <c r="K32" i="1"/>
  <c r="K35" i="1" s="1"/>
  <c r="L32" i="1"/>
  <c r="M32" i="1"/>
  <c r="M35" i="1" s="1"/>
  <c r="D32" i="1"/>
  <c r="D35" i="1" s="1"/>
  <c r="E29" i="1"/>
  <c r="E52" i="1" s="1"/>
  <c r="F29" i="1"/>
  <c r="F52" i="1" s="1"/>
  <c r="G29" i="1"/>
  <c r="H29" i="1"/>
  <c r="I29" i="1"/>
  <c r="I52" i="1" s="1"/>
  <c r="J29" i="1"/>
  <c r="J52" i="1" s="1"/>
  <c r="K29" i="1"/>
  <c r="L29" i="1"/>
  <c r="M29" i="1"/>
  <c r="M52" i="1" s="1"/>
  <c r="N52" i="1" s="1"/>
  <c r="N70" i="1" s="1"/>
  <c r="D29" i="1"/>
  <c r="D52" i="1" s="1"/>
  <c r="E51" i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E27" i="1"/>
  <c r="F27" i="1" s="1"/>
  <c r="G27" i="1" s="1"/>
  <c r="H27" i="1" s="1"/>
  <c r="I27" i="1" s="1"/>
  <c r="J27" i="1" s="1"/>
  <c r="K27" i="1" s="1"/>
  <c r="L27" i="1" s="1"/>
  <c r="M27" i="1" s="1"/>
  <c r="M19" i="1"/>
  <c r="Q19" i="1" s="1"/>
  <c r="I19" i="1"/>
  <c r="E53" i="1" l="1"/>
  <c r="K30" i="1"/>
  <c r="K52" i="1"/>
  <c r="K53" i="1" s="1"/>
  <c r="O52" i="1"/>
  <c r="O70" i="1" s="1"/>
  <c r="L30" i="1"/>
  <c r="L52" i="1"/>
  <c r="H30" i="1"/>
  <c r="H52" i="1"/>
  <c r="I53" i="1" s="1"/>
  <c r="D36" i="1"/>
  <c r="J36" i="1"/>
  <c r="F36" i="1"/>
  <c r="D43" i="1"/>
  <c r="D76" i="1" s="1"/>
  <c r="D75" i="1"/>
  <c r="J43" i="1"/>
  <c r="J76" i="1" s="1"/>
  <c r="J75" i="1"/>
  <c r="F43" i="1"/>
  <c r="F76" i="1" s="1"/>
  <c r="F75" i="1"/>
  <c r="G46" i="1"/>
  <c r="G79" i="1" s="1"/>
  <c r="G52" i="1"/>
  <c r="P55" i="1"/>
  <c r="P53" i="1" s="1"/>
  <c r="F6" i="2"/>
  <c r="P56" i="1" s="1"/>
  <c r="G5" i="2"/>
  <c r="F4" i="2"/>
  <c r="P54" i="1" s="1"/>
  <c r="I46" i="1"/>
  <c r="I79" i="1" s="1"/>
  <c r="M36" i="1"/>
  <c r="I36" i="1"/>
  <c r="E36" i="1"/>
  <c r="M43" i="1"/>
  <c r="M76" i="1" s="1"/>
  <c r="I43" i="1"/>
  <c r="I76" i="1" s="1"/>
  <c r="E43" i="1"/>
  <c r="E76" i="1" s="1"/>
  <c r="J30" i="1"/>
  <c r="F30" i="1"/>
  <c r="L40" i="1"/>
  <c r="L73" i="1" s="1"/>
  <c r="H40" i="1"/>
  <c r="H73" i="1" s="1"/>
  <c r="K40" i="1"/>
  <c r="K73" i="1" s="1"/>
  <c r="G40" i="1"/>
  <c r="G73" i="1" s="1"/>
  <c r="L46" i="1"/>
  <c r="L79" i="1" s="1"/>
  <c r="H46" i="1"/>
  <c r="H79" i="1" s="1"/>
  <c r="D33" i="1"/>
  <c r="L33" i="1"/>
  <c r="H33" i="1"/>
  <c r="D40" i="1"/>
  <c r="D73" i="1" s="1"/>
  <c r="J40" i="1"/>
  <c r="J73" i="1" s="1"/>
  <c r="F40" i="1"/>
  <c r="F73" i="1" s="1"/>
  <c r="L43" i="1"/>
  <c r="L76" i="1" s="1"/>
  <c r="H43" i="1"/>
  <c r="H76" i="1" s="1"/>
  <c r="K46" i="1"/>
  <c r="K79" i="1" s="1"/>
  <c r="F53" i="1"/>
  <c r="J53" i="1"/>
  <c r="M30" i="1"/>
  <c r="I30" i="1"/>
  <c r="E33" i="1"/>
  <c r="K36" i="1"/>
  <c r="G36" i="1"/>
  <c r="M40" i="1"/>
  <c r="M73" i="1" s="1"/>
  <c r="I40" i="1"/>
  <c r="I73" i="1" s="1"/>
  <c r="E40" i="1"/>
  <c r="E73" i="1" s="1"/>
  <c r="K43" i="1"/>
  <c r="K76" i="1" s="1"/>
  <c r="G43" i="1"/>
  <c r="G76" i="1" s="1"/>
  <c r="J46" i="1"/>
  <c r="J79" i="1" s="1"/>
  <c r="K33" i="1"/>
  <c r="G33" i="1"/>
  <c r="E46" i="1"/>
  <c r="E79" i="1" s="1"/>
  <c r="F46" i="1"/>
  <c r="F79" i="1" s="1"/>
  <c r="G30" i="1"/>
  <c r="J33" i="1"/>
  <c r="F33" i="1"/>
  <c r="L35" i="1"/>
  <c r="L36" i="1" s="1"/>
  <c r="H35" i="1"/>
  <c r="H36" i="1" s="1"/>
  <c r="M46" i="1"/>
  <c r="M79" i="1" s="1"/>
  <c r="E30" i="1"/>
  <c r="M33" i="1"/>
  <c r="I33" i="1"/>
  <c r="H53" i="1" l="1"/>
  <c r="G53" i="1"/>
  <c r="C28" i="2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W79" i="1" s="1"/>
  <c r="P52" i="1"/>
  <c r="P70" i="1" s="1"/>
  <c r="F25" i="2"/>
  <c r="P76" i="1" s="1"/>
  <c r="D25" i="2"/>
  <c r="N76" i="1" s="1"/>
  <c r="N75" i="1" s="1"/>
  <c r="G25" i="2"/>
  <c r="Q76" i="1" s="1"/>
  <c r="K25" i="2"/>
  <c r="U76" i="1" s="1"/>
  <c r="H25" i="2"/>
  <c r="R76" i="1" s="1"/>
  <c r="L25" i="2"/>
  <c r="V76" i="1" s="1"/>
  <c r="E25" i="2"/>
  <c r="O76" i="1" s="1"/>
  <c r="O75" i="1" s="1"/>
  <c r="I25" i="2"/>
  <c r="S76" i="1" s="1"/>
  <c r="M25" i="2"/>
  <c r="W76" i="1" s="1"/>
  <c r="J25" i="2"/>
  <c r="T76" i="1" s="1"/>
  <c r="L53" i="1"/>
  <c r="M53" i="1"/>
  <c r="F21" i="2"/>
  <c r="J21" i="2"/>
  <c r="D21" i="2"/>
  <c r="K21" i="2"/>
  <c r="G21" i="2"/>
  <c r="H21" i="2"/>
  <c r="L21" i="2"/>
  <c r="E21" i="2"/>
  <c r="I21" i="2"/>
  <c r="M21" i="2"/>
  <c r="Q55" i="1"/>
  <c r="Q53" i="1" s="1"/>
  <c r="G6" i="2"/>
  <c r="Q56" i="1" s="1"/>
  <c r="G4" i="2"/>
  <c r="Q54" i="1" s="1"/>
  <c r="H5" i="2"/>
  <c r="S79" i="1" l="1"/>
  <c r="Q79" i="1"/>
  <c r="N79" i="1"/>
  <c r="N78" i="1" s="1"/>
  <c r="T79" i="1"/>
  <c r="O79" i="1"/>
  <c r="O78" i="1" s="1"/>
  <c r="P79" i="1"/>
  <c r="P78" i="1" s="1"/>
  <c r="V79" i="1"/>
  <c r="U79" i="1"/>
  <c r="R79" i="1"/>
  <c r="Q52" i="1"/>
  <c r="Q70" i="1" s="1"/>
  <c r="P75" i="1"/>
  <c r="O73" i="1"/>
  <c r="O72" i="1" s="1"/>
  <c r="E20" i="2"/>
  <c r="E22" i="2"/>
  <c r="U73" i="1"/>
  <c r="K22" i="2"/>
  <c r="K20" i="2"/>
  <c r="L20" i="2"/>
  <c r="V73" i="1"/>
  <c r="L22" i="2"/>
  <c r="N73" i="1"/>
  <c r="N72" i="1" s="1"/>
  <c r="D22" i="2"/>
  <c r="D20" i="2"/>
  <c r="M20" i="2"/>
  <c r="W73" i="1"/>
  <c r="M22" i="2"/>
  <c r="H20" i="2"/>
  <c r="R73" i="1"/>
  <c r="H22" i="2"/>
  <c r="T73" i="1"/>
  <c r="J22" i="2"/>
  <c r="J20" i="2"/>
  <c r="I20" i="2"/>
  <c r="S73" i="1"/>
  <c r="I22" i="2"/>
  <c r="Q73" i="1"/>
  <c r="G22" i="2"/>
  <c r="G20" i="2"/>
  <c r="P73" i="1"/>
  <c r="P72" i="1" s="1"/>
  <c r="F22" i="2"/>
  <c r="F20" i="2"/>
  <c r="R55" i="1"/>
  <c r="R53" i="1" s="1"/>
  <c r="H4" i="2"/>
  <c r="R54" i="1" s="1"/>
  <c r="H6" i="2"/>
  <c r="R56" i="1" s="1"/>
  <c r="I5" i="2"/>
  <c r="O81" i="1" l="1"/>
  <c r="O82" i="1" s="1"/>
  <c r="D78" i="1"/>
  <c r="D79" i="1" s="1"/>
  <c r="Q75" i="1"/>
  <c r="N81" i="1"/>
  <c r="N82" i="1" s="1"/>
  <c r="Q72" i="1"/>
  <c r="R52" i="1"/>
  <c r="R70" i="1" s="1"/>
  <c r="Q78" i="1"/>
  <c r="P81" i="1"/>
  <c r="P82" i="1" s="1"/>
  <c r="S55" i="1"/>
  <c r="S53" i="1" s="1"/>
  <c r="J5" i="2"/>
  <c r="I4" i="2"/>
  <c r="S54" i="1" s="1"/>
  <c r="I6" i="2"/>
  <c r="S56" i="1" s="1"/>
  <c r="S52" i="1" l="1"/>
  <c r="S70" i="1" s="1"/>
  <c r="Q81" i="1"/>
  <c r="Q82" i="1" s="1"/>
  <c r="R78" i="1"/>
  <c r="R75" i="1"/>
  <c r="R72" i="1"/>
  <c r="T55" i="1"/>
  <c r="T53" i="1" s="1"/>
  <c r="J4" i="2"/>
  <c r="T54" i="1" s="1"/>
  <c r="J6" i="2"/>
  <c r="T56" i="1" s="1"/>
  <c r="K5" i="2"/>
  <c r="S72" i="1" l="1"/>
  <c r="T52" i="1"/>
  <c r="T75" i="1" s="1"/>
  <c r="S75" i="1"/>
  <c r="S78" i="1"/>
  <c r="R81" i="1"/>
  <c r="R82" i="1" s="1"/>
  <c r="U55" i="1"/>
  <c r="U53" i="1" s="1"/>
  <c r="K6" i="2"/>
  <c r="U56" i="1" s="1"/>
  <c r="K4" i="2"/>
  <c r="U54" i="1" s="1"/>
  <c r="L5" i="2"/>
  <c r="U52" i="1" l="1"/>
  <c r="U78" i="1" s="1"/>
  <c r="S81" i="1"/>
  <c r="S82" i="1" s="1"/>
  <c r="T78" i="1"/>
  <c r="T72" i="1"/>
  <c r="T70" i="1"/>
  <c r="V55" i="1"/>
  <c r="V53" i="1" s="1"/>
  <c r="L6" i="2"/>
  <c r="V56" i="1" s="1"/>
  <c r="L4" i="2"/>
  <c r="V54" i="1" s="1"/>
  <c r="U75" i="1" l="1"/>
  <c r="U72" i="1"/>
  <c r="U70" i="1"/>
  <c r="V52" i="1"/>
  <c r="V70" i="1" s="1"/>
  <c r="T81" i="1"/>
  <c r="T82" i="1" s="1"/>
  <c r="W52" i="1" l="1"/>
  <c r="W70" i="1" s="1"/>
  <c r="V78" i="1"/>
  <c r="V75" i="1"/>
  <c r="V72" i="1"/>
  <c r="U81" i="1"/>
  <c r="U82" i="1" s="1"/>
  <c r="W78" i="1" l="1"/>
  <c r="W75" i="1"/>
  <c r="W72" i="1"/>
  <c r="V81" i="1"/>
  <c r="V82" i="1" s="1"/>
  <c r="W81" i="1" l="1"/>
  <c r="E85" i="1" s="1"/>
  <c r="E86" i="1" s="1"/>
  <c r="W82" i="1" l="1"/>
  <c r="E88" i="1" s="1"/>
  <c r="E92" i="1" s="1"/>
  <c r="E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harvey baker</author>
  </authors>
  <commentList>
    <comment ref="B9" authorId="0" shapeId="0" xr:uid="{C46F3F8A-184C-464B-89DD-451EA32C90D6}">
      <text>
        <r>
          <rPr>
            <b/>
            <sz val="9"/>
            <color indexed="81"/>
            <rFont val="Tahoma"/>
            <family val="2"/>
          </rPr>
          <t xml:space="preserve">19/01/24 Market Close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F84FE-CB51-4659-A841-F538FD68CB0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3D12703-450E-4964-8D33-AE0B85C2B10B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411A772B-E714-4884-8986-4903C289594E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<sst xmlns="http://schemas.openxmlformats.org/spreadsheetml/2006/main" count="217" uniqueCount="128">
  <si>
    <t>Alibaba DCF</t>
  </si>
  <si>
    <t>Goals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</si>
  <si>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Create a </t>
    </r>
    <r>
      <rPr>
        <b/>
        <sz val="11"/>
        <color theme="1"/>
        <rFont val="Calibri"/>
        <family val="2"/>
        <scheme val="minor"/>
      </rPr>
      <t xml:space="preserve">DCF </t>
    </r>
    <r>
      <rPr>
        <sz val="11"/>
        <color theme="1"/>
        <rFont val="Calibri"/>
        <family val="2"/>
        <scheme val="minor"/>
      </rPr>
      <t xml:space="preserve">with switches, forecasting </t>
    </r>
    <r>
      <rPr>
        <b/>
        <sz val="11"/>
        <color theme="1"/>
        <rFont val="Calibri"/>
        <family val="2"/>
        <scheme val="minor"/>
      </rPr>
      <t xml:space="preserve">10Y of cashflows </t>
    </r>
    <r>
      <rPr>
        <sz val="11"/>
        <color theme="1"/>
        <rFont val="Calibri"/>
        <family val="2"/>
        <scheme val="minor"/>
      </rPr>
      <t xml:space="preserve">and using </t>
    </r>
    <r>
      <rPr>
        <b/>
        <sz val="11"/>
        <color theme="1"/>
        <rFont val="Calibri"/>
        <family val="2"/>
        <scheme val="minor"/>
      </rPr>
      <t>10Y of financial statements</t>
    </r>
  </si>
  <si>
    <r>
      <t>2.</t>
    </r>
    <r>
      <rPr>
        <sz val="11"/>
        <color theme="1"/>
        <rFont val="Calibri"/>
        <family val="2"/>
        <scheme val="minor"/>
      </rPr>
      <t xml:space="preserve"> Reach a more realistic </t>
    </r>
    <r>
      <rPr>
        <b/>
        <sz val="11"/>
        <color theme="1"/>
        <rFont val="Calibri"/>
        <family val="2"/>
        <scheme val="minor"/>
      </rPr>
      <t xml:space="preserve">IMS, </t>
    </r>
    <r>
      <rPr>
        <sz val="11"/>
        <color theme="1"/>
        <rFont val="Calibri"/>
        <family val="2"/>
        <scheme val="minor"/>
      </rPr>
      <t xml:space="preserve">indicating the undervaluation of </t>
    </r>
    <r>
      <rPr>
        <b/>
        <sz val="11"/>
        <color theme="1"/>
        <rFont val="Calibri"/>
        <family val="2"/>
        <scheme val="minor"/>
      </rPr>
      <t>$BABA</t>
    </r>
    <r>
      <rPr>
        <sz val="11"/>
        <color theme="1"/>
        <rFont val="Calibri"/>
        <family val="2"/>
        <scheme val="minor"/>
      </rPr>
      <t xml:space="preserve"> currently </t>
    </r>
  </si>
  <si>
    <r>
      <t xml:space="preserve">3. </t>
    </r>
    <r>
      <rPr>
        <sz val="11"/>
        <color theme="1"/>
        <rFont val="Calibri"/>
        <family val="2"/>
        <scheme val="minor"/>
      </rPr>
      <t xml:space="preserve">Incorporate </t>
    </r>
    <r>
      <rPr>
        <b/>
        <sz val="11"/>
        <color theme="1"/>
        <rFont val="Calibri"/>
        <family val="2"/>
        <scheme val="minor"/>
      </rPr>
      <t xml:space="preserve">Street Estimates </t>
    </r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theme="1"/>
        <rFont val="Calibri"/>
        <family val="2"/>
        <scheme val="minor"/>
      </rPr>
      <t xml:space="preserve">DCF </t>
    </r>
    <r>
      <rPr>
        <sz val="11"/>
        <color theme="1"/>
        <rFont val="Calibri"/>
        <family val="2"/>
        <scheme val="minor"/>
      </rPr>
      <t>approach</t>
    </r>
  </si>
  <si>
    <t>Switches</t>
  </si>
  <si>
    <t>DCF</t>
  </si>
  <si>
    <t xml:space="preserve">Fiscal Year </t>
  </si>
  <si>
    <t>Projection Year</t>
  </si>
  <si>
    <t>Ticker</t>
  </si>
  <si>
    <t>Price</t>
  </si>
  <si>
    <t>$BABA</t>
  </si>
  <si>
    <t>$69.42</t>
  </si>
  <si>
    <t>Conservative Case</t>
  </si>
  <si>
    <t>Base Case / Street Estimates</t>
  </si>
  <si>
    <t>Optimisitc Case</t>
  </si>
  <si>
    <t>Valuation Assumptions</t>
  </si>
  <si>
    <t>WACC</t>
  </si>
  <si>
    <t>TGR</t>
  </si>
  <si>
    <t>Revenue Growth</t>
  </si>
  <si>
    <t>EBIT Margin</t>
  </si>
  <si>
    <t>Taxes</t>
  </si>
  <si>
    <t>D&amp;A</t>
  </si>
  <si>
    <t>CapEx</t>
  </si>
  <si>
    <t>Revenue</t>
  </si>
  <si>
    <t>EBIT</t>
  </si>
  <si>
    <t>% growth</t>
  </si>
  <si>
    <t>% of revenue</t>
  </si>
  <si>
    <t>∆ in NWC</t>
  </si>
  <si>
    <t>Fiscal Year</t>
  </si>
  <si>
    <t>Income Statement (2013A - 2022A)</t>
  </si>
  <si>
    <t>CFS Items (2013A - 2022A)</t>
  </si>
  <si>
    <t>Unlevered FCF</t>
  </si>
  <si>
    <t>Implied Share Price Calculation</t>
  </si>
  <si>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</si>
  <si>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</si>
  <si>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</si>
  <si>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</si>
  <si>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</si>
  <si>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</si>
  <si>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</si>
  <si>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</si>
  <si>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</si>
  <si>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</si>
  <si>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</si>
  <si>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</si>
  <si>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</si>
  <si>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</si>
  <si>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</si>
  <si>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</si>
  <si>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</si>
  <si>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</si>
  <si>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</si>
  <si>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</si>
  <si>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</si>
  <si>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</si>
  <si>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</si>
  <si>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</si>
  <si>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</si>
  <si>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</si>
  <si>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</si>
  <si>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</si>
  <si>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</si>
  <si>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</si>
  <si>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</si>
  <si>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</si>
  <si>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</si>
  <si>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</si>
  <si>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</si>
  <si>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</si>
  <si>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</si>
  <si>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</si>
  <si>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</si>
  <si>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</si>
  <si>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</si>
  <si>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</si>
  <si>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</si>
  <si>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</si>
  <si>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</si>
  <si>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</si>
  <si>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</si>
  <si>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</si>
  <si>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</si>
  <si>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</si>
  <si>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</si>
  <si>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</si>
  <si>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</si>
  <si>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</si>
  <si>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</si>
  <si>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</si>
  <si>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</si>
  <si>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</si>
  <si>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</si>
  <si>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</si>
  <si>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</si>
  <si>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</si>
  <si>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</si>
  <si>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</si>
  <si>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</si>
  <si>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</si>
  <si>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</si>
  <si>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</si>
  <si>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</si>
  <si>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</si>
  <si>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</si>
  <si>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</si>
  <si>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</si>
  <si>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</si>
  <si>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</si>
  <si>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Cases</t>
  </si>
  <si>
    <t xml:space="preserve">Conseravtive </t>
  </si>
  <si>
    <t>Base</t>
  </si>
  <si>
    <t>Optimistic</t>
  </si>
  <si>
    <t>EBIAT</t>
  </si>
  <si>
    <t xml:space="preserve">Conseravtive Case </t>
  </si>
  <si>
    <t>Base Case</t>
  </si>
  <si>
    <t>Optimistic Case</t>
  </si>
  <si>
    <t>NWC</t>
  </si>
  <si>
    <t>PV of UCF</t>
  </si>
  <si>
    <t>TV</t>
  </si>
  <si>
    <t>PV of TV</t>
  </si>
  <si>
    <t>EV</t>
  </si>
  <si>
    <t>+ cash</t>
  </si>
  <si>
    <t>- debt</t>
  </si>
  <si>
    <t xml:space="preserve">Equity Value </t>
  </si>
  <si>
    <t>(D) SO</t>
  </si>
  <si>
    <t>ISP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</si>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</sst>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 Light"/>
      <family val="2"/>
      <scheme val="major"/>
    </font>
    <font>
      <b/>
      <sz val="9"/>
      <color indexed="81"/>
      <name val="Tahoma"/>
      <family val="2"/>
    </font>
    <font>
      <i/>
      <sz val="11"/>
      <color theme="2" tint="-0.74999237037263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2" fillId="2" borderId="0" xfId="0" applyFont="1" applyFill="1"/>
    <xf numFmtId="0" fontId="0" fillId="5" borderId="3" xfId="0" applyFill="1" applyBorder="1"/>
    <xf numFmtId="0" fontId="0" fillId="0" borderId="4" xfId="0" applyBorder="1"/>
    <xf numFmtId="0" fontId="2" fillId="2" borderId="5" xfId="0" applyFont="1" applyFill="1" applyBorder="1"/>
    <xf numFmtId="0" fontId="1" fillId="4" borderId="0" xfId="0" applyFont="1" applyFill="1"/>
    <xf numFmtId="10" fontId="0" fillId="5" borderId="3" xfId="0" applyNumberFormat="1" applyFill="1" applyBorder="1"/>
    <xf numFmtId="1" fontId="0" fillId="5" borderId="3" xfId="0" applyNumberFormat="1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0" fillId="5" borderId="6" xfId="0" applyFill="1" applyBorder="1"/>
    <xf numFmtId="0" fontId="2" fillId="5" borderId="6" xfId="0" applyFont="1" applyFill="1" applyBorder="1"/>
    <xf numFmtId="0" fontId="1" fillId="3" borderId="0" xfId="0" applyFont="1" applyFill="1"/>
    <xf numFmtId="0" fontId="1" fillId="6" borderId="7" xfId="0" applyFont="1" applyFill="1" applyBorder="1"/>
    <xf numFmtId="0" fontId="0" fillId="7" borderId="7" xfId="0" applyFill="1" applyBorder="1"/>
    <xf numFmtId="0" fontId="0" fillId="0" borderId="7" xfId="0" applyBorder="1"/>
    <xf numFmtId="3" fontId="0" fillId="2" borderId="0" xfId="0" applyNumberFormat="1" applyFill="1"/>
    <xf numFmtId="3" fontId="8" fillId="2" borderId="0" xfId="0" applyNumberFormat="1" applyFont="1" applyFill="1"/>
    <xf numFmtId="10" fontId="5" fillId="2" borderId="0" xfId="0" applyNumberFormat="1" applyFont="1" applyFill="1"/>
    <xf numFmtId="0" fontId="2" fillId="0" borderId="0" xfId="0" applyFont="1"/>
    <xf numFmtId="0" fontId="2" fillId="2" borderId="6" xfId="0" applyFont="1" applyFill="1" applyBorder="1"/>
    <xf numFmtId="0" fontId="0" fillId="2" borderId="6" xfId="0" applyFill="1" applyBorder="1"/>
    <xf numFmtId="9" fontId="0" fillId="2" borderId="0" xfId="0" applyNumberFormat="1" applyFill="1"/>
    <xf numFmtId="10" fontId="0" fillId="0" borderId="0" xfId="0" applyNumberFormat="1"/>
    <xf numFmtId="10" fontId="7" fillId="0" borderId="0" xfId="0" applyNumberFormat="1" applyFont="1"/>
    <xf numFmtId="10" fontId="5" fillId="5" borderId="3" xfId="0" applyNumberFormat="1" applyFont="1" applyFill="1" applyBorder="1"/>
    <xf numFmtId="3" fontId="9" fillId="2" borderId="0" xfId="0" applyNumberFormat="1" applyFont="1" applyFill="1"/>
    <xf numFmtId="3" fontId="0" fillId="2" borderId="6" xfId="0" applyNumberFormat="1" applyFill="1" applyBorder="1"/>
    <xf numFmtId="3" fontId="2" fillId="5" borderId="6" xfId="0" applyNumberFormat="1" applyFont="1" applyFill="1" applyBorder="1"/>
    <xf numFmtId="3" fontId="2" fillId="2" borderId="6" xfId="0" applyNumberFormat="1" applyFont="1" applyFill="1" applyBorder="1"/>
    <xf numFmtId="0" fontId="10" fillId="2" borderId="0" xfId="0" quotePrefix="1" applyFont="1" applyFill="1"/>
    <xf numFmtId="1" fontId="0" fillId="2" borderId="0" xfId="0" applyNumberFormat="1" applyFill="1"/>
    <xf numFmtId="0" fontId="0" fillId="0" borderId="0" xfId="0" applyAlignment="1">
      <alignment horizontal="right"/>
    </xf>
    <xf numFmtId="0" fontId="1" fillId="4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89A78F-6528-4A7E-9823-716362BB2999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1" name="Year" tableColumnId="1"/>
      <queryTableField id="11" name="2013" tableColumnId="2"/>
      <queryTableField id="10" name="2014" tableColumnId="3"/>
      <queryTableField id="9" name="2015" tableColumnId="4"/>
      <queryTableField id="8" name="2016" tableColumnId="5"/>
      <queryTableField id="2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</queryTableFields>
    <queryTableDeletedFields count="7">
      <deletedField name="2012 - 2011"/>
      <deletedField name="2022"/>
      <deletedField name="2017"/>
      <deletedField name="2018"/>
      <deletedField name="2019"/>
      <deletedField name="2020"/>
      <deletedField name="202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08A535-3AE5-4F9E-875E-6330503CF7D8}" autoFormatId="16" applyNumberFormats="0" applyBorderFormats="0" applyFontFormats="0" applyPatternFormats="0" applyAlignmentFormats="0" applyWidthHeightFormats="0">
  <queryTableRefresh nextId="14" unboundColumnsRight="2">
    <queryTableFields count="11">
      <queryTableField id="1" name="Year" tableColumnId="1"/>
      <queryTableField id="11" name="2013" tableColumnId="2"/>
      <queryTableField id="10" name="2014" tableColumnId="3"/>
      <queryTableField id="9" name="2015" tableColumnId="4"/>
      <queryTableField id="8" name="2016" tableColumnId="5"/>
      <queryTableField id="7" name="2017" tableColumnId="6"/>
      <queryTableField id="6" name="2018" tableColumnId="7"/>
      <queryTableField id="5" name="2019" tableColumnId="8"/>
      <queryTableField id="4" name="2020" tableColumnId="9"/>
      <queryTableField id="13" dataBound="0" tableColumnId="10"/>
      <queryTableField id="2" dataBound="0" tableColumnId="11"/>
    </queryTableFields>
    <queryTableDeletedFields count="3">
      <deletedField name="2012 - 2011"/>
      <deletedField name="2022"/>
      <deletedField name="20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B66F79-B26C-4E92-BB53-4EEAE9759E21}" autoFormatId="16" applyNumberFormats="0" applyBorderFormats="0" applyFontFormats="0" applyPatternFormats="0" applyAlignmentFormats="0" applyWidthHeightFormats="0">
  <queryTableRefresh nextId="14" unboundColumnsLeft="1" unboundColumnsRight="2">
    <queryTableFields count="11">
      <queryTableField id="1" dataBound="0" tableColumnId="1"/>
      <queryTableField id="11" name="2013" tableColumnId="2"/>
      <queryTableField id="10" name="2014" tableColumnId="3"/>
      <queryTableField id="9" name="2015" tableColumnId="4"/>
      <queryTableField id="8" name="2016" tableColumnId="5"/>
      <queryTableField id="7" name="2017" tableColumnId="6"/>
      <queryTableField id="6" name="2018" tableColumnId="7"/>
      <queryTableField id="5" name="2019" tableColumnId="8"/>
      <queryTableField id="4" name="2020" tableColumnId="9"/>
      <queryTableField id="13" dataBound="0" tableColumnId="10"/>
      <queryTableField id="2" dataBound="0" tableColumnId="11"/>
    </queryTableFields>
    <queryTableDeletedFields count="4">
      <deletedField name="2012 - 2011"/>
      <deletedField name="2022"/>
      <deletedField name="2021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48A3C-49D2-4159-B159-54288D7F7A9E}" name="Table_0" displayName="Table_0" ref="B2:L37" tableType="queryTable" totalsRowShown="0">
  <autoFilter ref="B2:L37" xr:uid="{B3948A3C-49D2-4159-B159-54288D7F7A9E}"/>
  <tableColumns count="11">
    <tableColumn id="1" xr3:uid="{6ECD81FD-0608-4750-9CFA-2CE1D68CD99A}" uniqueName="1" name="Year" queryTableFieldId="1" dataDxfId="4"/>
    <tableColumn id="2" xr3:uid="{3AC56024-9E26-4F9F-B035-5FAEB814B8CB}" uniqueName="2" name="2013" queryTableFieldId="11"/>
    <tableColumn id="3" xr3:uid="{0BF40CC0-D622-44ED-9D64-B69749C1D64E}" uniqueName="3" name="2014" queryTableFieldId="10"/>
    <tableColumn id="4" xr3:uid="{A32C083E-DCD2-407D-9BB9-6420EDDF840A}" uniqueName="4" name="2015" queryTableFieldId="9"/>
    <tableColumn id="5" xr3:uid="{76C524EB-7300-4066-92FD-80F033340819}" uniqueName="5" name="2016" queryTableFieldId="8"/>
    <tableColumn id="6" xr3:uid="{5A88BD3A-5EF3-43ED-A883-76F7A5706831}" uniqueName="6" name="2017" queryTableFieldId="2"/>
    <tableColumn id="7" xr3:uid="{3E266A4A-CCA9-427F-B914-762C37914963}" uniqueName="7" name="2018" queryTableFieldId="7"/>
    <tableColumn id="8" xr3:uid="{ACB26482-36CE-4319-BA4E-793BAA11D9A4}" uniqueName="8" name="2019" queryTableFieldId="6"/>
    <tableColumn id="9" xr3:uid="{9E98D9BA-A15B-41F8-81BC-7F8E42CA57DA}" uniqueName="9" name="2020" queryTableFieldId="5"/>
    <tableColumn id="10" xr3:uid="{8EDF59D3-0E9C-4766-A510-C8A7578A8453}" uniqueName="10" name="2021" queryTableFieldId="4"/>
    <tableColumn id="11" xr3:uid="{62208F1F-BD62-4466-B9BC-1ED719637CFF}" uniqueName="11" name="2022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778B3-A3DA-4104-98F5-D39CAE357D6E}" name="Table_0__2" displayName="Table_0__2" ref="B2:L34" tableType="queryTable" totalsRowShown="0">
  <autoFilter ref="B2:L34" xr:uid="{1C5778B3-A3DA-4104-98F5-D39CAE357D6E}"/>
  <tableColumns count="11">
    <tableColumn id="1" xr3:uid="{84D7E1F8-7331-4F32-BF97-2EF99A3CBD2B}" uniqueName="1" name="Year" queryTableFieldId="1" dataDxfId="3"/>
    <tableColumn id="2" xr3:uid="{4FFFD6A1-0705-447F-8C4F-F25791023852}" uniqueName="2" name="2013" queryTableFieldId="11"/>
    <tableColumn id="3" xr3:uid="{C877AE35-F756-451E-AB3F-33792FD327B1}" uniqueName="3" name="2014" queryTableFieldId="10"/>
    <tableColumn id="4" xr3:uid="{EE1E35B4-F4F2-4443-BF36-174BF67D479C}" uniqueName="4" name="2015" queryTableFieldId="9"/>
    <tableColumn id="5" xr3:uid="{2585C19B-6D2A-4BBF-B968-1D91163808CC}" uniqueName="5" name="2016" queryTableFieldId="8"/>
    <tableColumn id="6" xr3:uid="{3E45EF4E-3B07-4A55-92F7-26AD0498EFD7}" uniqueName="6" name="2017" queryTableFieldId="7"/>
    <tableColumn id="7" xr3:uid="{2DD335A0-75B3-4A52-9231-BCE051E3562C}" uniqueName="7" name="2018" queryTableFieldId="6"/>
    <tableColumn id="8" xr3:uid="{3043F074-B232-4049-8C35-7668C3314D3E}" uniqueName="8" name="2019" queryTableFieldId="5"/>
    <tableColumn id="9" xr3:uid="{F153A476-5C13-493B-8907-25B506AD9060}" uniqueName="9" name="2020" queryTableFieldId="4"/>
    <tableColumn id="10" xr3:uid="{B3DCD15E-C7A3-40D1-A054-3951EF808AAE}" uniqueName="10" name="2021" queryTableFieldId="13"/>
    <tableColumn id="11" xr3:uid="{7F7EDEEB-F672-41F8-A134-6ABEB44A8E28}" uniqueName="11" name="202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9EF3-9B11-4F84-BF27-CBAEB745EC23}" name="Table_0__3" displayName="Table_0__3" ref="B2:L23" tableType="queryTable" totalsRowShown="0">
  <autoFilter ref="B2:L23" xr:uid="{77039EF3-9B11-4F84-BF27-CBAEB745EC23}"/>
  <tableColumns count="11">
    <tableColumn id="1" xr3:uid="{E735A520-C95D-411E-8A04-07562AEB5202}" uniqueName="1" name="Column1" queryTableFieldId="1" dataDxfId="1"/>
    <tableColumn id="2" xr3:uid="{6DD5757E-A974-451E-9D47-9E3621800F3C}" uniqueName="2" name="2013" queryTableFieldId="11"/>
    <tableColumn id="3" xr3:uid="{687E4A72-0207-498A-90E5-903D5109DFC6}" uniqueName="3" name="2014" queryTableFieldId="10"/>
    <tableColumn id="4" xr3:uid="{9D62D780-36F5-4A72-BEA9-7AE0B09B5E97}" uniqueName="4" name="2015" queryTableFieldId="9"/>
    <tableColumn id="5" xr3:uid="{FCE43EB3-6974-4FFE-BF94-15CCF1CD86A6}" uniqueName="5" name="2016" queryTableFieldId="8"/>
    <tableColumn id="6" xr3:uid="{14AAA4E3-DE5D-4F8C-B51A-83ABF9BD97E0}" uniqueName="6" name="2017" queryTableFieldId="7"/>
    <tableColumn id="7" xr3:uid="{E7396F96-EF0B-45E6-8627-E8C7A21A0BEB}" uniqueName="7" name="2018" queryTableFieldId="6"/>
    <tableColumn id="8" xr3:uid="{78398303-AC78-4415-993B-BB6B9048FD3C}" uniqueName="8" name="2019" queryTableFieldId="5"/>
    <tableColumn id="9" xr3:uid="{EE24943B-22BD-4117-B0EB-48E1BABEE7BE}" uniqueName="9" name="2020" queryTableFieldId="4"/>
    <tableColumn id="10" xr3:uid="{6EB685BB-A497-4221-B16B-B67085B8A410}" uniqueName="10" name="2021" queryTableFieldId="13"/>
    <tableColumn id="11" xr3:uid="{0CC75690-125E-455F-8D77-AF5A7664AA19}" uniqueName="11" name="202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2462-2727-4F60-84A6-66F9A45B49FB}">
  <sheetPr>
    <tabColor theme="8" tint="-0.499984740745262"/>
  </sheetPr>
  <dimension ref="B1:W96"/>
  <sheetViews>
    <sheetView tabSelected="1" topLeftCell="B1" zoomScale="97" zoomScaleNormal="97" workbookViewId="0">
      <selection activeCell="D9" sqref="D9"/>
    </sheetView>
  </sheetViews>
  <sheetFormatPr defaultRowHeight="14.4" outlineLevelRow="1" x14ac:dyDescent="0.3"/>
  <cols>
    <col min="5" max="5" width="11.33203125" bestFit="1" customWidth="1"/>
    <col min="17" max="23" width="9.44140625" bestFit="1" customWidth="1"/>
  </cols>
  <sheetData>
    <row r="1" spans="2:18" s="2" customFormat="1" ht="46.2" x14ac:dyDescent="0.85">
      <c r="B1" s="3" t="s">
        <v>0</v>
      </c>
    </row>
    <row r="3" spans="2:18" x14ac:dyDescent="0.3">
      <c r="B3" s="5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x14ac:dyDescent="0.3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3">
      <c r="B5" s="7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3">
      <c r="B6" s="7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8" spans="2:18" x14ac:dyDescent="0.3">
      <c r="B8" s="7" t="s">
        <v>9</v>
      </c>
      <c r="C8" s="8" t="s">
        <v>11</v>
      </c>
      <c r="D8" s="9"/>
    </row>
    <row r="9" spans="2:18" x14ac:dyDescent="0.3">
      <c r="B9" s="10" t="s">
        <v>10</v>
      </c>
      <c r="C9" s="8" t="s">
        <v>12</v>
      </c>
    </row>
    <row r="11" spans="2:18" x14ac:dyDescent="0.3">
      <c r="B11" s="5" t="s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2:1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3">
      <c r="B13" s="1"/>
      <c r="C13" s="7" t="s">
        <v>5</v>
      </c>
      <c r="D13" s="1"/>
      <c r="E13" s="1"/>
      <c r="F13" s="1"/>
      <c r="G13" s="7" t="s">
        <v>13</v>
      </c>
      <c r="H13" s="1"/>
      <c r="I13" s="1"/>
      <c r="J13" s="1"/>
      <c r="K13" s="7" t="s">
        <v>14</v>
      </c>
      <c r="L13" s="1"/>
      <c r="M13" s="1"/>
      <c r="N13" s="1"/>
      <c r="O13" s="7" t="s">
        <v>15</v>
      </c>
      <c r="P13" s="1"/>
      <c r="Q13" s="1"/>
      <c r="R13" s="1"/>
    </row>
    <row r="14" spans="2:18" x14ac:dyDescent="0.3">
      <c r="B14" s="1"/>
      <c r="C14" s="1" t="s">
        <v>19</v>
      </c>
      <c r="D14" s="1"/>
      <c r="E14" s="13">
        <v>1</v>
      </c>
      <c r="F14" s="1"/>
      <c r="G14" s="1" t="s">
        <v>19</v>
      </c>
      <c r="H14" s="1"/>
      <c r="I14" s="12"/>
      <c r="J14" s="1"/>
      <c r="K14" s="1" t="s">
        <v>19</v>
      </c>
      <c r="L14" s="1"/>
      <c r="M14" s="12"/>
      <c r="N14" s="1"/>
      <c r="O14" s="1" t="s">
        <v>19</v>
      </c>
      <c r="P14" s="1"/>
      <c r="Q14" s="12"/>
      <c r="R14" s="1"/>
    </row>
    <row r="15" spans="2:18" x14ac:dyDescent="0.3">
      <c r="B15" s="1"/>
      <c r="C15" s="1" t="s">
        <v>20</v>
      </c>
      <c r="D15" s="1"/>
      <c r="E15" s="13">
        <v>1</v>
      </c>
      <c r="F15" s="1"/>
      <c r="G15" s="1" t="s">
        <v>20</v>
      </c>
      <c r="H15" s="1"/>
      <c r="I15" s="12"/>
      <c r="J15" s="1"/>
      <c r="K15" s="1" t="s">
        <v>20</v>
      </c>
      <c r="L15" s="1"/>
      <c r="M15" s="12"/>
      <c r="N15" s="1"/>
      <c r="O15" s="1" t="s">
        <v>20</v>
      </c>
      <c r="P15" s="1"/>
      <c r="Q15" s="12"/>
      <c r="R15" s="1"/>
    </row>
    <row r="16" spans="2:18" x14ac:dyDescent="0.3">
      <c r="B16" s="1"/>
      <c r="C16" s="1" t="s">
        <v>21</v>
      </c>
      <c r="D16" s="1"/>
      <c r="E16" s="13">
        <v>1</v>
      </c>
      <c r="F16" s="1"/>
      <c r="G16" s="1" t="s">
        <v>21</v>
      </c>
      <c r="H16" s="1"/>
      <c r="I16" s="12"/>
      <c r="J16" s="1"/>
      <c r="K16" s="1" t="s">
        <v>21</v>
      </c>
      <c r="L16" s="1"/>
      <c r="M16" s="12"/>
      <c r="N16" s="1"/>
      <c r="O16" s="1" t="s">
        <v>21</v>
      </c>
      <c r="P16" s="1"/>
      <c r="Q16" s="12"/>
      <c r="R16" s="1"/>
    </row>
    <row r="17" spans="2:18" x14ac:dyDescent="0.3">
      <c r="B17" s="1"/>
      <c r="C17" s="1" t="s">
        <v>22</v>
      </c>
      <c r="D17" s="1"/>
      <c r="E17" s="13">
        <v>1</v>
      </c>
      <c r="F17" s="1"/>
      <c r="G17" s="1" t="s">
        <v>22</v>
      </c>
      <c r="H17" s="1"/>
      <c r="I17" s="12"/>
      <c r="J17" s="1"/>
      <c r="K17" s="1" t="s">
        <v>22</v>
      </c>
      <c r="L17" s="1"/>
      <c r="M17" s="12"/>
      <c r="N17" s="1"/>
      <c r="O17" s="1" t="s">
        <v>22</v>
      </c>
      <c r="P17" s="1"/>
      <c r="Q17" s="12"/>
      <c r="R17" s="1"/>
    </row>
    <row r="18" spans="2:18" x14ac:dyDescent="0.3">
      <c r="B18" s="1"/>
      <c r="C18" s="1" t="s">
        <v>23</v>
      </c>
      <c r="D18" s="1"/>
      <c r="E18" s="13">
        <v>1</v>
      </c>
      <c r="F18" s="1"/>
      <c r="G18" s="1" t="s">
        <v>23</v>
      </c>
      <c r="H18" s="1"/>
      <c r="I18" s="12"/>
      <c r="J18" s="1"/>
      <c r="K18" s="1" t="s">
        <v>23</v>
      </c>
      <c r="L18" s="1"/>
      <c r="M18" s="12"/>
      <c r="N18" s="1"/>
      <c r="O18" s="1" t="s">
        <v>23</v>
      </c>
      <c r="P18" s="1"/>
      <c r="Q18" s="12"/>
      <c r="R18" s="1"/>
    </row>
    <row r="19" spans="2:18" x14ac:dyDescent="0.3">
      <c r="B19" s="1"/>
      <c r="C19" s="1" t="s">
        <v>17</v>
      </c>
      <c r="D19" s="1"/>
      <c r="E19" s="13">
        <v>1</v>
      </c>
      <c r="F19" s="1"/>
      <c r="G19" s="1" t="s">
        <v>17</v>
      </c>
      <c r="H19" s="1"/>
      <c r="I19" s="12">
        <f>$E$23+1%</f>
        <v>7.1999999999999995E-2</v>
      </c>
      <c r="J19" s="1"/>
      <c r="K19" s="1" t="s">
        <v>17</v>
      </c>
      <c r="L19" s="1"/>
      <c r="M19" s="12">
        <f>$E$23</f>
        <v>6.2E-2</v>
      </c>
      <c r="N19" s="1"/>
      <c r="O19" s="1" t="s">
        <v>17</v>
      </c>
      <c r="P19" s="1"/>
      <c r="Q19" s="12">
        <f>$M$19-1%</f>
        <v>5.1999999999999998E-2</v>
      </c>
      <c r="R19" s="1"/>
    </row>
    <row r="20" spans="2:18" x14ac:dyDescent="0.3">
      <c r="B20" s="1"/>
      <c r="C20" s="1" t="s">
        <v>18</v>
      </c>
      <c r="D20" s="1"/>
      <c r="E20" s="13">
        <v>1</v>
      </c>
      <c r="F20" s="1"/>
      <c r="G20" s="1" t="s">
        <v>18</v>
      </c>
      <c r="H20" s="1"/>
      <c r="I20" s="12">
        <v>2.5000000000000001E-2</v>
      </c>
      <c r="J20" s="1"/>
      <c r="K20" s="1" t="s">
        <v>18</v>
      </c>
      <c r="L20" s="1"/>
      <c r="M20" s="12">
        <v>0.03</v>
      </c>
      <c r="N20" s="1"/>
      <c r="O20" s="1" t="s">
        <v>18</v>
      </c>
      <c r="P20" s="1"/>
      <c r="Q20" s="12">
        <v>3.5000000000000003E-2</v>
      </c>
      <c r="R20" s="1"/>
    </row>
    <row r="21" spans="2:1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3">
      <c r="B22" s="1"/>
      <c r="C22" s="7" t="s">
        <v>16</v>
      </c>
      <c r="D22" s="1"/>
      <c r="E22" s="1"/>
      <c r="F22" s="1"/>
    </row>
    <row r="23" spans="2:18" x14ac:dyDescent="0.3">
      <c r="B23" s="1"/>
      <c r="C23" s="1" t="s">
        <v>17</v>
      </c>
      <c r="D23" s="1"/>
      <c r="E23" s="12">
        <v>6.2E-2</v>
      </c>
      <c r="F23" s="1"/>
    </row>
    <row r="24" spans="2:18" x14ac:dyDescent="0.3">
      <c r="B24" s="1"/>
      <c r="C24" s="1" t="s">
        <v>18</v>
      </c>
      <c r="D24" s="1"/>
      <c r="E24" s="12">
        <v>0.03</v>
      </c>
      <c r="F24" s="1"/>
    </row>
    <row r="25" spans="2:18" x14ac:dyDescent="0.3">
      <c r="B25" s="1"/>
      <c r="C25" s="1"/>
      <c r="D25" s="1"/>
      <c r="E25" s="1"/>
      <c r="F25" s="1"/>
    </row>
    <row r="27" spans="2:18" outlineLevel="1" x14ac:dyDescent="0.3">
      <c r="B27" s="11" t="s">
        <v>29</v>
      </c>
      <c r="C27" s="11"/>
      <c r="D27" s="11">
        <v>2013</v>
      </c>
      <c r="E27" s="11">
        <f>D27+1</f>
        <v>2014</v>
      </c>
      <c r="F27" s="11">
        <f t="shared" ref="F27:M27" si="0">E27+1</f>
        <v>2015</v>
      </c>
      <c r="G27" s="11">
        <f>F27+1</f>
        <v>2016</v>
      </c>
      <c r="H27" s="11">
        <f t="shared" si="0"/>
        <v>2017</v>
      </c>
      <c r="I27" s="11">
        <f t="shared" si="0"/>
        <v>2018</v>
      </c>
      <c r="J27" s="11">
        <f t="shared" si="0"/>
        <v>2019</v>
      </c>
      <c r="K27" s="11">
        <f t="shared" si="0"/>
        <v>2020</v>
      </c>
      <c r="L27" s="11">
        <f t="shared" si="0"/>
        <v>2021</v>
      </c>
      <c r="M27" s="11">
        <f t="shared" si="0"/>
        <v>2022</v>
      </c>
    </row>
    <row r="28" spans="2:18" outlineLevel="1" x14ac:dyDescent="0.3">
      <c r="B28" s="5" t="s">
        <v>30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8" outlineLevel="1" x14ac:dyDescent="0.3">
      <c r="B29" s="1" t="s">
        <v>24</v>
      </c>
      <c r="C29" s="1"/>
      <c r="D29" s="23">
        <f>IS!C3</f>
        <v>52504</v>
      </c>
      <c r="E29" s="23">
        <f>IS!D3</f>
        <v>76204</v>
      </c>
      <c r="F29" s="23">
        <f>IS!E3</f>
        <v>101143</v>
      </c>
      <c r="G29" s="23">
        <f>IS!F3</f>
        <v>158273</v>
      </c>
      <c r="H29" s="23">
        <f>IS!G3</f>
        <v>250266</v>
      </c>
      <c r="I29" s="23">
        <f>IS!H3</f>
        <v>376844</v>
      </c>
      <c r="J29" s="23">
        <f>IS!I3</f>
        <v>509711</v>
      </c>
      <c r="K29" s="23">
        <f>IS!J3</f>
        <v>717289</v>
      </c>
      <c r="L29" s="23">
        <f>IS!K3</f>
        <v>853062</v>
      </c>
      <c r="M29" s="23">
        <f>IS!L3</f>
        <v>868687</v>
      </c>
    </row>
    <row r="30" spans="2:18" outlineLevel="1" x14ac:dyDescent="0.3">
      <c r="B30" s="14" t="s">
        <v>26</v>
      </c>
      <c r="C30" s="14"/>
      <c r="D30" s="14"/>
      <c r="E30" s="24">
        <f>(E29/D29)-1</f>
        <v>0.45139417949108629</v>
      </c>
      <c r="F30" s="24">
        <f t="shared" ref="F30:M30" si="1">(F29/E29)-1</f>
        <v>0.32726628523437085</v>
      </c>
      <c r="G30" s="24">
        <f>(G29/F29)-1</f>
        <v>0.56484383496633472</v>
      </c>
      <c r="H30" s="24">
        <f t="shared" si="1"/>
        <v>0.58122990023566867</v>
      </c>
      <c r="I30" s="24">
        <f t="shared" si="1"/>
        <v>0.50577385661655994</v>
      </c>
      <c r="J30" s="24">
        <f t="shared" si="1"/>
        <v>0.35257825519313024</v>
      </c>
      <c r="K30" s="24">
        <f t="shared" si="1"/>
        <v>0.40724645926809511</v>
      </c>
      <c r="L30" s="24">
        <f t="shared" si="1"/>
        <v>0.18928632671071211</v>
      </c>
      <c r="M30" s="24">
        <f t="shared" si="1"/>
        <v>1.8316370908562307E-2</v>
      </c>
    </row>
    <row r="31" spans="2:18" outlineLevel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8" outlineLevel="1" x14ac:dyDescent="0.3">
      <c r="B32" s="1" t="s">
        <v>25</v>
      </c>
      <c r="C32" s="1"/>
      <c r="D32" s="23">
        <f>IS!C36</f>
        <v>28706</v>
      </c>
      <c r="E32" s="23">
        <f>IS!D36</f>
        <v>33427</v>
      </c>
      <c r="F32" s="23">
        <f>IS!E36</f>
        <v>81855</v>
      </c>
      <c r="G32" s="23">
        <f>IS!F36</f>
        <v>60122</v>
      </c>
      <c r="H32" s="23">
        <f>IS!G36</f>
        <v>85858</v>
      </c>
      <c r="I32" s="23">
        <f>IS!H36</f>
        <v>109629</v>
      </c>
      <c r="J32" s="23">
        <f>IS!I36</f>
        <v>175175</v>
      </c>
      <c r="K32" s="23">
        <f>IS!J36</f>
        <v>184332</v>
      </c>
      <c r="L32" s="23">
        <f>IS!K36</f>
        <v>93973</v>
      </c>
      <c r="M32" s="23">
        <f>IS!L36</f>
        <v>94250</v>
      </c>
    </row>
    <row r="33" spans="2:13" outlineLevel="1" x14ac:dyDescent="0.3">
      <c r="B33" s="14" t="s">
        <v>27</v>
      </c>
      <c r="C33" s="14"/>
      <c r="D33" s="24">
        <f>D32/D29</f>
        <v>0.54673929605363403</v>
      </c>
      <c r="E33" s="24">
        <f t="shared" ref="E33:M33" si="2">E32/E29</f>
        <v>0.43865151435620175</v>
      </c>
      <c r="F33" s="24">
        <f t="shared" si="2"/>
        <v>0.8092997043789486</v>
      </c>
      <c r="G33" s="24">
        <f t="shared" si="2"/>
        <v>0.37986264239636575</v>
      </c>
      <c r="H33" s="24">
        <f t="shared" si="2"/>
        <v>0.34306697673675207</v>
      </c>
      <c r="I33" s="24">
        <f t="shared" si="2"/>
        <v>0.29091348144059609</v>
      </c>
      <c r="J33" s="24">
        <f t="shared" si="2"/>
        <v>0.34367514140365812</v>
      </c>
      <c r="K33" s="24">
        <f t="shared" si="2"/>
        <v>0.25698428387999817</v>
      </c>
      <c r="L33" s="24">
        <f t="shared" si="2"/>
        <v>0.11015963669698099</v>
      </c>
      <c r="M33" s="24">
        <f t="shared" si="2"/>
        <v>0.10849707662253492</v>
      </c>
    </row>
    <row r="34" spans="2:13" outlineLevel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outlineLevel="1" x14ac:dyDescent="0.3">
      <c r="B35" s="1" t="s">
        <v>21</v>
      </c>
      <c r="C35" s="1"/>
      <c r="D35" s="23">
        <f>DCF!D32*IS!C32</f>
        <v>3461.9436000000001</v>
      </c>
      <c r="E35" s="23">
        <f>DCF!E32*IS!D32</f>
        <v>6989.5857000000005</v>
      </c>
      <c r="F35" s="23">
        <f>DCF!F32*IS!E32</f>
        <v>8652.0735000000004</v>
      </c>
      <c r="G35" s="23">
        <f>DCF!G32*IS!F32</f>
        <v>14417.2556</v>
      </c>
      <c r="H35" s="23">
        <f>DCF!H32*IS!G32</f>
        <v>18991.7896</v>
      </c>
      <c r="I35" s="23">
        <f>DCF!I32*IS!H32</f>
        <v>17376.196500000002</v>
      </c>
      <c r="J35" s="23">
        <f>DCF!J32*IS!I32</f>
        <v>21196.174999999999</v>
      </c>
      <c r="K35" s="23">
        <f>DCF!K32*IS!J32</f>
        <v>30009.249599999999</v>
      </c>
      <c r="L35" s="23">
        <f>DCF!L32*IS!K32</f>
        <v>28295.270299999996</v>
      </c>
      <c r="M35" s="23">
        <f>DCF!M32*IS!L32</f>
        <v>16588</v>
      </c>
    </row>
    <row r="36" spans="2:13" outlineLevel="1" x14ac:dyDescent="0.3">
      <c r="B36" s="14" t="s">
        <v>27</v>
      </c>
      <c r="C36" s="14"/>
      <c r="D36" s="24">
        <f>D35/D29</f>
        <v>6.5936759104068265E-2</v>
      </c>
      <c r="E36" s="24">
        <f t="shared" ref="E36:M36" si="3">E35/E29</f>
        <v>9.1722031651881794E-2</v>
      </c>
      <c r="F36" s="24">
        <f t="shared" si="3"/>
        <v>8.5542978752854867E-2</v>
      </c>
      <c r="G36" s="24">
        <f t="shared" si="3"/>
        <v>9.1091061646648513E-2</v>
      </c>
      <c r="H36" s="24">
        <f t="shared" si="3"/>
        <v>7.5886415254169559E-2</v>
      </c>
      <c r="I36" s="24">
        <f t="shared" si="3"/>
        <v>4.6109786808334489E-2</v>
      </c>
      <c r="J36" s="24">
        <f t="shared" si="3"/>
        <v>4.1584692109842634E-2</v>
      </c>
      <c r="K36" s="24">
        <f t="shared" si="3"/>
        <v>4.1837041415663696E-2</v>
      </c>
      <c r="L36" s="24">
        <f t="shared" si="3"/>
        <v>3.3169066609460972E-2</v>
      </c>
      <c r="M36" s="24">
        <f t="shared" si="3"/>
        <v>1.9095485485566149E-2</v>
      </c>
    </row>
    <row r="37" spans="2:13" outlineLevel="1" x14ac:dyDescent="0.3"/>
    <row r="38" spans="2:13" outlineLevel="1" x14ac:dyDescent="0.3">
      <c r="B38" s="5" t="s">
        <v>31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outlineLevel="1" x14ac:dyDescent="0.3">
      <c r="B39" s="1" t="s">
        <v>22</v>
      </c>
      <c r="C39" s="1"/>
      <c r="D39" s="23">
        <f>IS!C35</f>
        <v>1654</v>
      </c>
      <c r="E39" s="23">
        <f>IS!D35</f>
        <v>4499</v>
      </c>
      <c r="F39" s="23">
        <f>IS!E35</f>
        <v>7048</v>
      </c>
      <c r="G39" s="23">
        <f>IS!F35</f>
        <v>14292</v>
      </c>
      <c r="H39" s="23">
        <f>IS!G35</f>
        <v>22020</v>
      </c>
      <c r="I39" s="23">
        <f>IS!H35</f>
        <v>37080</v>
      </c>
      <c r="J39" s="23">
        <f>IS!I35</f>
        <v>42427</v>
      </c>
      <c r="K39" s="23">
        <f>IS!J35</f>
        <v>47909</v>
      </c>
      <c r="L39" s="23">
        <f>IS!K35</f>
        <v>48065</v>
      </c>
      <c r="M39" s="23">
        <f>IS!L35</f>
        <v>46938</v>
      </c>
    </row>
    <row r="40" spans="2:13" outlineLevel="1" x14ac:dyDescent="0.3">
      <c r="B40" s="14" t="s">
        <v>27</v>
      </c>
      <c r="C40" s="14"/>
      <c r="D40" s="24">
        <f>D39/D29</f>
        <v>3.1502361724820967E-2</v>
      </c>
      <c r="E40" s="24">
        <f t="shared" ref="E40:M40" si="4">E39/E29</f>
        <v>5.9038895596031704E-2</v>
      </c>
      <c r="F40" s="24">
        <f t="shared" si="4"/>
        <v>6.9683517396161868E-2</v>
      </c>
      <c r="G40" s="24">
        <f t="shared" si="4"/>
        <v>9.0299672085573657E-2</v>
      </c>
      <c r="H40" s="24">
        <f t="shared" si="4"/>
        <v>8.7986382489031664E-2</v>
      </c>
      <c r="I40" s="24">
        <f t="shared" si="4"/>
        <v>9.8396153315430251E-2</v>
      </c>
      <c r="J40" s="24">
        <f t="shared" si="4"/>
        <v>8.3237363917984891E-2</v>
      </c>
      <c r="K40" s="24">
        <f t="shared" si="4"/>
        <v>6.6791767335062993E-2</v>
      </c>
      <c r="L40" s="24">
        <f t="shared" si="4"/>
        <v>5.6344087534083105E-2</v>
      </c>
      <c r="M40" s="24">
        <f t="shared" si="4"/>
        <v>5.4033270901947421E-2</v>
      </c>
    </row>
    <row r="41" spans="2:13" outlineLevel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outlineLevel="1" x14ac:dyDescent="0.3">
      <c r="B42" s="1" t="s">
        <v>23</v>
      </c>
      <c r="C42" s="1"/>
      <c r="D42" s="23">
        <f>CFS!C9</f>
        <v>-4776</v>
      </c>
      <c r="E42" s="23">
        <f>CFS!D9</f>
        <v>-7705</v>
      </c>
      <c r="F42" s="23">
        <f>CFS!E9</f>
        <v>-10845</v>
      </c>
      <c r="G42" s="23">
        <f>CFS!F9</f>
        <v>-11006</v>
      </c>
      <c r="H42" s="23">
        <f>CFS!G9</f>
        <v>-19628</v>
      </c>
      <c r="I42" s="23">
        <f>CFS!H9</f>
        <v>-49643</v>
      </c>
      <c r="J42" s="23">
        <f>CFS!I9</f>
        <v>-32738</v>
      </c>
      <c r="K42" s="23">
        <f>CFS!J9</f>
        <v>-41081</v>
      </c>
      <c r="L42" s="23">
        <f>CFS!K9</f>
        <v>-53309</v>
      </c>
      <c r="M42" s="23">
        <f>CFS!L9</f>
        <v>-33686</v>
      </c>
    </row>
    <row r="43" spans="2:13" outlineLevel="1" x14ac:dyDescent="0.3">
      <c r="B43" s="14" t="s">
        <v>27</v>
      </c>
      <c r="C43" s="14"/>
      <c r="D43" s="24">
        <f>-D42/D29</f>
        <v>9.0964497943013867E-2</v>
      </c>
      <c r="E43" s="24">
        <f t="shared" ref="E43:M43" si="5">-E42/E29</f>
        <v>0.10111017794341505</v>
      </c>
      <c r="F43" s="24">
        <f t="shared" si="5"/>
        <v>0.10722442482425873</v>
      </c>
      <c r="G43" s="24">
        <f t="shared" si="5"/>
        <v>6.9538076614457295E-2</v>
      </c>
      <c r="H43" s="24">
        <f t="shared" si="5"/>
        <v>7.8428552020650022E-2</v>
      </c>
      <c r="I43" s="24">
        <f t="shared" si="5"/>
        <v>0.13173355552960908</v>
      </c>
      <c r="J43" s="24">
        <f t="shared" si="5"/>
        <v>6.4228553042802686E-2</v>
      </c>
      <c r="K43" s="24">
        <f t="shared" si="5"/>
        <v>5.7272591661101734E-2</v>
      </c>
      <c r="L43" s="24">
        <f t="shared" si="5"/>
        <v>6.2491354672931161E-2</v>
      </c>
      <c r="M43" s="24">
        <f t="shared" si="5"/>
        <v>3.8778063905641501E-2</v>
      </c>
    </row>
    <row r="44" spans="2:13" outlineLevel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outlineLevel="1" x14ac:dyDescent="0.3">
      <c r="B45" s="15" t="s">
        <v>28</v>
      </c>
      <c r="C45" s="1"/>
      <c r="D45" s="23"/>
      <c r="E45" s="23">
        <f>BS!D36</f>
        <v>71988</v>
      </c>
      <c r="F45" s="23">
        <f>BS!E36</f>
        <v>-20883</v>
      </c>
      <c r="G45" s="23">
        <f>BS!F36</f>
        <v>6746</v>
      </c>
      <c r="H45" s="23">
        <f>BS!G36</f>
        <v>32745</v>
      </c>
      <c r="I45" s="23">
        <f>BS!H36</f>
        <v>-58441</v>
      </c>
      <c r="J45" s="23">
        <f>BS!I36</f>
        <v>158447</v>
      </c>
      <c r="K45" s="23">
        <f>BS!J36</f>
        <v>44951</v>
      </c>
      <c r="L45" s="23">
        <f>BS!K36</f>
        <v>-11251</v>
      </c>
      <c r="M45" s="23">
        <f>BS!L36</f>
        <v>57864</v>
      </c>
    </row>
    <row r="46" spans="2:13" outlineLevel="1" x14ac:dyDescent="0.3">
      <c r="B46" s="14" t="s">
        <v>27</v>
      </c>
      <c r="C46" s="14"/>
      <c r="D46" s="14"/>
      <c r="E46" s="24">
        <f>E45/E29</f>
        <v>0.94467482021941107</v>
      </c>
      <c r="F46" s="24">
        <f>-F45/F29</f>
        <v>0.20647004735869018</v>
      </c>
      <c r="G46" s="24">
        <f t="shared" ref="G46:M46" si="6">G45/G29</f>
        <v>4.2622557227069681E-2</v>
      </c>
      <c r="H46" s="24">
        <f t="shared" si="6"/>
        <v>0.13084078540432981</v>
      </c>
      <c r="I46" s="24">
        <f>-I45/I29</f>
        <v>0.15508008618951077</v>
      </c>
      <c r="J46" s="24">
        <f t="shared" si="6"/>
        <v>0.31085654419857528</v>
      </c>
      <c r="K46" s="24">
        <f t="shared" si="6"/>
        <v>6.2667906520244981E-2</v>
      </c>
      <c r="L46" s="24">
        <f>-L45/L29</f>
        <v>1.3188959301903027E-2</v>
      </c>
      <c r="M46" s="24">
        <f t="shared" si="6"/>
        <v>6.6610873651844676E-2</v>
      </c>
    </row>
    <row r="47" spans="2:13" outlineLevel="1" x14ac:dyDescent="0.3"/>
    <row r="48" spans="2:13" outlineLevel="1" x14ac:dyDescent="0.3"/>
    <row r="49" spans="2:23" x14ac:dyDescent="0.3">
      <c r="B49" t="s">
        <v>8</v>
      </c>
      <c r="N49">
        <v>1</v>
      </c>
      <c r="O49">
        <v>2</v>
      </c>
      <c r="P49">
        <v>3</v>
      </c>
      <c r="Q49">
        <v>4</v>
      </c>
      <c r="R49">
        <v>5</v>
      </c>
      <c r="S49">
        <v>6</v>
      </c>
      <c r="T49">
        <v>7</v>
      </c>
      <c r="U49">
        <v>8</v>
      </c>
      <c r="V49">
        <v>9</v>
      </c>
      <c r="W49">
        <v>10</v>
      </c>
    </row>
    <row r="50" spans="2:23" x14ac:dyDescent="0.3">
      <c r="B50" s="39" t="s">
        <v>6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</row>
    <row r="51" spans="2:23" x14ac:dyDescent="0.3">
      <c r="B51" s="5" t="s">
        <v>7</v>
      </c>
      <c r="C51" s="5"/>
      <c r="D51" s="5">
        <v>2013</v>
      </c>
      <c r="E51" s="5">
        <f>D51+1</f>
        <v>2014</v>
      </c>
      <c r="F51" s="5">
        <f t="shared" ref="F51:W51" si="7">E51+1</f>
        <v>2015</v>
      </c>
      <c r="G51" s="5">
        <f>F51+1</f>
        <v>2016</v>
      </c>
      <c r="H51" s="5">
        <f t="shared" si="7"/>
        <v>2017</v>
      </c>
      <c r="I51" s="5">
        <f t="shared" si="7"/>
        <v>2018</v>
      </c>
      <c r="J51" s="5">
        <f t="shared" si="7"/>
        <v>2019</v>
      </c>
      <c r="K51" s="5">
        <f t="shared" si="7"/>
        <v>2020</v>
      </c>
      <c r="L51" s="5">
        <f t="shared" si="7"/>
        <v>2021</v>
      </c>
      <c r="M51" s="5">
        <f t="shared" si="7"/>
        <v>2022</v>
      </c>
      <c r="N51" s="5">
        <f t="shared" si="7"/>
        <v>2023</v>
      </c>
      <c r="O51" s="5">
        <f t="shared" si="7"/>
        <v>2024</v>
      </c>
      <c r="P51" s="5">
        <f t="shared" si="7"/>
        <v>2025</v>
      </c>
      <c r="Q51" s="5">
        <f t="shared" si="7"/>
        <v>2026</v>
      </c>
      <c r="R51" s="5">
        <f>Q51+1</f>
        <v>2027</v>
      </c>
      <c r="S51" s="5">
        <f t="shared" si="7"/>
        <v>2028</v>
      </c>
      <c r="T51" s="5">
        <f t="shared" si="7"/>
        <v>2029</v>
      </c>
      <c r="U51" s="5">
        <f t="shared" si="7"/>
        <v>2030</v>
      </c>
      <c r="V51" s="5">
        <f t="shared" si="7"/>
        <v>2031</v>
      </c>
      <c r="W51" s="5">
        <f t="shared" si="7"/>
        <v>2032</v>
      </c>
    </row>
    <row r="52" spans="2:23" x14ac:dyDescent="0.3">
      <c r="B52" s="1" t="s">
        <v>24</v>
      </c>
      <c r="C52" s="1"/>
      <c r="D52" s="23">
        <f>D29</f>
        <v>52504</v>
      </c>
      <c r="E52" s="23">
        <f t="shared" ref="E52:M52" si="8">E29</f>
        <v>76204</v>
      </c>
      <c r="F52" s="23">
        <f t="shared" si="8"/>
        <v>101143</v>
      </c>
      <c r="G52" s="23">
        <f t="shared" si="8"/>
        <v>158273</v>
      </c>
      <c r="H52" s="23">
        <f t="shared" si="8"/>
        <v>250266</v>
      </c>
      <c r="I52" s="23">
        <f t="shared" si="8"/>
        <v>376844</v>
      </c>
      <c r="J52" s="23">
        <f t="shared" si="8"/>
        <v>509711</v>
      </c>
      <c r="K52" s="23">
        <f t="shared" si="8"/>
        <v>717289</v>
      </c>
      <c r="L52" s="23">
        <f t="shared" si="8"/>
        <v>853062</v>
      </c>
      <c r="M52" s="23">
        <f t="shared" si="8"/>
        <v>868687</v>
      </c>
      <c r="N52" s="32">
        <f ca="1">M52*(1+N53)</f>
        <v>945131.45600000012</v>
      </c>
      <c r="O52" s="32">
        <f t="shared" ref="O52:W52" ca="1" si="9">N52*(1+O53)</f>
        <v>1022632.2353920002</v>
      </c>
      <c r="P52" s="32">
        <f t="shared" ca="1" si="9"/>
        <v>1099201.8240169762</v>
      </c>
      <c r="Q52" s="32">
        <f t="shared" ca="1" si="9"/>
        <v>1173672.7475941263</v>
      </c>
      <c r="R52" s="32">
        <f ca="1">Q52*(1+R53)</f>
        <v>1244826.6579170201</v>
      </c>
      <c r="S52" s="32">
        <f t="shared" ca="1" si="9"/>
        <v>1311424.8841155809</v>
      </c>
      <c r="T52" s="32">
        <f t="shared" ca="1" si="9"/>
        <v>1372242.2131164412</v>
      </c>
      <c r="U52" s="32">
        <f t="shared" ca="1" si="9"/>
        <v>1426102.7199812615</v>
      </c>
      <c r="V52" s="32">
        <f t="shared" ca="1" si="9"/>
        <v>1471916.2698606595</v>
      </c>
      <c r="W52" s="32">
        <f t="shared" ca="1" si="9"/>
        <v>1508714.176607176</v>
      </c>
    </row>
    <row r="53" spans="2:23" x14ac:dyDescent="0.3">
      <c r="B53" s="14" t="s">
        <v>26</v>
      </c>
      <c r="C53" s="14"/>
      <c r="D53" s="14"/>
      <c r="E53" s="24">
        <f>(E52/D52)-1</f>
        <v>0.45139417949108629</v>
      </c>
      <c r="F53" s="24">
        <f t="shared" ref="F53" si="10">(F52/E52)-1</f>
        <v>0.32726628523437085</v>
      </c>
      <c r="G53" s="24">
        <f>(G52/F52)-1</f>
        <v>0.56484383496633472</v>
      </c>
      <c r="H53" s="24">
        <f t="shared" ref="H53" si="11">(H52/G52)-1</f>
        <v>0.58122990023566867</v>
      </c>
      <c r="I53" s="24">
        <f t="shared" ref="I53" si="12">(I52/H52)-1</f>
        <v>0.50577385661655994</v>
      </c>
      <c r="J53" s="24">
        <f t="shared" ref="J53" si="13">(J52/I52)-1</f>
        <v>0.35257825519313024</v>
      </c>
      <c r="K53" s="24">
        <f t="shared" ref="K53" si="14">(K52/J52)-1</f>
        <v>0.40724645926809511</v>
      </c>
      <c r="L53" s="24">
        <f t="shared" ref="L53" si="15">(L52/K52)-1</f>
        <v>0.18928632671071211</v>
      </c>
      <c r="M53" s="24">
        <f t="shared" ref="M53" si="16">(M52/L52)-1</f>
        <v>1.8316370908562307E-2</v>
      </c>
      <c r="N53" s="24">
        <f ca="1">OFFSET(N53,$E$14,0)</f>
        <v>8.7999999999999995E-2</v>
      </c>
      <c r="O53" s="24">
        <f t="shared" ref="O53:W53" ca="1" si="17">OFFSET(O53,$E$14,0)</f>
        <v>8.199999999999999E-2</v>
      </c>
      <c r="P53" s="24">
        <f t="shared" ca="1" si="17"/>
        <v>7.4874999999999997E-2</v>
      </c>
      <c r="Q53" s="24">
        <f t="shared" ca="1" si="17"/>
        <v>6.7750000000000005E-2</v>
      </c>
      <c r="R53" s="24">
        <f t="shared" ca="1" si="17"/>
        <v>6.0625000000000019E-2</v>
      </c>
      <c r="S53" s="24">
        <f t="shared" ca="1" si="17"/>
        <v>5.350000000000002E-2</v>
      </c>
      <c r="T53" s="24">
        <f t="shared" ca="1" si="17"/>
        <v>4.637500000000002E-2</v>
      </c>
      <c r="U53" s="24">
        <f t="shared" ca="1" si="17"/>
        <v>3.9250000000000021E-2</v>
      </c>
      <c r="V53" s="24">
        <f t="shared" ca="1" si="17"/>
        <v>3.2125000000000022E-2</v>
      </c>
      <c r="W53" s="24">
        <f t="shared" ca="1" si="17"/>
        <v>2.4999999999999998E-2</v>
      </c>
    </row>
    <row r="54" spans="2:23" x14ac:dyDescent="0.3">
      <c r="B54" s="14" t="s">
        <v>114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1">
        <f>'Data Tables'!D4</f>
        <v>8.7999999999999995E-2</v>
      </c>
      <c r="O54" s="31">
        <f>'Data Tables'!E4</f>
        <v>8.199999999999999E-2</v>
      </c>
      <c r="P54" s="31">
        <f>'Data Tables'!F4</f>
        <v>7.4874999999999997E-2</v>
      </c>
      <c r="Q54" s="31">
        <f>'Data Tables'!G4</f>
        <v>6.7750000000000005E-2</v>
      </c>
      <c r="R54" s="31">
        <f>'Data Tables'!H4</f>
        <v>6.0625000000000019E-2</v>
      </c>
      <c r="S54" s="31">
        <f>'Data Tables'!I4</f>
        <v>5.350000000000002E-2</v>
      </c>
      <c r="T54" s="31">
        <f>'Data Tables'!J4</f>
        <v>4.637500000000002E-2</v>
      </c>
      <c r="U54" s="31">
        <f>'Data Tables'!K4</f>
        <v>3.9250000000000021E-2</v>
      </c>
      <c r="V54" s="31">
        <f>'Data Tables'!L4</f>
        <v>3.2125000000000022E-2</v>
      </c>
      <c r="W54" s="31">
        <f>'Data Tables'!M4</f>
        <v>2.4999999999999998E-2</v>
      </c>
    </row>
    <row r="55" spans="2:23" x14ac:dyDescent="0.3">
      <c r="B55" s="14" t="s">
        <v>115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1">
        <f>'Data Tables'!D5</f>
        <v>9.2999999999999999E-2</v>
      </c>
      <c r="O55" s="31">
        <f>'Data Tables'!E5</f>
        <v>8.6999999999999994E-2</v>
      </c>
      <c r="P55" s="31">
        <f>'Data Tables'!F5</f>
        <v>7.9875000000000002E-2</v>
      </c>
      <c r="Q55" s="31">
        <f>'Data Tables'!G5</f>
        <v>7.2750000000000009E-2</v>
      </c>
      <c r="R55" s="31">
        <f>'Data Tables'!H5</f>
        <v>6.5625000000000017E-2</v>
      </c>
      <c r="S55" s="31">
        <f>'Data Tables'!I5</f>
        <v>5.8500000000000017E-2</v>
      </c>
      <c r="T55" s="31">
        <f>'Data Tables'!J5</f>
        <v>5.1375000000000018E-2</v>
      </c>
      <c r="U55" s="31">
        <f>'Data Tables'!K5</f>
        <v>4.4250000000000018E-2</v>
      </c>
      <c r="V55" s="31">
        <f>'Data Tables'!L5</f>
        <v>3.7125000000000019E-2</v>
      </c>
      <c r="W55" s="31">
        <f>'Data Tables'!M5</f>
        <v>0.03</v>
      </c>
    </row>
    <row r="56" spans="2:23" x14ac:dyDescent="0.3">
      <c r="B56" s="14" t="s">
        <v>116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1">
        <f>'Data Tables'!D6</f>
        <v>9.8000000000000004E-2</v>
      </c>
      <c r="O56" s="31">
        <f>'Data Tables'!E6</f>
        <v>9.1999999999999998E-2</v>
      </c>
      <c r="P56" s="31">
        <f>'Data Tables'!F6</f>
        <v>8.4875000000000006E-2</v>
      </c>
      <c r="Q56" s="31">
        <f>'Data Tables'!G6</f>
        <v>7.7750000000000014E-2</v>
      </c>
      <c r="R56" s="31">
        <f>'Data Tables'!H6</f>
        <v>7.0625000000000021E-2</v>
      </c>
      <c r="S56" s="31">
        <f>'Data Tables'!I6</f>
        <v>6.3500000000000015E-2</v>
      </c>
      <c r="T56" s="31">
        <f>'Data Tables'!J6</f>
        <v>5.6375000000000015E-2</v>
      </c>
      <c r="U56" s="31">
        <f>'Data Tables'!K6</f>
        <v>4.9250000000000016E-2</v>
      </c>
      <c r="V56" s="31">
        <f>'Data Tables'!L6</f>
        <v>4.2125000000000017E-2</v>
      </c>
      <c r="W56" s="31">
        <f>'Data Tables'!M6</f>
        <v>3.4999999999999996E-2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3">
      <c r="B58" s="1" t="s">
        <v>25</v>
      </c>
      <c r="C58" s="1"/>
      <c r="D58" s="23">
        <v>28706</v>
      </c>
      <c r="E58" s="23">
        <v>33427</v>
      </c>
      <c r="F58" s="23">
        <v>81855</v>
      </c>
      <c r="G58" s="23">
        <v>60122</v>
      </c>
      <c r="H58" s="23">
        <v>85858</v>
      </c>
      <c r="I58" s="23">
        <v>109629</v>
      </c>
      <c r="J58" s="23">
        <v>175175</v>
      </c>
      <c r="K58" s="23">
        <v>184332</v>
      </c>
      <c r="L58" s="23">
        <v>93973</v>
      </c>
      <c r="M58" s="23">
        <v>94250</v>
      </c>
      <c r="N58" s="32">
        <f ca="1">M58*(1+N59)</f>
        <v>102747.54575869047</v>
      </c>
      <c r="O58" s="32">
        <f t="shared" ref="O58:W58" ca="1" si="18">N58*(1+O59)</f>
        <v>111840.40318847469</v>
      </c>
      <c r="P58" s="32">
        <f t="shared" ca="1" si="18"/>
        <v>121737.95191894032</v>
      </c>
      <c r="Q58" s="32">
        <f t="shared" ca="1" si="18"/>
        <v>132511.40477778125</v>
      </c>
      <c r="R58" s="32">
        <f ca="1">Q58*(1+R59)</f>
        <v>144238.2767197603</v>
      </c>
      <c r="S58" s="32">
        <f t="shared" ca="1" si="18"/>
        <v>157002.9425465313</v>
      </c>
      <c r="T58" s="32">
        <f t="shared" ca="1" si="18"/>
        <v>170897.24398303509</v>
      </c>
      <c r="U58" s="32">
        <f t="shared" ca="1" si="18"/>
        <v>186021.15047838178</v>
      </c>
      <c r="V58" s="32">
        <f t="shared" ca="1" si="18"/>
        <v>202483.4784856792</v>
      </c>
      <c r="W58" s="32">
        <f t="shared" ca="1" si="18"/>
        <v>220402.67439602374</v>
      </c>
    </row>
    <row r="59" spans="2:23" x14ac:dyDescent="0.3">
      <c r="B59" s="14" t="s">
        <v>27</v>
      </c>
      <c r="C59" s="14"/>
      <c r="D59" s="24">
        <v>0.54673929605363403</v>
      </c>
      <c r="E59" s="24">
        <v>0.43865151435620175</v>
      </c>
      <c r="F59" s="24">
        <v>0.8092997043789486</v>
      </c>
      <c r="G59" s="24">
        <v>0.37986264239636575</v>
      </c>
      <c r="H59" s="24">
        <v>0.34306697673675207</v>
      </c>
      <c r="I59" s="24">
        <v>0.29091348144059609</v>
      </c>
      <c r="J59" s="24">
        <v>0.34367514140365812</v>
      </c>
      <c r="K59" s="24">
        <v>0.25698428387999817</v>
      </c>
      <c r="L59" s="24">
        <v>0.11015963669698099</v>
      </c>
      <c r="M59" s="24">
        <v>0.10849707662253492</v>
      </c>
      <c r="N59" s="24">
        <f ca="1">OFFSET(N59,$E$15,0)</f>
        <v>9.0159636696980988E-2</v>
      </c>
      <c r="O59" s="24">
        <f t="shared" ref="O59:W59" ca="1" si="19">OFFSET(O59,$E$15,0)</f>
        <v>8.849707662253492E-2</v>
      </c>
      <c r="P59" s="24">
        <f t="shared" ca="1" si="19"/>
        <v>8.849707662253492E-2</v>
      </c>
      <c r="Q59" s="24">
        <f t="shared" ca="1" si="19"/>
        <v>8.849707662253492E-2</v>
      </c>
      <c r="R59" s="24">
        <f t="shared" ca="1" si="19"/>
        <v>8.849707662253492E-2</v>
      </c>
      <c r="S59" s="24">
        <f t="shared" ca="1" si="19"/>
        <v>8.849707662253492E-2</v>
      </c>
      <c r="T59" s="24">
        <f t="shared" ca="1" si="19"/>
        <v>8.849707662253492E-2</v>
      </c>
      <c r="U59" s="24">
        <f t="shared" ca="1" si="19"/>
        <v>8.849707662253492E-2</v>
      </c>
      <c r="V59" s="24">
        <f t="shared" ca="1" si="19"/>
        <v>8.849707662253492E-2</v>
      </c>
      <c r="W59" s="24">
        <f t="shared" ca="1" si="19"/>
        <v>8.849707662253492E-2</v>
      </c>
    </row>
    <row r="60" spans="2:23" x14ac:dyDescent="0.3">
      <c r="B60" s="14" t="s">
        <v>114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1">
        <f>'Data Tables'!D9</f>
        <v>9.0159636696980988E-2</v>
      </c>
      <c r="O60" s="31">
        <f>'Data Tables'!E9</f>
        <v>8.849707662253492E-2</v>
      </c>
      <c r="P60" s="31">
        <f>'Data Tables'!F9</f>
        <v>8.849707662253492E-2</v>
      </c>
      <c r="Q60" s="31">
        <f>'Data Tables'!G9</f>
        <v>8.849707662253492E-2</v>
      </c>
      <c r="R60" s="31">
        <f>'Data Tables'!H9</f>
        <v>8.849707662253492E-2</v>
      </c>
      <c r="S60" s="31">
        <f>'Data Tables'!I9</f>
        <v>8.849707662253492E-2</v>
      </c>
      <c r="T60" s="31">
        <f>'Data Tables'!J9</f>
        <v>8.849707662253492E-2</v>
      </c>
      <c r="U60" s="31">
        <f>'Data Tables'!K9</f>
        <v>8.849707662253492E-2</v>
      </c>
      <c r="V60" s="31">
        <f>'Data Tables'!L9</f>
        <v>8.849707662253492E-2</v>
      </c>
      <c r="W60" s="31">
        <f>'Data Tables'!M9</f>
        <v>8.849707662253492E-2</v>
      </c>
    </row>
    <row r="61" spans="2:23" x14ac:dyDescent="0.3">
      <c r="B61" s="14" t="s">
        <v>115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1">
        <f>'Data Tables'!D10</f>
        <v>0.11015963669698099</v>
      </c>
      <c r="O61" s="31">
        <f>'Data Tables'!E10</f>
        <v>0.10849707662253492</v>
      </c>
      <c r="P61" s="31">
        <f>'Data Tables'!F10</f>
        <v>0.10849707662253492</v>
      </c>
      <c r="Q61" s="31">
        <f>'Data Tables'!G10</f>
        <v>0.10849707662253492</v>
      </c>
      <c r="R61" s="31">
        <f>'Data Tables'!H10</f>
        <v>0.10849707662253492</v>
      </c>
      <c r="S61" s="31">
        <f>'Data Tables'!I10</f>
        <v>0.10849707662253492</v>
      </c>
      <c r="T61" s="31">
        <f>'Data Tables'!J10</f>
        <v>0.10849707662253492</v>
      </c>
      <c r="U61" s="31">
        <f>'Data Tables'!K10</f>
        <v>0.10849707662253492</v>
      </c>
      <c r="V61" s="31">
        <f>'Data Tables'!L10</f>
        <v>0.10849707662253492</v>
      </c>
      <c r="W61" s="31">
        <f>'Data Tables'!M10</f>
        <v>0.10849707662253492</v>
      </c>
    </row>
    <row r="62" spans="2:23" x14ac:dyDescent="0.3">
      <c r="B62" s="14" t="s">
        <v>116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1">
        <f>'Data Tables'!D11</f>
        <v>0.130159636696981</v>
      </c>
      <c r="O62" s="31">
        <f>'Data Tables'!E11</f>
        <v>0.12849707662253493</v>
      </c>
      <c r="P62" s="31">
        <f>'Data Tables'!F11</f>
        <v>0.12849707662253493</v>
      </c>
      <c r="Q62" s="31">
        <f>'Data Tables'!G11</f>
        <v>0.12849707662253493</v>
      </c>
      <c r="R62" s="31">
        <f>'Data Tables'!H11</f>
        <v>0.12849707662253493</v>
      </c>
      <c r="S62" s="31">
        <f>'Data Tables'!I11</f>
        <v>0.12849707662253493</v>
      </c>
      <c r="T62" s="31">
        <f>'Data Tables'!J11</f>
        <v>0.12849707662253493</v>
      </c>
      <c r="U62" s="31">
        <f>'Data Tables'!K11</f>
        <v>0.12849707662253493</v>
      </c>
      <c r="V62" s="31">
        <f>'Data Tables'!L11</f>
        <v>0.12849707662253493</v>
      </c>
      <c r="W62" s="31">
        <f>'Data Tables'!M11</f>
        <v>0.12849707662253493</v>
      </c>
    </row>
    <row r="63" spans="2:2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x14ac:dyDescent="0.3">
      <c r="B64" s="1" t="s">
        <v>21</v>
      </c>
      <c r="C64" s="1"/>
      <c r="D64" s="23">
        <v>3461.9436000000001</v>
      </c>
      <c r="E64" s="23">
        <v>6989.5857000000005</v>
      </c>
      <c r="F64" s="23">
        <v>8652.0735000000004</v>
      </c>
      <c r="G64" s="23">
        <v>14417.2556</v>
      </c>
      <c r="H64" s="23">
        <v>18991.7896</v>
      </c>
      <c r="I64" s="23">
        <v>17376.196500000002</v>
      </c>
      <c r="J64" s="23">
        <v>21196.174999999999</v>
      </c>
      <c r="K64" s="23">
        <v>30009.249599999999</v>
      </c>
      <c r="L64" s="23">
        <v>28295.270299999996</v>
      </c>
      <c r="M64" s="23">
        <v>16588</v>
      </c>
      <c r="N64" s="22">
        <f ca="1">M64*(1+N65)</f>
        <v>21564.400000000001</v>
      </c>
      <c r="O64" s="22">
        <f t="shared" ref="O64:W64" ca="1" si="20">N64*(1+O65)</f>
        <v>28033.72</v>
      </c>
      <c r="P64" s="22">
        <f t="shared" ca="1" si="20"/>
        <v>36443.836000000003</v>
      </c>
      <c r="Q64" s="22">
        <f t="shared" ca="1" si="20"/>
        <v>47376.986800000006</v>
      </c>
      <c r="R64" s="22">
        <f ca="1">Q64*(1+R65)</f>
        <v>61590.08284000001</v>
      </c>
      <c r="S64" s="22">
        <f t="shared" ca="1" si="20"/>
        <v>80067.10769200002</v>
      </c>
      <c r="T64" s="22">
        <f t="shared" ca="1" si="20"/>
        <v>104087.23999960003</v>
      </c>
      <c r="U64" s="22">
        <f t="shared" ca="1" si="20"/>
        <v>135313.41199948004</v>
      </c>
      <c r="V64" s="22">
        <f t="shared" ca="1" si="20"/>
        <v>175907.43559932406</v>
      </c>
      <c r="W64" s="22">
        <f t="shared" ca="1" si="20"/>
        <v>228679.66627912127</v>
      </c>
    </row>
    <row r="65" spans="2:23" x14ac:dyDescent="0.3">
      <c r="B65" s="14" t="s">
        <v>27</v>
      </c>
      <c r="C65" s="14"/>
      <c r="D65" s="24">
        <v>6.5936759104068265E-2</v>
      </c>
      <c r="E65" s="24">
        <v>9.1722031651881794E-2</v>
      </c>
      <c r="F65" s="24">
        <v>8.5542978752854867E-2</v>
      </c>
      <c r="G65" s="24">
        <v>9.1091061646648513E-2</v>
      </c>
      <c r="H65" s="24">
        <v>7.5886415254169559E-2</v>
      </c>
      <c r="I65" s="24">
        <v>4.6109786808334489E-2</v>
      </c>
      <c r="J65" s="24">
        <v>4.1584692109842634E-2</v>
      </c>
      <c r="K65" s="24">
        <v>4.1837041415663696E-2</v>
      </c>
      <c r="L65" s="24">
        <v>3.3169066609460972E-2</v>
      </c>
      <c r="M65" s="24">
        <v>1.9095485485566149E-2</v>
      </c>
      <c r="N65" s="24">
        <f ca="1">OFFSET(N65,$E$16,0)</f>
        <v>0.3</v>
      </c>
      <c r="O65" s="24">
        <f t="shared" ref="O65:W65" ca="1" si="21">OFFSET(O65,$E$16,0)</f>
        <v>0.3</v>
      </c>
      <c r="P65" s="24">
        <f t="shared" ca="1" si="21"/>
        <v>0.3</v>
      </c>
      <c r="Q65" s="24">
        <f t="shared" ca="1" si="21"/>
        <v>0.3</v>
      </c>
      <c r="R65" s="24">
        <f t="shared" ca="1" si="21"/>
        <v>0.3</v>
      </c>
      <c r="S65" s="24">
        <f t="shared" ca="1" si="21"/>
        <v>0.3</v>
      </c>
      <c r="T65" s="24">
        <f t="shared" ca="1" si="21"/>
        <v>0.3</v>
      </c>
      <c r="U65" s="24">
        <f t="shared" ca="1" si="21"/>
        <v>0.3</v>
      </c>
      <c r="V65" s="24">
        <f t="shared" ca="1" si="21"/>
        <v>0.3</v>
      </c>
      <c r="W65" s="24">
        <f t="shared" ca="1" si="21"/>
        <v>0.3</v>
      </c>
    </row>
    <row r="66" spans="2:23" x14ac:dyDescent="0.3">
      <c r="B66" s="14" t="s">
        <v>114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1">
        <f>'Data Tables'!D14</f>
        <v>0.3</v>
      </c>
      <c r="O66" s="31">
        <f>'Data Tables'!E14</f>
        <v>0.3</v>
      </c>
      <c r="P66" s="31">
        <f>'Data Tables'!F14</f>
        <v>0.3</v>
      </c>
      <c r="Q66" s="31">
        <f>'Data Tables'!G14</f>
        <v>0.3</v>
      </c>
      <c r="R66" s="31">
        <f>'Data Tables'!H14</f>
        <v>0.3</v>
      </c>
      <c r="S66" s="31">
        <f>'Data Tables'!I14</f>
        <v>0.3</v>
      </c>
      <c r="T66" s="31">
        <f>'Data Tables'!J14</f>
        <v>0.3</v>
      </c>
      <c r="U66" s="31">
        <f>'Data Tables'!K14</f>
        <v>0.3</v>
      </c>
      <c r="V66" s="31">
        <f>'Data Tables'!L14</f>
        <v>0.3</v>
      </c>
      <c r="W66" s="31">
        <f>'Data Tables'!M14</f>
        <v>0.3</v>
      </c>
    </row>
    <row r="67" spans="2:23" x14ac:dyDescent="0.3">
      <c r="B67" s="14" t="s">
        <v>115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1">
        <f>'Data Tables'!D15</f>
        <v>0.25</v>
      </c>
      <c r="O67" s="31">
        <f>'Data Tables'!E15</f>
        <v>0.25</v>
      </c>
      <c r="P67" s="31">
        <f>'Data Tables'!F15</f>
        <v>0.25</v>
      </c>
      <c r="Q67" s="31">
        <f>'Data Tables'!G15</f>
        <v>0.25</v>
      </c>
      <c r="R67" s="31">
        <f>'Data Tables'!H15</f>
        <v>0.25</v>
      </c>
      <c r="S67" s="31">
        <f>'Data Tables'!I15</f>
        <v>0.25</v>
      </c>
      <c r="T67" s="31">
        <f>'Data Tables'!J15</f>
        <v>0.25</v>
      </c>
      <c r="U67" s="31">
        <f>'Data Tables'!K15</f>
        <v>0.25</v>
      </c>
      <c r="V67" s="31">
        <f>'Data Tables'!L15</f>
        <v>0.25</v>
      </c>
      <c r="W67" s="31">
        <f>'Data Tables'!M15</f>
        <v>0.25</v>
      </c>
    </row>
    <row r="68" spans="2:23" x14ac:dyDescent="0.3">
      <c r="B68" s="14" t="s">
        <v>116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1">
        <f>'Data Tables'!D16</f>
        <v>0.2</v>
      </c>
      <c r="O68" s="31">
        <f>'Data Tables'!E16</f>
        <v>0.2</v>
      </c>
      <c r="P68" s="31">
        <f>'Data Tables'!F16</f>
        <v>0.2</v>
      </c>
      <c r="Q68" s="31">
        <f>'Data Tables'!G16</f>
        <v>0.2</v>
      </c>
      <c r="R68" s="31">
        <f>'Data Tables'!H16</f>
        <v>0.2</v>
      </c>
      <c r="S68" s="31">
        <f>'Data Tables'!I16</f>
        <v>0.2</v>
      </c>
      <c r="T68" s="31">
        <f>'Data Tables'!J16</f>
        <v>0.2</v>
      </c>
      <c r="U68" s="31">
        <f>'Data Tables'!K16</f>
        <v>0.2</v>
      </c>
      <c r="V68" s="31">
        <f>'Data Tables'!L16</f>
        <v>0.2</v>
      </c>
      <c r="W68" s="31">
        <f>'Data Tables'!M16</f>
        <v>0.2</v>
      </c>
    </row>
    <row r="69" spans="2:23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x14ac:dyDescent="0.3">
      <c r="B70" s="26" t="s">
        <v>113</v>
      </c>
      <c r="C70" s="27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5">
        <f t="shared" ref="N70:W70" ca="1" si="22">N52-N58-N64</f>
        <v>820819.51024130965</v>
      </c>
      <c r="O70" s="35">
        <f t="shared" ca="1" si="22"/>
        <v>882758.1122035255</v>
      </c>
      <c r="P70" s="35">
        <f t="shared" ca="1" si="22"/>
        <v>941020.03609803587</v>
      </c>
      <c r="Q70" s="35">
        <f t="shared" ca="1" si="22"/>
        <v>993784.35601634509</v>
      </c>
      <c r="R70" s="35">
        <f t="shared" ca="1" si="22"/>
        <v>1038998.2983572597</v>
      </c>
      <c r="S70" s="35">
        <f t="shared" ca="1" si="22"/>
        <v>1074354.8338770496</v>
      </c>
      <c r="T70" s="35">
        <f t="shared" ca="1" si="22"/>
        <v>1097257.729133806</v>
      </c>
      <c r="U70" s="35">
        <f t="shared" ca="1" si="22"/>
        <v>1104768.1575033998</v>
      </c>
      <c r="V70" s="35">
        <f t="shared" ca="1" si="22"/>
        <v>1093525.3557756562</v>
      </c>
      <c r="W70" s="35">
        <f t="shared" ca="1" si="22"/>
        <v>1059631.8359320308</v>
      </c>
    </row>
    <row r="71" spans="2:23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x14ac:dyDescent="0.3">
      <c r="B72" s="1" t="s">
        <v>22</v>
      </c>
      <c r="C72" s="1"/>
      <c r="D72" s="23">
        <f>D39</f>
        <v>1654</v>
      </c>
      <c r="E72" s="23">
        <f t="shared" ref="E72:M72" si="23">E39</f>
        <v>4499</v>
      </c>
      <c r="F72" s="23">
        <f t="shared" si="23"/>
        <v>7048</v>
      </c>
      <c r="G72" s="23">
        <f t="shared" si="23"/>
        <v>14292</v>
      </c>
      <c r="H72" s="23">
        <f t="shared" si="23"/>
        <v>22020</v>
      </c>
      <c r="I72" s="23">
        <f t="shared" si="23"/>
        <v>37080</v>
      </c>
      <c r="J72" s="23">
        <f t="shared" si="23"/>
        <v>42427</v>
      </c>
      <c r="K72" s="23">
        <f t="shared" si="23"/>
        <v>47909</v>
      </c>
      <c r="L72" s="23">
        <f t="shared" si="23"/>
        <v>48065</v>
      </c>
      <c r="M72" s="23">
        <f t="shared" si="23"/>
        <v>46938</v>
      </c>
      <c r="N72" s="22">
        <f ca="1">N52*N73</f>
        <v>65905.289735965576</v>
      </c>
      <c r="O72" s="22">
        <f t="shared" ref="O72:W72" ca="1" si="24">O52*O73</f>
        <v>71309.523494314752</v>
      </c>
      <c r="P72" s="22">
        <f t="shared" ca="1" si="24"/>
        <v>76648.824065951572</v>
      </c>
      <c r="Q72" s="22">
        <f t="shared" ca="1" si="24"/>
        <v>81841.78189641978</v>
      </c>
      <c r="R72" s="22">
        <f t="shared" ca="1" si="24"/>
        <v>86803.439923890226</v>
      </c>
      <c r="S72" s="22">
        <f t="shared" ca="1" si="24"/>
        <v>91447.423959818378</v>
      </c>
      <c r="T72" s="22">
        <f t="shared" ca="1" si="24"/>
        <v>95688.298245954968</v>
      </c>
      <c r="U72" s="22">
        <f t="shared" ca="1" si="24"/>
        <v>99444.0639521087</v>
      </c>
      <c r="V72" s="22">
        <f t="shared" ca="1" si="24"/>
        <v>102638.70450657018</v>
      </c>
      <c r="W72" s="22">
        <f t="shared" ca="1" si="24"/>
        <v>105204.67211923444</v>
      </c>
    </row>
    <row r="73" spans="2:23" x14ac:dyDescent="0.3">
      <c r="B73" s="14" t="s">
        <v>27</v>
      </c>
      <c r="C73" s="14"/>
      <c r="D73" s="24">
        <f>D40</f>
        <v>3.1502361724820967E-2</v>
      </c>
      <c r="E73" s="24">
        <f t="shared" ref="E73:M73" si="25">E40</f>
        <v>5.9038895596031704E-2</v>
      </c>
      <c r="F73" s="24">
        <f t="shared" si="25"/>
        <v>6.9683517396161868E-2</v>
      </c>
      <c r="G73" s="24">
        <f t="shared" si="25"/>
        <v>9.0299672085573657E-2</v>
      </c>
      <c r="H73" s="24">
        <f t="shared" si="25"/>
        <v>8.7986382489031664E-2</v>
      </c>
      <c r="I73" s="24">
        <f t="shared" si="25"/>
        <v>9.8396153315430251E-2</v>
      </c>
      <c r="J73" s="24">
        <f t="shared" si="25"/>
        <v>8.3237363917984891E-2</v>
      </c>
      <c r="K73" s="24">
        <f t="shared" si="25"/>
        <v>6.6791767335062993E-2</v>
      </c>
      <c r="L73" s="24">
        <f t="shared" si="25"/>
        <v>5.6344087534083105E-2</v>
      </c>
      <c r="M73" s="24">
        <f t="shared" si="25"/>
        <v>5.4033270901947421E-2</v>
      </c>
      <c r="N73" s="24">
        <f>'Data Tables'!D21</f>
        <v>6.9731347229612856E-2</v>
      </c>
      <c r="O73" s="24">
        <f>'Data Tables'!E21</f>
        <v>6.9731347229612856E-2</v>
      </c>
      <c r="P73" s="24">
        <f>'Data Tables'!F21</f>
        <v>6.9731347229612856E-2</v>
      </c>
      <c r="Q73" s="24">
        <f>'Data Tables'!G21</f>
        <v>6.9731347229612856E-2</v>
      </c>
      <c r="R73" s="24">
        <f>'Data Tables'!H21</f>
        <v>6.9731347229612856E-2</v>
      </c>
      <c r="S73" s="24">
        <f>'Data Tables'!I21</f>
        <v>6.9731347229612856E-2</v>
      </c>
      <c r="T73" s="24">
        <f>'Data Tables'!J21</f>
        <v>6.9731347229612856E-2</v>
      </c>
      <c r="U73" s="24">
        <f>'Data Tables'!K21</f>
        <v>6.9731347229612856E-2</v>
      </c>
      <c r="V73" s="24">
        <f>'Data Tables'!L21</f>
        <v>6.9731347229612856E-2</v>
      </c>
      <c r="W73" s="24">
        <f>'Data Tables'!M21</f>
        <v>6.9731347229612856E-2</v>
      </c>
    </row>
    <row r="74" spans="2:23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x14ac:dyDescent="0.3">
      <c r="B75" s="1" t="s">
        <v>23</v>
      </c>
      <c r="C75" s="1"/>
      <c r="D75" s="23">
        <f>D42</f>
        <v>-4776</v>
      </c>
      <c r="E75" s="23">
        <f t="shared" ref="E75:M75" si="26">E42</f>
        <v>-7705</v>
      </c>
      <c r="F75" s="23">
        <f t="shared" si="26"/>
        <v>-10845</v>
      </c>
      <c r="G75" s="23">
        <f t="shared" si="26"/>
        <v>-11006</v>
      </c>
      <c r="H75" s="23">
        <f t="shared" si="26"/>
        <v>-19628</v>
      </c>
      <c r="I75" s="23">
        <f t="shared" si="26"/>
        <v>-49643</v>
      </c>
      <c r="J75" s="23">
        <f t="shared" si="26"/>
        <v>-32738</v>
      </c>
      <c r="K75" s="23">
        <f t="shared" si="26"/>
        <v>-41081</v>
      </c>
      <c r="L75" s="23">
        <f t="shared" si="26"/>
        <v>-53309</v>
      </c>
      <c r="M75" s="23">
        <f t="shared" si="26"/>
        <v>-33686</v>
      </c>
      <c r="N75" s="22">
        <f ca="1">N52*N76</f>
        <v>75777.790396635741</v>
      </c>
      <c r="O75" s="22">
        <f t="shared" ref="O75:W75" ca="1" si="27">O52*O76</f>
        <v>81991.569209159876</v>
      </c>
      <c r="P75" s="22">
        <f t="shared" ca="1" si="27"/>
        <v>88130.687953695728</v>
      </c>
      <c r="Q75" s="22">
        <f t="shared" ca="1" si="27"/>
        <v>94101.542062558612</v>
      </c>
      <c r="R75" s="22">
        <f t="shared" ca="1" si="27"/>
        <v>99806.448050101215</v>
      </c>
      <c r="S75" s="22">
        <f t="shared" ca="1" si="27"/>
        <v>105146.09302078166</v>
      </c>
      <c r="T75" s="22">
        <f t="shared" ca="1" si="27"/>
        <v>110022.24308462041</v>
      </c>
      <c r="U75" s="22">
        <f t="shared" ca="1" si="27"/>
        <v>114340.61612569177</v>
      </c>
      <c r="V75" s="22">
        <f t="shared" ca="1" si="27"/>
        <v>118013.80841872962</v>
      </c>
      <c r="W75" s="22">
        <f t="shared" ca="1" si="27"/>
        <v>120964.15362919786</v>
      </c>
    </row>
    <row r="76" spans="2:23" x14ac:dyDescent="0.3">
      <c r="B76" s="14" t="s">
        <v>27</v>
      </c>
      <c r="C76" s="14"/>
      <c r="D76" s="24">
        <f>D43</f>
        <v>9.0964497943013867E-2</v>
      </c>
      <c r="E76" s="24">
        <f t="shared" ref="E76:M76" si="28">E43</f>
        <v>0.10111017794341505</v>
      </c>
      <c r="F76" s="24">
        <f t="shared" si="28"/>
        <v>0.10722442482425873</v>
      </c>
      <c r="G76" s="24">
        <f t="shared" si="28"/>
        <v>6.9538076614457295E-2</v>
      </c>
      <c r="H76" s="24">
        <f t="shared" si="28"/>
        <v>7.8428552020650022E-2</v>
      </c>
      <c r="I76" s="24">
        <f t="shared" si="28"/>
        <v>0.13173355552960908</v>
      </c>
      <c r="J76" s="24">
        <f t="shared" si="28"/>
        <v>6.4228553042802686E-2</v>
      </c>
      <c r="K76" s="24">
        <f t="shared" si="28"/>
        <v>5.7272591661101734E-2</v>
      </c>
      <c r="L76" s="24">
        <f t="shared" si="28"/>
        <v>6.2491354672931161E-2</v>
      </c>
      <c r="M76" s="24">
        <f t="shared" si="28"/>
        <v>3.8778063905641501E-2</v>
      </c>
      <c r="N76" s="24">
        <f>'Data Tables'!D25</f>
        <v>8.0176984815788138E-2</v>
      </c>
      <c r="O76" s="24">
        <f>'Data Tables'!E25</f>
        <v>8.0176984815788138E-2</v>
      </c>
      <c r="P76" s="24">
        <f>'Data Tables'!F25</f>
        <v>8.0176984815788138E-2</v>
      </c>
      <c r="Q76" s="24">
        <f>'Data Tables'!G25</f>
        <v>8.0176984815788138E-2</v>
      </c>
      <c r="R76" s="24">
        <f>'Data Tables'!H25</f>
        <v>8.0176984815788138E-2</v>
      </c>
      <c r="S76" s="24">
        <f>'Data Tables'!I25</f>
        <v>8.0176984815788138E-2</v>
      </c>
      <c r="T76" s="24">
        <f>'Data Tables'!J25</f>
        <v>8.0176984815788138E-2</v>
      </c>
      <c r="U76" s="24">
        <f>'Data Tables'!K25</f>
        <v>8.0176984815788138E-2</v>
      </c>
      <c r="V76" s="24">
        <f>'Data Tables'!L25</f>
        <v>8.0176984815788138E-2</v>
      </c>
      <c r="W76" s="24">
        <f>'Data Tables'!M25</f>
        <v>8.0176984815788138E-2</v>
      </c>
    </row>
    <row r="77" spans="2:23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x14ac:dyDescent="0.3">
      <c r="B78" s="15" t="s">
        <v>28</v>
      </c>
      <c r="C78" s="1"/>
      <c r="D78" s="23">
        <f>D52*N79</f>
        <v>11736.860717909782</v>
      </c>
      <c r="E78" s="23">
        <f>E45</f>
        <v>71988</v>
      </c>
      <c r="F78" s="23">
        <f t="shared" ref="F78:M78" si="29">F45</f>
        <v>-20883</v>
      </c>
      <c r="G78" s="23">
        <f t="shared" si="29"/>
        <v>6746</v>
      </c>
      <c r="H78" s="23">
        <f t="shared" si="29"/>
        <v>32745</v>
      </c>
      <c r="I78" s="23">
        <f t="shared" si="29"/>
        <v>-58441</v>
      </c>
      <c r="J78" s="23">
        <f t="shared" si="29"/>
        <v>158447</v>
      </c>
      <c r="K78" s="23">
        <f t="shared" si="29"/>
        <v>44951</v>
      </c>
      <c r="L78" s="23">
        <f t="shared" si="29"/>
        <v>-11251</v>
      </c>
      <c r="M78" s="23">
        <f t="shared" si="29"/>
        <v>57864</v>
      </c>
      <c r="N78" s="22">
        <f ca="1">N52*N79</f>
        <v>211276.7838486073</v>
      </c>
      <c r="O78" s="22">
        <f t="shared" ref="O78:W78" ca="1" si="30">O52*O79</f>
        <v>228601.48012419313</v>
      </c>
      <c r="P78" s="22">
        <f t="shared" ca="1" si="30"/>
        <v>245718.01594849207</v>
      </c>
      <c r="Q78" s="22">
        <f t="shared" ca="1" si="30"/>
        <v>262365.41152900242</v>
      </c>
      <c r="R78" s="22">
        <f t="shared" ca="1" si="30"/>
        <v>278271.31460294814</v>
      </c>
      <c r="S78" s="22">
        <f t="shared" ca="1" si="30"/>
        <v>293158.82993420592</v>
      </c>
      <c r="T78" s="22">
        <f t="shared" ca="1" si="30"/>
        <v>306754.07067240478</v>
      </c>
      <c r="U78" s="22">
        <f t="shared" ca="1" si="30"/>
        <v>318794.16794629669</v>
      </c>
      <c r="V78" s="22">
        <f t="shared" ca="1" si="30"/>
        <v>329035.43059157144</v>
      </c>
      <c r="W78" s="22">
        <f t="shared" ca="1" si="30"/>
        <v>337261.31635636074</v>
      </c>
    </row>
    <row r="79" spans="2:23" x14ac:dyDescent="0.3">
      <c r="B79" s="14" t="s">
        <v>27</v>
      </c>
      <c r="C79" s="14"/>
      <c r="D79" s="24">
        <f>D78/D52</f>
        <v>0.22354221998152105</v>
      </c>
      <c r="E79" s="24">
        <f>E46</f>
        <v>0.94467482021941107</v>
      </c>
      <c r="F79" s="24">
        <f t="shared" ref="F79:M79" si="31">F46</f>
        <v>0.20647004735869018</v>
      </c>
      <c r="G79" s="24">
        <f t="shared" si="31"/>
        <v>4.2622557227069681E-2</v>
      </c>
      <c r="H79" s="24">
        <f t="shared" si="31"/>
        <v>0.13084078540432981</v>
      </c>
      <c r="I79" s="24">
        <f t="shared" si="31"/>
        <v>0.15508008618951077</v>
      </c>
      <c r="J79" s="24">
        <f t="shared" si="31"/>
        <v>0.31085654419857528</v>
      </c>
      <c r="K79" s="24">
        <f t="shared" si="31"/>
        <v>6.2667906520244981E-2</v>
      </c>
      <c r="L79" s="24">
        <f t="shared" si="31"/>
        <v>1.3188959301903027E-2</v>
      </c>
      <c r="M79" s="24">
        <f t="shared" si="31"/>
        <v>6.6610873651844676E-2</v>
      </c>
      <c r="N79" s="24">
        <f>'Data Tables'!D28</f>
        <v>0.22354221998152105</v>
      </c>
      <c r="O79" s="24">
        <f>'Data Tables'!E28</f>
        <v>0.22354221998152105</v>
      </c>
      <c r="P79" s="24">
        <f>'Data Tables'!F28</f>
        <v>0.22354221998152105</v>
      </c>
      <c r="Q79" s="24">
        <f>'Data Tables'!G28</f>
        <v>0.22354221998152105</v>
      </c>
      <c r="R79" s="24">
        <f>'Data Tables'!H28</f>
        <v>0.22354221998152105</v>
      </c>
      <c r="S79" s="24">
        <f>'Data Tables'!I28</f>
        <v>0.22354221998152105</v>
      </c>
      <c r="T79" s="24">
        <f>'Data Tables'!J28</f>
        <v>0.22354221998152105</v>
      </c>
      <c r="U79" s="24">
        <f>'Data Tables'!K28</f>
        <v>0.22354221998152105</v>
      </c>
      <c r="V79" s="24">
        <f>'Data Tables'!L28</f>
        <v>0.22354221998152105</v>
      </c>
      <c r="W79" s="24">
        <f>'Data Tables'!M28</f>
        <v>0.22354221998152105</v>
      </c>
    </row>
    <row r="80" spans="2:23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x14ac:dyDescent="0.3">
      <c r="B81" s="17" t="s">
        <v>32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4">
        <f ca="1">N70+N72-N75-N78</f>
        <v>599670.22573203209</v>
      </c>
      <c r="O81" s="34">
        <f t="shared" ref="O81:W81" ca="1" si="32">O70+O72-O75-O78</f>
        <v>643474.5863644873</v>
      </c>
      <c r="P81" s="34">
        <f t="shared" ca="1" si="32"/>
        <v>683820.15626179951</v>
      </c>
      <c r="Q81" s="34">
        <f t="shared" ca="1" si="32"/>
        <v>719159.18432120397</v>
      </c>
      <c r="R81" s="34">
        <f t="shared" ca="1" si="32"/>
        <v>747723.97562810057</v>
      </c>
      <c r="S81" s="34">
        <f t="shared" ca="1" si="32"/>
        <v>767497.33488188055</v>
      </c>
      <c r="T81" s="34">
        <f t="shared" ca="1" si="32"/>
        <v>776169.71362273581</v>
      </c>
      <c r="U81" s="34">
        <f t="shared" ca="1" si="32"/>
        <v>771077.43738351995</v>
      </c>
      <c r="V81" s="34">
        <f t="shared" ca="1" si="32"/>
        <v>749114.82127192547</v>
      </c>
      <c r="W81" s="34">
        <f t="shared" ca="1" si="32"/>
        <v>706611.03806570661</v>
      </c>
    </row>
    <row r="82" spans="2:23" x14ac:dyDescent="0.3">
      <c r="B82" s="17" t="s">
        <v>118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4">
        <f t="shared" ref="N82:W82" ca="1" si="33">N81/(wacc+1)^N49</f>
        <v>564661.2295028551</v>
      </c>
      <c r="O82" s="34">
        <f t="shared" ca="1" si="33"/>
        <v>570535.09737560095</v>
      </c>
      <c r="P82" s="34">
        <f t="shared" ca="1" si="33"/>
        <v>570910.91695652646</v>
      </c>
      <c r="Q82" s="34">
        <f t="shared" ca="1" si="33"/>
        <v>565362.45501634083</v>
      </c>
      <c r="R82" s="34">
        <f t="shared" ca="1" si="33"/>
        <v>553501.39874260616</v>
      </c>
      <c r="S82" s="34">
        <f t="shared" ca="1" si="33"/>
        <v>534970.42771555088</v>
      </c>
      <c r="T82" s="34">
        <f t="shared" ca="1" si="33"/>
        <v>509430.65514202719</v>
      </c>
      <c r="U82" s="34">
        <f t="shared" ca="1" si="33"/>
        <v>476542.74418610142</v>
      </c>
      <c r="V82" s="34">
        <f t="shared" ca="1" si="33"/>
        <v>435941.02298604482</v>
      </c>
      <c r="W82" s="34">
        <f t="shared" ca="1" si="33"/>
        <v>387199.91194343363</v>
      </c>
    </row>
    <row r="84" spans="2:23" x14ac:dyDescent="0.3">
      <c r="B84" s="18" t="s">
        <v>33</v>
      </c>
      <c r="C84" s="18"/>
      <c r="D84" s="18"/>
      <c r="E84" s="18"/>
    </row>
    <row r="85" spans="2:23" x14ac:dyDescent="0.3">
      <c r="B85" s="7" t="s">
        <v>119</v>
      </c>
      <c r="C85" s="1"/>
      <c r="D85" s="1"/>
      <c r="E85" s="22">
        <f ca="1">(W81*(1+tgr))/(wacc-tgr)</f>
        <v>22744042.787739929</v>
      </c>
    </row>
    <row r="86" spans="2:23" x14ac:dyDescent="0.3">
      <c r="B86" s="7" t="s">
        <v>120</v>
      </c>
      <c r="C86" s="1"/>
      <c r="D86" s="1"/>
      <c r="E86" s="22">
        <f ca="1">E85/(wacc+1)^W49</f>
        <v>12462997.165679269</v>
      </c>
    </row>
    <row r="87" spans="2:23" x14ac:dyDescent="0.3">
      <c r="B87" s="1"/>
      <c r="C87" s="1"/>
      <c r="D87" s="1"/>
      <c r="E87" s="1"/>
    </row>
    <row r="88" spans="2:23" x14ac:dyDescent="0.3">
      <c r="B88" s="7" t="s">
        <v>121</v>
      </c>
      <c r="C88" s="1"/>
      <c r="D88" s="1"/>
      <c r="E88" s="22">
        <f ca="1">SUM(N82:W82)</f>
        <v>5169055.8595670881</v>
      </c>
    </row>
    <row r="89" spans="2:23" x14ac:dyDescent="0.3">
      <c r="B89" s="36" t="s">
        <v>122</v>
      </c>
      <c r="C89" s="1"/>
      <c r="D89" s="1"/>
      <c r="E89" s="22">
        <f>BS!L3</f>
        <v>193086</v>
      </c>
    </row>
    <row r="90" spans="2:23" x14ac:dyDescent="0.3">
      <c r="B90" s="36" t="s">
        <v>123</v>
      </c>
      <c r="C90" s="1"/>
      <c r="D90" s="1"/>
      <c r="E90" s="22">
        <f>BS!L24</f>
        <v>161354</v>
      </c>
    </row>
    <row r="91" spans="2:23" x14ac:dyDescent="0.3">
      <c r="B91" s="1"/>
      <c r="C91" s="1"/>
      <c r="D91" s="1"/>
      <c r="E91" s="1"/>
    </row>
    <row r="92" spans="2:23" x14ac:dyDescent="0.3">
      <c r="B92" s="7" t="s">
        <v>124</v>
      </c>
      <c r="C92" s="1"/>
      <c r="D92" s="1"/>
      <c r="E92" s="22">
        <f ca="1">E88+E89-E90</f>
        <v>5200787.8595670881</v>
      </c>
    </row>
    <row r="93" spans="2:23" x14ac:dyDescent="0.3">
      <c r="B93" s="7" t="s">
        <v>125</v>
      </c>
      <c r="C93" s="1"/>
      <c r="D93" s="1"/>
      <c r="E93" s="1">
        <f>IS!L21</f>
        <v>21114</v>
      </c>
    </row>
    <row r="94" spans="2:23" x14ac:dyDescent="0.3">
      <c r="B94" s="1"/>
      <c r="C94" s="1"/>
      <c r="D94" s="1"/>
      <c r="E94" s="1"/>
    </row>
    <row r="95" spans="2:23" x14ac:dyDescent="0.3">
      <c r="B95" s="7" t="s">
        <v>126</v>
      </c>
      <c r="C95" s="1"/>
      <c r="D95" s="1"/>
      <c r="E95" s="37">
        <f ca="1">E92/E93</f>
        <v>246.31940227181434</v>
      </c>
    </row>
    <row r="96" spans="2:23" x14ac:dyDescent="0.3">
      <c r="B96" s="1"/>
      <c r="C96" s="1"/>
      <c r="D96" s="1"/>
      <c r="E96" s="1"/>
    </row>
  </sheetData>
  <mergeCells count="1">
    <mergeCell ref="B50:W5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DA0D-7158-4BB7-B6EE-D1B7F53E48B1}">
  <sheetPr>
    <tabColor theme="8" tint="-0.249977111117893"/>
  </sheetPr>
  <dimension ref="B2:O29"/>
  <sheetViews>
    <sheetView topLeftCell="A10" workbookViewId="0">
      <selection activeCell="C27" sqref="C27"/>
    </sheetView>
  </sheetViews>
  <sheetFormatPr defaultRowHeight="14.4" x14ac:dyDescent="0.3"/>
  <cols>
    <col min="4" max="4" width="8.88671875" customWidth="1"/>
  </cols>
  <sheetData>
    <row r="2" spans="2:15" x14ac:dyDescent="0.3">
      <c r="B2" s="5" t="s">
        <v>109</v>
      </c>
      <c r="C2" s="5"/>
      <c r="D2" s="5">
        <v>2023</v>
      </c>
      <c r="E2" s="5">
        <f>D2+1</f>
        <v>2024</v>
      </c>
      <c r="F2" s="5">
        <f t="shared" ref="F2:M2" si="0">E2+1</f>
        <v>2025</v>
      </c>
      <c r="G2" s="5">
        <f t="shared" si="0"/>
        <v>2026</v>
      </c>
      <c r="H2" s="5">
        <f t="shared" si="0"/>
        <v>2027</v>
      </c>
      <c r="I2" s="5">
        <f t="shared" si="0"/>
        <v>2028</v>
      </c>
      <c r="J2" s="5">
        <f t="shared" si="0"/>
        <v>2029</v>
      </c>
      <c r="K2" s="5">
        <f t="shared" si="0"/>
        <v>2030</v>
      </c>
      <c r="L2" s="5">
        <f t="shared" si="0"/>
        <v>2031</v>
      </c>
      <c r="M2" s="5">
        <f t="shared" si="0"/>
        <v>2032</v>
      </c>
    </row>
    <row r="3" spans="2:15" x14ac:dyDescent="0.3">
      <c r="B3" s="7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5" x14ac:dyDescent="0.3">
      <c r="B4" s="14" t="s">
        <v>110</v>
      </c>
      <c r="C4" s="1"/>
      <c r="D4" s="24">
        <f>D5-0.5%</f>
        <v>8.7999999999999995E-2</v>
      </c>
      <c r="E4" s="24">
        <f t="shared" ref="E4:M4" si="1">E5-0.5%</f>
        <v>8.199999999999999E-2</v>
      </c>
      <c r="F4" s="24">
        <f t="shared" si="1"/>
        <v>7.4874999999999997E-2</v>
      </c>
      <c r="G4" s="24">
        <f t="shared" si="1"/>
        <v>6.7750000000000005E-2</v>
      </c>
      <c r="H4" s="24">
        <f t="shared" si="1"/>
        <v>6.0625000000000019E-2</v>
      </c>
      <c r="I4" s="24">
        <f t="shared" si="1"/>
        <v>5.350000000000002E-2</v>
      </c>
      <c r="J4" s="24">
        <f t="shared" si="1"/>
        <v>4.637500000000002E-2</v>
      </c>
      <c r="K4" s="24">
        <f t="shared" si="1"/>
        <v>3.9250000000000021E-2</v>
      </c>
      <c r="L4" s="24">
        <f t="shared" si="1"/>
        <v>3.2125000000000022E-2</v>
      </c>
      <c r="M4" s="24">
        <f t="shared" si="1"/>
        <v>2.4999999999999998E-2</v>
      </c>
      <c r="O4" s="29"/>
    </row>
    <row r="5" spans="2:15" x14ac:dyDescent="0.3">
      <c r="B5" s="14" t="s">
        <v>111</v>
      </c>
      <c r="C5" s="1"/>
      <c r="D5" s="24">
        <v>9.2999999999999999E-2</v>
      </c>
      <c r="E5" s="24">
        <v>8.6999999999999994E-2</v>
      </c>
      <c r="F5" s="24">
        <f>E5-$O$5</f>
        <v>7.9875000000000002E-2</v>
      </c>
      <c r="G5" s="24">
        <f t="shared" ref="G5:L5" si="2">F5-$O$5</f>
        <v>7.2750000000000009E-2</v>
      </c>
      <c r="H5" s="24">
        <f t="shared" si="2"/>
        <v>6.5625000000000017E-2</v>
      </c>
      <c r="I5" s="24">
        <f t="shared" si="2"/>
        <v>5.8500000000000017E-2</v>
      </c>
      <c r="J5" s="24">
        <f t="shared" si="2"/>
        <v>5.1375000000000018E-2</v>
      </c>
      <c r="K5" s="24">
        <f t="shared" si="2"/>
        <v>4.4250000000000018E-2</v>
      </c>
      <c r="L5" s="24">
        <f t="shared" si="2"/>
        <v>3.7125000000000019E-2</v>
      </c>
      <c r="M5" s="24">
        <v>0.03</v>
      </c>
      <c r="O5" s="30">
        <f>(E5-M5)/(M2-E2)</f>
        <v>7.1249999999999994E-3</v>
      </c>
    </row>
    <row r="6" spans="2:15" x14ac:dyDescent="0.3">
      <c r="B6" s="14" t="s">
        <v>112</v>
      </c>
      <c r="C6" s="1"/>
      <c r="D6" s="24">
        <f>D5+0.5%</f>
        <v>9.8000000000000004E-2</v>
      </c>
      <c r="E6" s="24">
        <f t="shared" ref="E6:M6" si="3">E5+0.5%</f>
        <v>9.1999999999999998E-2</v>
      </c>
      <c r="F6" s="24">
        <f t="shared" si="3"/>
        <v>8.4875000000000006E-2</v>
      </c>
      <c r="G6" s="24">
        <f t="shared" si="3"/>
        <v>7.7750000000000014E-2</v>
      </c>
      <c r="H6" s="24">
        <f t="shared" si="3"/>
        <v>7.0625000000000021E-2</v>
      </c>
      <c r="I6" s="24">
        <f t="shared" si="3"/>
        <v>6.3500000000000015E-2</v>
      </c>
      <c r="J6" s="24">
        <f t="shared" si="3"/>
        <v>5.6375000000000015E-2</v>
      </c>
      <c r="K6" s="24">
        <f t="shared" si="3"/>
        <v>4.9250000000000016E-2</v>
      </c>
      <c r="L6" s="24">
        <f t="shared" si="3"/>
        <v>4.2125000000000017E-2</v>
      </c>
      <c r="M6" s="24">
        <f t="shared" si="3"/>
        <v>3.4999999999999996E-2</v>
      </c>
    </row>
    <row r="7" spans="2:15" x14ac:dyDescent="0.3">
      <c r="B7" s="1"/>
      <c r="C7" s="1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2:15" x14ac:dyDescent="0.3">
      <c r="B8" s="7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x14ac:dyDescent="0.3">
      <c r="B9" s="14" t="s">
        <v>110</v>
      </c>
      <c r="C9" s="1"/>
      <c r="D9" s="24">
        <f>D10-2%</f>
        <v>9.0159636696980988E-2</v>
      </c>
      <c r="E9" s="24">
        <f t="shared" ref="E9:M9" si="4">E10-2%</f>
        <v>8.849707662253492E-2</v>
      </c>
      <c r="F9" s="24">
        <f t="shared" si="4"/>
        <v>8.849707662253492E-2</v>
      </c>
      <c r="G9" s="24">
        <f t="shared" si="4"/>
        <v>8.849707662253492E-2</v>
      </c>
      <c r="H9" s="24">
        <f t="shared" si="4"/>
        <v>8.849707662253492E-2</v>
      </c>
      <c r="I9" s="24">
        <f t="shared" si="4"/>
        <v>8.849707662253492E-2</v>
      </c>
      <c r="J9" s="24">
        <f t="shared" si="4"/>
        <v>8.849707662253492E-2</v>
      </c>
      <c r="K9" s="24">
        <f t="shared" si="4"/>
        <v>8.849707662253492E-2</v>
      </c>
      <c r="L9" s="24">
        <f t="shared" si="4"/>
        <v>8.849707662253492E-2</v>
      </c>
      <c r="M9" s="24">
        <f t="shared" si="4"/>
        <v>8.849707662253492E-2</v>
      </c>
    </row>
    <row r="10" spans="2:15" x14ac:dyDescent="0.3">
      <c r="B10" s="14" t="s">
        <v>111</v>
      </c>
      <c r="C10" s="1"/>
      <c r="D10" s="24" cm="1">
        <f t="array" ref="D10:E10">DCF!L59:M59</f>
        <v>0.11015963669698099</v>
      </c>
      <c r="E10" s="24">
        <v>0.10849707662253492</v>
      </c>
      <c r="F10" s="24">
        <f>E10</f>
        <v>0.10849707662253492</v>
      </c>
      <c r="G10" s="24">
        <f t="shared" ref="G10:M10" si="5">F10</f>
        <v>0.10849707662253492</v>
      </c>
      <c r="H10" s="24">
        <f t="shared" si="5"/>
        <v>0.10849707662253492</v>
      </c>
      <c r="I10" s="24">
        <f t="shared" si="5"/>
        <v>0.10849707662253492</v>
      </c>
      <c r="J10" s="24">
        <f t="shared" si="5"/>
        <v>0.10849707662253492</v>
      </c>
      <c r="K10" s="24">
        <f t="shared" si="5"/>
        <v>0.10849707662253492</v>
      </c>
      <c r="L10" s="24">
        <f t="shared" si="5"/>
        <v>0.10849707662253492</v>
      </c>
      <c r="M10" s="24">
        <f t="shared" si="5"/>
        <v>0.10849707662253492</v>
      </c>
    </row>
    <row r="11" spans="2:15" x14ac:dyDescent="0.3">
      <c r="B11" s="14" t="s">
        <v>112</v>
      </c>
      <c r="C11" s="1"/>
      <c r="D11" s="24">
        <f>D10+2%</f>
        <v>0.130159636696981</v>
      </c>
      <c r="E11" s="24">
        <f>E10+2%</f>
        <v>0.12849707662253493</v>
      </c>
      <c r="F11" s="24">
        <f t="shared" ref="F11:M11" si="6">F10+2%</f>
        <v>0.12849707662253493</v>
      </c>
      <c r="G11" s="24">
        <f t="shared" si="6"/>
        <v>0.12849707662253493</v>
      </c>
      <c r="H11" s="24">
        <f t="shared" si="6"/>
        <v>0.12849707662253493</v>
      </c>
      <c r="I11" s="24">
        <f t="shared" si="6"/>
        <v>0.12849707662253493</v>
      </c>
      <c r="J11" s="24">
        <f t="shared" si="6"/>
        <v>0.12849707662253493</v>
      </c>
      <c r="K11" s="24">
        <f t="shared" si="6"/>
        <v>0.12849707662253493</v>
      </c>
      <c r="L11" s="24">
        <f t="shared" si="6"/>
        <v>0.12849707662253493</v>
      </c>
      <c r="M11" s="24">
        <f t="shared" si="6"/>
        <v>0.12849707662253493</v>
      </c>
    </row>
    <row r="12" spans="2:1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x14ac:dyDescent="0.3">
      <c r="B13" s="7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5" x14ac:dyDescent="0.3">
      <c r="B14" s="14" t="s">
        <v>110</v>
      </c>
      <c r="C14" s="1"/>
      <c r="D14" s="24">
        <v>0.3</v>
      </c>
      <c r="E14" s="24">
        <f>D14</f>
        <v>0.3</v>
      </c>
      <c r="F14" s="24">
        <f t="shared" ref="F14:M14" si="7">E14</f>
        <v>0.3</v>
      </c>
      <c r="G14" s="24">
        <f t="shared" si="7"/>
        <v>0.3</v>
      </c>
      <c r="H14" s="24">
        <f t="shared" si="7"/>
        <v>0.3</v>
      </c>
      <c r="I14" s="24">
        <f t="shared" si="7"/>
        <v>0.3</v>
      </c>
      <c r="J14" s="24">
        <f t="shared" si="7"/>
        <v>0.3</v>
      </c>
      <c r="K14" s="24">
        <f t="shared" si="7"/>
        <v>0.3</v>
      </c>
      <c r="L14" s="24">
        <f t="shared" si="7"/>
        <v>0.3</v>
      </c>
      <c r="M14" s="24">
        <f t="shared" si="7"/>
        <v>0.3</v>
      </c>
    </row>
    <row r="15" spans="2:15" x14ac:dyDescent="0.3">
      <c r="B15" s="14" t="s">
        <v>111</v>
      </c>
      <c r="C15" s="1"/>
      <c r="D15" s="24">
        <v>0.25</v>
      </c>
      <c r="E15" s="24">
        <f>D15</f>
        <v>0.25</v>
      </c>
      <c r="F15" s="24">
        <f t="shared" ref="F15:M15" si="8">E15</f>
        <v>0.25</v>
      </c>
      <c r="G15" s="24">
        <f t="shared" si="8"/>
        <v>0.25</v>
      </c>
      <c r="H15" s="24">
        <f t="shared" si="8"/>
        <v>0.25</v>
      </c>
      <c r="I15" s="24">
        <f t="shared" si="8"/>
        <v>0.25</v>
      </c>
      <c r="J15" s="24">
        <f t="shared" si="8"/>
        <v>0.25</v>
      </c>
      <c r="K15" s="24">
        <f t="shared" si="8"/>
        <v>0.25</v>
      </c>
      <c r="L15" s="24">
        <f t="shared" si="8"/>
        <v>0.25</v>
      </c>
      <c r="M15" s="24">
        <f t="shared" si="8"/>
        <v>0.25</v>
      </c>
    </row>
    <row r="16" spans="2:15" x14ac:dyDescent="0.3">
      <c r="B16" s="14" t="s">
        <v>112</v>
      </c>
      <c r="C16" s="1"/>
      <c r="D16" s="24">
        <f>20%</f>
        <v>0.2</v>
      </c>
      <c r="E16" s="24">
        <f>D16</f>
        <v>0.2</v>
      </c>
      <c r="F16" s="24">
        <f t="shared" ref="F16:M16" si="9">E16</f>
        <v>0.2</v>
      </c>
      <c r="G16" s="24">
        <f t="shared" si="9"/>
        <v>0.2</v>
      </c>
      <c r="H16" s="24">
        <f t="shared" si="9"/>
        <v>0.2</v>
      </c>
      <c r="I16" s="24">
        <f t="shared" si="9"/>
        <v>0.2</v>
      </c>
      <c r="J16" s="24">
        <f t="shared" si="9"/>
        <v>0.2</v>
      </c>
      <c r="K16" s="24">
        <f t="shared" si="9"/>
        <v>0.2</v>
      </c>
      <c r="L16" s="24">
        <f t="shared" si="9"/>
        <v>0.2</v>
      </c>
      <c r="M16" s="24">
        <f t="shared" si="9"/>
        <v>0.2</v>
      </c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7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4" t="s">
        <v>110</v>
      </c>
      <c r="C20" s="1"/>
      <c r="D20" s="24">
        <f>D21+2%</f>
        <v>8.9731347229612859E-2</v>
      </c>
      <c r="E20" s="24">
        <f t="shared" ref="E20:M20" si="10">E21+2%</f>
        <v>8.9731347229612859E-2</v>
      </c>
      <c r="F20" s="24">
        <f t="shared" si="10"/>
        <v>8.9731347229612859E-2</v>
      </c>
      <c r="G20" s="24">
        <f t="shared" si="10"/>
        <v>8.9731347229612859E-2</v>
      </c>
      <c r="H20" s="24">
        <f t="shared" si="10"/>
        <v>8.9731347229612859E-2</v>
      </c>
      <c r="I20" s="24">
        <f t="shared" si="10"/>
        <v>8.9731347229612859E-2</v>
      </c>
      <c r="J20" s="24">
        <f t="shared" si="10"/>
        <v>8.9731347229612859E-2</v>
      </c>
      <c r="K20" s="24">
        <f t="shared" si="10"/>
        <v>8.9731347229612859E-2</v>
      </c>
      <c r="L20" s="24">
        <f t="shared" si="10"/>
        <v>8.9731347229612859E-2</v>
      </c>
      <c r="M20" s="24">
        <f t="shared" si="10"/>
        <v>8.9731347229612859E-2</v>
      </c>
    </row>
    <row r="21" spans="2:13" x14ac:dyDescent="0.3">
      <c r="B21" s="14" t="s">
        <v>111</v>
      </c>
      <c r="C21" s="1"/>
      <c r="D21" s="24">
        <f>AVERAGE(DCF!$D$73:$M$73)</f>
        <v>6.9731347229612856E-2</v>
      </c>
      <c r="E21" s="24">
        <f>AVERAGE(DCF!$D$73:$M$73)</f>
        <v>6.9731347229612856E-2</v>
      </c>
      <c r="F21" s="24">
        <f>AVERAGE(DCF!$D$73:$M$73)</f>
        <v>6.9731347229612856E-2</v>
      </c>
      <c r="G21" s="24">
        <f>AVERAGE(DCF!$D$73:$M$73)</f>
        <v>6.9731347229612856E-2</v>
      </c>
      <c r="H21" s="24">
        <f>AVERAGE(DCF!$D$73:$M$73)</f>
        <v>6.9731347229612856E-2</v>
      </c>
      <c r="I21" s="24">
        <f>AVERAGE(DCF!$D$73:$M$73)</f>
        <v>6.9731347229612856E-2</v>
      </c>
      <c r="J21" s="24">
        <f>AVERAGE(DCF!$D$73:$M$73)</f>
        <v>6.9731347229612856E-2</v>
      </c>
      <c r="K21" s="24">
        <f>AVERAGE(DCF!$D$73:$M$73)</f>
        <v>6.9731347229612856E-2</v>
      </c>
      <c r="L21" s="24">
        <f>AVERAGE(DCF!$D$73:$M$73)</f>
        <v>6.9731347229612856E-2</v>
      </c>
      <c r="M21" s="24">
        <f>AVERAGE(DCF!$D$73:$M$73)</f>
        <v>6.9731347229612856E-2</v>
      </c>
    </row>
    <row r="22" spans="2:13" x14ac:dyDescent="0.3">
      <c r="B22" s="14" t="s">
        <v>112</v>
      </c>
      <c r="C22" s="1"/>
      <c r="D22" s="24">
        <f>D21-2%</f>
        <v>4.9731347229612852E-2</v>
      </c>
      <c r="E22" s="24">
        <f t="shared" ref="E22:M22" si="11">E21-2%</f>
        <v>4.9731347229612852E-2</v>
      </c>
      <c r="F22" s="24">
        <f t="shared" si="11"/>
        <v>4.9731347229612852E-2</v>
      </c>
      <c r="G22" s="24">
        <f t="shared" si="11"/>
        <v>4.9731347229612852E-2</v>
      </c>
      <c r="H22" s="24">
        <f t="shared" si="11"/>
        <v>4.9731347229612852E-2</v>
      </c>
      <c r="I22" s="24">
        <f t="shared" si="11"/>
        <v>4.9731347229612852E-2</v>
      </c>
      <c r="J22" s="24">
        <f t="shared" si="11"/>
        <v>4.9731347229612852E-2</v>
      </c>
      <c r="K22" s="24">
        <f t="shared" si="11"/>
        <v>4.9731347229612852E-2</v>
      </c>
      <c r="L22" s="24">
        <f t="shared" si="11"/>
        <v>4.9731347229612852E-2</v>
      </c>
      <c r="M22" s="24">
        <f t="shared" si="11"/>
        <v>4.9731347229612852E-2</v>
      </c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7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4" t="s">
        <v>111</v>
      </c>
      <c r="C25" s="1"/>
      <c r="D25" s="24">
        <f>AVERAGE(DCF!$D$76:$M$76)</f>
        <v>8.0176984815788138E-2</v>
      </c>
      <c r="E25" s="24">
        <f>AVERAGE(DCF!$D$76:$M$76)</f>
        <v>8.0176984815788138E-2</v>
      </c>
      <c r="F25" s="24">
        <f>AVERAGE(DCF!$D$76:$M$76)</f>
        <v>8.0176984815788138E-2</v>
      </c>
      <c r="G25" s="24">
        <f>AVERAGE(DCF!$D$76:$M$76)</f>
        <v>8.0176984815788138E-2</v>
      </c>
      <c r="H25" s="24">
        <f>AVERAGE(DCF!$D$76:$M$76)</f>
        <v>8.0176984815788138E-2</v>
      </c>
      <c r="I25" s="24">
        <f>AVERAGE(DCF!$D$76:$M$76)</f>
        <v>8.0176984815788138E-2</v>
      </c>
      <c r="J25" s="24">
        <f>AVERAGE(DCF!$D$76:$M$76)</f>
        <v>8.0176984815788138E-2</v>
      </c>
      <c r="K25" s="24">
        <f>AVERAGE(DCF!$D$76:$M$76)</f>
        <v>8.0176984815788138E-2</v>
      </c>
      <c r="L25" s="24">
        <f>AVERAGE(DCF!$D$76:$M$76)</f>
        <v>8.0176984815788138E-2</v>
      </c>
      <c r="M25" s="24">
        <f>AVERAGE(DCF!$D$76:$M$76)</f>
        <v>8.0176984815788138E-2</v>
      </c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7" t="s">
        <v>117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4" t="s">
        <v>111</v>
      </c>
      <c r="C28" s="24">
        <f>AVERAGE(DCF!$G$79,DCF!$K$79,DCF!$L$79,DCF!$M$79,DCF!$I$79,DCF!$H$79,DCF!$F$79,DCF!$J$79)+10%</f>
        <v>0.22354221998152105</v>
      </c>
      <c r="D28" s="24">
        <f>C28</f>
        <v>0.22354221998152105</v>
      </c>
      <c r="E28" s="24">
        <f t="shared" ref="E28:M28" si="12">D28</f>
        <v>0.22354221998152105</v>
      </c>
      <c r="F28" s="24">
        <f t="shared" si="12"/>
        <v>0.22354221998152105</v>
      </c>
      <c r="G28" s="24">
        <f t="shared" si="12"/>
        <v>0.22354221998152105</v>
      </c>
      <c r="H28" s="24">
        <f t="shared" si="12"/>
        <v>0.22354221998152105</v>
      </c>
      <c r="I28" s="24">
        <f t="shared" si="12"/>
        <v>0.22354221998152105</v>
      </c>
      <c r="J28" s="24">
        <f t="shared" si="12"/>
        <v>0.22354221998152105</v>
      </c>
      <c r="K28" s="24">
        <f t="shared" si="12"/>
        <v>0.22354221998152105</v>
      </c>
      <c r="L28" s="24">
        <f t="shared" si="12"/>
        <v>0.22354221998152105</v>
      </c>
      <c r="M28" s="24">
        <f t="shared" si="12"/>
        <v>0.22354221998152105</v>
      </c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3634-3D20-4BC3-AD05-738D598DC12B}">
  <sheetPr>
    <tabColor theme="7" tint="0.79998168889431442"/>
  </sheetPr>
  <dimension ref="B2:Y37"/>
  <sheetViews>
    <sheetView topLeftCell="A19" workbookViewId="0">
      <selection activeCell="N37" sqref="N37"/>
    </sheetView>
  </sheetViews>
  <sheetFormatPr defaultRowHeight="14.4" x14ac:dyDescent="0.3"/>
  <cols>
    <col min="2" max="2" width="24.5546875" bestFit="1" customWidth="1"/>
    <col min="3" max="3" width="7.6640625" bestFit="1" customWidth="1"/>
  </cols>
  <sheetData>
    <row r="2" spans="2:25" x14ac:dyDescent="0.3">
      <c r="B2" t="s">
        <v>34</v>
      </c>
      <c r="C2" t="s">
        <v>44</v>
      </c>
      <c r="D2" t="s">
        <v>43</v>
      </c>
      <c r="E2" t="s">
        <v>42</v>
      </c>
      <c r="F2" t="s">
        <v>41</v>
      </c>
      <c r="G2" t="s">
        <v>40</v>
      </c>
      <c r="H2" t="s">
        <v>39</v>
      </c>
      <c r="I2" t="s">
        <v>38</v>
      </c>
      <c r="J2" t="s">
        <v>37</v>
      </c>
      <c r="K2" t="s">
        <v>36</v>
      </c>
      <c r="L2" t="s">
        <v>35</v>
      </c>
    </row>
    <row r="3" spans="2:25" x14ac:dyDescent="0.3">
      <c r="B3" t="s">
        <v>24</v>
      </c>
      <c r="C3">
        <v>52504</v>
      </c>
      <c r="D3">
        <v>76204</v>
      </c>
      <c r="E3">
        <v>101143</v>
      </c>
      <c r="F3">
        <v>158273</v>
      </c>
      <c r="G3">
        <v>250266</v>
      </c>
      <c r="H3">
        <v>376844</v>
      </c>
      <c r="I3">
        <v>509711</v>
      </c>
      <c r="J3">
        <v>717289</v>
      </c>
      <c r="K3">
        <v>853062</v>
      </c>
      <c r="L3">
        <v>868687</v>
      </c>
    </row>
    <row r="4" spans="2:25" x14ac:dyDescent="0.3">
      <c r="B4" t="s">
        <v>45</v>
      </c>
      <c r="C4">
        <v>0.52110000000000001</v>
      </c>
      <c r="D4">
        <v>0.45140000000000002</v>
      </c>
      <c r="E4">
        <v>0.32729999999999998</v>
      </c>
      <c r="F4">
        <v>0.56479999999999997</v>
      </c>
      <c r="G4">
        <v>0.58120000000000005</v>
      </c>
      <c r="H4">
        <v>0.50580000000000003</v>
      </c>
      <c r="I4">
        <v>0.35260000000000002</v>
      </c>
      <c r="J4">
        <v>0.40720000000000001</v>
      </c>
      <c r="K4">
        <v>0.1893</v>
      </c>
      <c r="L4">
        <v>1.83E-2</v>
      </c>
    </row>
    <row r="5" spans="2:25" x14ac:dyDescent="0.3">
      <c r="B5" t="s">
        <v>46</v>
      </c>
      <c r="C5">
        <v>13369</v>
      </c>
      <c r="D5">
        <v>23834</v>
      </c>
      <c r="E5">
        <v>34355</v>
      </c>
      <c r="F5">
        <v>59483</v>
      </c>
      <c r="G5">
        <v>107044</v>
      </c>
      <c r="H5">
        <v>206929</v>
      </c>
      <c r="I5">
        <v>282367</v>
      </c>
      <c r="J5">
        <v>421205</v>
      </c>
      <c r="K5">
        <v>539450</v>
      </c>
      <c r="L5">
        <v>549695</v>
      </c>
    </row>
    <row r="6" spans="2:25" x14ac:dyDescent="0.3">
      <c r="B6" t="s">
        <v>47</v>
      </c>
      <c r="C6">
        <v>39135</v>
      </c>
      <c r="D6">
        <v>52370</v>
      </c>
      <c r="E6">
        <v>66788</v>
      </c>
      <c r="F6">
        <v>98790</v>
      </c>
      <c r="G6">
        <v>143222</v>
      </c>
      <c r="H6">
        <v>169915</v>
      </c>
      <c r="I6">
        <v>227344</v>
      </c>
      <c r="J6">
        <v>296084</v>
      </c>
      <c r="K6">
        <v>313612</v>
      </c>
      <c r="L6">
        <v>318992</v>
      </c>
    </row>
    <row r="7" spans="2:25" x14ac:dyDescent="0.3">
      <c r="B7" t="s">
        <v>48</v>
      </c>
      <c r="C7">
        <v>8763</v>
      </c>
      <c r="D7">
        <v>16313</v>
      </c>
      <c r="E7">
        <v>20512</v>
      </c>
      <c r="F7">
        <v>28553</v>
      </c>
      <c r="G7">
        <v>43540</v>
      </c>
      <c r="H7">
        <v>64669</v>
      </c>
      <c r="I7">
        <v>78870</v>
      </c>
      <c r="J7">
        <v>136743</v>
      </c>
      <c r="K7">
        <v>151721</v>
      </c>
      <c r="L7">
        <v>145679</v>
      </c>
    </row>
    <row r="8" spans="2:25" x14ac:dyDescent="0.3">
      <c r="B8" t="s">
        <v>49</v>
      </c>
      <c r="C8">
        <v>5093</v>
      </c>
      <c r="D8">
        <v>10658</v>
      </c>
      <c r="E8">
        <v>13788</v>
      </c>
      <c r="F8">
        <v>17060</v>
      </c>
      <c r="G8">
        <v>22754</v>
      </c>
      <c r="H8">
        <v>37435</v>
      </c>
      <c r="I8">
        <v>43080</v>
      </c>
      <c r="J8">
        <v>57236</v>
      </c>
      <c r="K8">
        <v>55465</v>
      </c>
      <c r="L8">
        <v>56744</v>
      </c>
    </row>
    <row r="9" spans="2:25" x14ac:dyDescent="0.3">
      <c r="B9" t="s">
        <v>50</v>
      </c>
      <c r="C9">
        <v>359</v>
      </c>
      <c r="D9">
        <v>2264</v>
      </c>
      <c r="E9">
        <v>3386</v>
      </c>
      <c r="F9">
        <v>5122</v>
      </c>
      <c r="G9">
        <v>7614</v>
      </c>
      <c r="H9">
        <v>10727</v>
      </c>
      <c r="I9">
        <v>13964</v>
      </c>
      <c r="J9">
        <v>12427</v>
      </c>
      <c r="K9">
        <v>36788</v>
      </c>
      <c r="L9">
        <v>16218</v>
      </c>
    </row>
    <row r="10" spans="2:25" x14ac:dyDescent="0.3">
      <c r="B10" t="s">
        <v>51</v>
      </c>
      <c r="C10">
        <v>14215</v>
      </c>
      <c r="D10">
        <v>29235</v>
      </c>
      <c r="E10">
        <v>37686</v>
      </c>
      <c r="F10">
        <v>50735</v>
      </c>
      <c r="G10">
        <v>73908</v>
      </c>
      <c r="H10">
        <v>112831</v>
      </c>
      <c r="I10">
        <v>135914</v>
      </c>
      <c r="J10">
        <v>206406</v>
      </c>
      <c r="K10">
        <v>243974</v>
      </c>
      <c r="L10">
        <v>218641</v>
      </c>
    </row>
    <row r="11" spans="2:25" x14ac:dyDescent="0.3">
      <c r="B11" t="s">
        <v>52</v>
      </c>
      <c r="C11">
        <v>24920</v>
      </c>
      <c r="D11">
        <v>23135</v>
      </c>
      <c r="E11">
        <v>29102</v>
      </c>
      <c r="F11">
        <v>48055</v>
      </c>
      <c r="G11">
        <v>69314</v>
      </c>
      <c r="H11">
        <v>57084</v>
      </c>
      <c r="I11">
        <v>91430</v>
      </c>
      <c r="J11">
        <v>89678</v>
      </c>
      <c r="K11">
        <v>69638</v>
      </c>
      <c r="L11">
        <v>100351</v>
      </c>
    </row>
    <row r="12" spans="2:25" x14ac:dyDescent="0.3">
      <c r="B12" t="s">
        <v>53</v>
      </c>
      <c r="C12">
        <v>2195</v>
      </c>
      <c r="D12">
        <v>2750</v>
      </c>
      <c r="E12">
        <v>1946</v>
      </c>
      <c r="F12">
        <v>2671</v>
      </c>
      <c r="G12">
        <v>3566</v>
      </c>
      <c r="H12">
        <v>5190</v>
      </c>
      <c r="I12">
        <v>5180</v>
      </c>
      <c r="J12">
        <v>4476</v>
      </c>
      <c r="K12">
        <v>4909</v>
      </c>
      <c r="L12">
        <v>5918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 spans="2:25" x14ac:dyDescent="0.3">
      <c r="B13" s="25" t="s">
        <v>54</v>
      </c>
      <c r="C13" s="25">
        <v>-3786</v>
      </c>
      <c r="D13" s="25">
        <v>-10292</v>
      </c>
      <c r="E13" s="25">
        <v>-52753</v>
      </c>
      <c r="F13" s="25">
        <v>-12067</v>
      </c>
      <c r="G13" s="25">
        <v>-16544</v>
      </c>
      <c r="H13" s="25">
        <v>-52545</v>
      </c>
      <c r="I13" s="25">
        <v>-83745</v>
      </c>
      <c r="J13" s="25">
        <v>-94654</v>
      </c>
      <c r="K13" s="25">
        <v>-24335</v>
      </c>
      <c r="L13" s="25">
        <v>6101</v>
      </c>
      <c r="N13" s="29">
        <f>C13/-C3</f>
        <v>7.210879171110772E-2</v>
      </c>
      <c r="O13" s="29">
        <f t="shared" ref="O13:W13" si="0">D13/-D3</f>
        <v>0.13505852711143773</v>
      </c>
      <c r="P13" s="29">
        <f t="shared" si="0"/>
        <v>0.52156847236091475</v>
      </c>
      <c r="Q13" s="29">
        <f t="shared" si="0"/>
        <v>7.6241683673147029E-2</v>
      </c>
      <c r="R13" s="29">
        <f t="shared" si="0"/>
        <v>6.6105663573957307E-2</v>
      </c>
      <c r="S13" s="29">
        <f t="shared" si="0"/>
        <v>0.13943435479933342</v>
      </c>
      <c r="T13" s="29">
        <f t="shared" si="0"/>
        <v>0.16429898511117083</v>
      </c>
      <c r="U13" s="29">
        <f t="shared" si="0"/>
        <v>0.13196075779776353</v>
      </c>
      <c r="V13" s="29">
        <f t="shared" si="0"/>
        <v>2.852664870783132E-2</v>
      </c>
      <c r="W13" s="29">
        <f t="shared" si="0"/>
        <v>-7.023243124393481E-3</v>
      </c>
      <c r="Y13" s="29">
        <f>AVERAGE(N13:W13)</f>
        <v>0.13282806417222701</v>
      </c>
    </row>
    <row r="14" spans="2:25" x14ac:dyDescent="0.3">
      <c r="B14" t="s">
        <v>55</v>
      </c>
      <c r="C14">
        <v>26511</v>
      </c>
      <c r="D14">
        <v>30677</v>
      </c>
      <c r="E14">
        <v>79909</v>
      </c>
      <c r="F14">
        <v>57451</v>
      </c>
      <c r="G14">
        <v>82292</v>
      </c>
      <c r="H14">
        <v>104439</v>
      </c>
      <c r="I14">
        <v>169995</v>
      </c>
      <c r="J14">
        <v>179856</v>
      </c>
      <c r="K14">
        <v>89064</v>
      </c>
      <c r="L14">
        <v>88332</v>
      </c>
    </row>
    <row r="15" spans="2:25" x14ac:dyDescent="0.3">
      <c r="B15" t="s">
        <v>56</v>
      </c>
      <c r="C15">
        <v>3196</v>
      </c>
      <c r="D15">
        <v>6416</v>
      </c>
      <c r="E15">
        <v>8449</v>
      </c>
      <c r="F15">
        <v>13776</v>
      </c>
      <c r="G15">
        <v>18199</v>
      </c>
      <c r="H15">
        <v>16553</v>
      </c>
      <c r="I15">
        <v>20562</v>
      </c>
      <c r="J15">
        <v>29278</v>
      </c>
      <c r="K15">
        <v>26815</v>
      </c>
      <c r="L15">
        <v>15549</v>
      </c>
      <c r="M15" s="29"/>
      <c r="N15" s="29">
        <f>C15/C3</f>
        <v>6.0871552643608107E-2</v>
      </c>
      <c r="O15" s="29">
        <f t="shared" ref="O15:W15" si="1">D15/D3</f>
        <v>8.4195055377670469E-2</v>
      </c>
      <c r="P15" s="29">
        <f t="shared" si="1"/>
        <v>8.3535192746902895E-2</v>
      </c>
      <c r="Q15" s="29">
        <f t="shared" si="1"/>
        <v>8.7039482413298536E-2</v>
      </c>
      <c r="R15" s="29">
        <f t="shared" si="1"/>
        <v>7.271862738046718E-2</v>
      </c>
      <c r="S15" s="29">
        <f t="shared" si="1"/>
        <v>4.3925337805564103E-2</v>
      </c>
      <c r="T15" s="29">
        <f t="shared" si="1"/>
        <v>4.034050667927512E-2</v>
      </c>
      <c r="U15" s="29">
        <f t="shared" si="1"/>
        <v>4.0817578409818076E-2</v>
      </c>
      <c r="V15" s="29">
        <f t="shared" si="1"/>
        <v>3.1433823098438333E-2</v>
      </c>
      <c r="W15" s="29">
        <f t="shared" si="1"/>
        <v>1.7899427526830724E-2</v>
      </c>
      <c r="Y15" s="29">
        <f>AVERAGE(N15:W15)</f>
        <v>5.627765840818736E-2</v>
      </c>
    </row>
    <row r="16" spans="2:25" x14ac:dyDescent="0.3">
      <c r="B16" t="s">
        <v>57</v>
      </c>
      <c r="C16">
        <v>23315</v>
      </c>
      <c r="D16">
        <v>24261</v>
      </c>
      <c r="E16">
        <v>71460</v>
      </c>
      <c r="F16">
        <v>43675</v>
      </c>
      <c r="G16">
        <v>64093</v>
      </c>
      <c r="H16">
        <v>87886</v>
      </c>
      <c r="I16">
        <v>149433</v>
      </c>
      <c r="J16">
        <v>150578</v>
      </c>
      <c r="K16">
        <v>62249</v>
      </c>
      <c r="L16">
        <v>72783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2:12" x14ac:dyDescent="0.3">
      <c r="B17" t="s">
        <v>58</v>
      </c>
      <c r="C17">
        <v>239</v>
      </c>
      <c r="D17">
        <v>112</v>
      </c>
      <c r="E17">
        <v>0</v>
      </c>
      <c r="F17">
        <v>0</v>
      </c>
      <c r="G17">
        <v>108</v>
      </c>
      <c r="H17">
        <v>286</v>
      </c>
      <c r="I17">
        <v>170</v>
      </c>
      <c r="J17">
        <v>270</v>
      </c>
      <c r="K17">
        <v>290</v>
      </c>
      <c r="L17">
        <v>274</v>
      </c>
    </row>
    <row r="18" spans="2:12" x14ac:dyDescent="0.3">
      <c r="B18" t="s">
        <v>59</v>
      </c>
      <c r="C18">
        <v>23076</v>
      </c>
      <c r="D18">
        <v>24149</v>
      </c>
      <c r="E18">
        <v>71460</v>
      </c>
      <c r="F18">
        <v>43675</v>
      </c>
      <c r="G18">
        <v>63985</v>
      </c>
      <c r="H18">
        <v>87600</v>
      </c>
      <c r="I18">
        <v>149263</v>
      </c>
      <c r="J18">
        <v>150308</v>
      </c>
      <c r="K18">
        <v>61959</v>
      </c>
      <c r="L18">
        <v>72509</v>
      </c>
    </row>
    <row r="19" spans="2:12" x14ac:dyDescent="0.3">
      <c r="B19" t="s">
        <v>60</v>
      </c>
      <c r="C19">
        <v>1.7458</v>
      </c>
      <c r="D19">
        <v>4.65E-2</v>
      </c>
      <c r="E19">
        <v>1.9591000000000001</v>
      </c>
      <c r="F19">
        <v>-0.38879999999999998</v>
      </c>
      <c r="G19">
        <v>0.46500000000000002</v>
      </c>
      <c r="H19">
        <v>0.36909999999999998</v>
      </c>
      <c r="I19">
        <v>0.70389999999999997</v>
      </c>
      <c r="J19">
        <v>7.0000000000000001E-3</v>
      </c>
      <c r="K19">
        <v>-0.58779999999999999</v>
      </c>
      <c r="L19">
        <v>0.17030000000000001</v>
      </c>
    </row>
    <row r="20" spans="2:12" x14ac:dyDescent="0.3">
      <c r="B20" t="s">
        <v>61</v>
      </c>
      <c r="C20">
        <v>17400</v>
      </c>
      <c r="D20">
        <v>18696</v>
      </c>
      <c r="E20">
        <v>19664</v>
      </c>
      <c r="F20">
        <v>19941</v>
      </c>
      <c r="G20">
        <v>20425</v>
      </c>
      <c r="H20">
        <v>20640</v>
      </c>
      <c r="I20">
        <v>21017</v>
      </c>
      <c r="J20">
        <v>21619</v>
      </c>
      <c r="K20">
        <v>21558</v>
      </c>
      <c r="L20">
        <v>20980</v>
      </c>
    </row>
    <row r="21" spans="2:12" x14ac:dyDescent="0.3">
      <c r="B21" t="s">
        <v>62</v>
      </c>
      <c r="C21">
        <v>18656</v>
      </c>
      <c r="D21">
        <v>20000</v>
      </c>
      <c r="E21">
        <v>20496</v>
      </c>
      <c r="F21">
        <v>20579</v>
      </c>
      <c r="G21">
        <v>20881</v>
      </c>
      <c r="H21">
        <v>20988</v>
      </c>
      <c r="I21">
        <v>21346</v>
      </c>
      <c r="J21">
        <v>21982</v>
      </c>
      <c r="K21">
        <v>21787</v>
      </c>
      <c r="L21">
        <v>21114</v>
      </c>
    </row>
    <row r="22" spans="2:12" x14ac:dyDescent="0.3">
      <c r="B22" t="s">
        <v>63</v>
      </c>
      <c r="C22">
        <v>-2.3900000000000001E-2</v>
      </c>
      <c r="D22">
        <v>7.1999999999999995E-2</v>
      </c>
      <c r="E22">
        <v>2.4799999999999999E-2</v>
      </c>
      <c r="F22">
        <v>4.0000000000000001E-3</v>
      </c>
      <c r="G22">
        <v>1.47E-2</v>
      </c>
      <c r="H22">
        <v>5.1000000000000004E-3</v>
      </c>
      <c r="I22">
        <v>1.7100000000000001E-2</v>
      </c>
      <c r="J22">
        <v>2.98E-2</v>
      </c>
      <c r="K22">
        <v>-8.8999999999999999E-3</v>
      </c>
      <c r="L22">
        <v>-3.09E-2</v>
      </c>
    </row>
    <row r="23" spans="2:12" x14ac:dyDescent="0.3">
      <c r="B23" t="s">
        <v>64</v>
      </c>
      <c r="C23">
        <v>10.61</v>
      </c>
      <c r="D23">
        <v>10.33</v>
      </c>
      <c r="E23">
        <v>29.07</v>
      </c>
      <c r="F23">
        <v>17.52</v>
      </c>
      <c r="G23">
        <v>25.04</v>
      </c>
      <c r="H23">
        <v>33.92</v>
      </c>
      <c r="I23">
        <v>56.8</v>
      </c>
      <c r="J23">
        <v>55.6</v>
      </c>
      <c r="K23">
        <v>22.96</v>
      </c>
      <c r="L23">
        <v>27.68</v>
      </c>
    </row>
    <row r="24" spans="2:12" x14ac:dyDescent="0.3">
      <c r="B24" t="s">
        <v>65</v>
      </c>
      <c r="C24">
        <v>10</v>
      </c>
      <c r="D24">
        <v>9.6999999999999993</v>
      </c>
      <c r="E24">
        <v>27.89</v>
      </c>
      <c r="F24">
        <v>16.96</v>
      </c>
      <c r="G24">
        <v>24.48</v>
      </c>
      <c r="H24">
        <v>33.36</v>
      </c>
      <c r="I24">
        <v>55.92</v>
      </c>
      <c r="J24">
        <v>54.72</v>
      </c>
      <c r="K24">
        <v>22.72</v>
      </c>
      <c r="L24">
        <v>27.44</v>
      </c>
    </row>
    <row r="25" spans="2:12" x14ac:dyDescent="0.3">
      <c r="B25" t="s">
        <v>66</v>
      </c>
      <c r="C25">
        <v>1.8010999999999999</v>
      </c>
      <c r="D25">
        <v>-0.03</v>
      </c>
      <c r="E25">
        <v>1.8753</v>
      </c>
      <c r="F25">
        <v>-0.39190000000000003</v>
      </c>
      <c r="G25">
        <v>0.44340000000000002</v>
      </c>
      <c r="H25">
        <v>0.36270000000000002</v>
      </c>
      <c r="I25">
        <v>0.67630000000000001</v>
      </c>
      <c r="J25">
        <v>-2.1499999999999998E-2</v>
      </c>
      <c r="K25">
        <v>-0.58479999999999999</v>
      </c>
      <c r="L25">
        <v>0.2077</v>
      </c>
    </row>
    <row r="26" spans="2:12" x14ac:dyDescent="0.3">
      <c r="B26" t="s">
        <v>67</v>
      </c>
      <c r="C26">
        <v>21603</v>
      </c>
      <c r="D26">
        <v>33512</v>
      </c>
      <c r="E26">
        <v>45991</v>
      </c>
      <c r="F26">
        <v>71848</v>
      </c>
      <c r="G26">
        <v>106177</v>
      </c>
      <c r="H26">
        <v>101332</v>
      </c>
      <c r="I26">
        <v>147869</v>
      </c>
      <c r="J26">
        <v>190705</v>
      </c>
      <c r="K26">
        <v>89450</v>
      </c>
      <c r="L26">
        <v>166066</v>
      </c>
    </row>
    <row r="27" spans="2:12" x14ac:dyDescent="0.3">
      <c r="B27" t="s">
        <v>68</v>
      </c>
      <c r="C27">
        <v>9.93</v>
      </c>
      <c r="D27">
        <v>14.34</v>
      </c>
      <c r="E27">
        <v>18.71</v>
      </c>
      <c r="F27">
        <v>28.82</v>
      </c>
      <c r="G27">
        <v>41.59</v>
      </c>
      <c r="H27">
        <v>39.28</v>
      </c>
      <c r="I27">
        <v>56.28</v>
      </c>
      <c r="J27">
        <v>70.569999999999993</v>
      </c>
      <c r="K27">
        <v>33.19</v>
      </c>
      <c r="L27">
        <v>63.32</v>
      </c>
    </row>
    <row r="28" spans="2:12" x14ac:dyDescent="0.3">
      <c r="B28" t="s">
        <v>69</v>
      </c>
      <c r="C28">
        <v>0.74539999999999995</v>
      </c>
      <c r="D28">
        <v>0.68720000000000003</v>
      </c>
      <c r="E28">
        <v>0.6603</v>
      </c>
      <c r="F28">
        <v>0.62419999999999998</v>
      </c>
      <c r="G28">
        <v>0.57230000000000003</v>
      </c>
      <c r="H28">
        <v>0.45090000000000002</v>
      </c>
      <c r="I28">
        <v>0.44600000000000001</v>
      </c>
      <c r="J28">
        <v>0.4128</v>
      </c>
      <c r="K28">
        <v>0.36759999999999998</v>
      </c>
      <c r="L28">
        <v>0.36720000000000003</v>
      </c>
    </row>
    <row r="29" spans="2:12" x14ac:dyDescent="0.3">
      <c r="B29" t="s">
        <v>70</v>
      </c>
      <c r="C29">
        <v>0.47460000000000002</v>
      </c>
      <c r="D29">
        <v>0.30359999999999998</v>
      </c>
      <c r="E29">
        <v>0.28770000000000001</v>
      </c>
      <c r="F29">
        <v>0.30359999999999998</v>
      </c>
      <c r="G29">
        <v>0.27700000000000002</v>
      </c>
      <c r="H29">
        <v>0.1515</v>
      </c>
      <c r="I29">
        <v>0.1794</v>
      </c>
      <c r="J29">
        <v>0.125</v>
      </c>
      <c r="K29">
        <v>8.1600000000000006E-2</v>
      </c>
      <c r="L29">
        <v>0.11550000000000001</v>
      </c>
    </row>
    <row r="30" spans="2:12" x14ac:dyDescent="0.3">
      <c r="B30" t="s">
        <v>71</v>
      </c>
      <c r="C30">
        <v>0.4395</v>
      </c>
      <c r="D30">
        <v>0.31690000000000002</v>
      </c>
      <c r="E30">
        <v>0.70650000000000002</v>
      </c>
      <c r="F30">
        <v>0.27589999999999998</v>
      </c>
      <c r="G30">
        <v>0.25569999999999998</v>
      </c>
      <c r="H30">
        <v>0.23250000000000001</v>
      </c>
      <c r="I30">
        <v>0.2928</v>
      </c>
      <c r="J30">
        <v>0.20960000000000001</v>
      </c>
      <c r="K30">
        <v>7.2599999999999998E-2</v>
      </c>
      <c r="L30">
        <v>8.3500000000000005E-2</v>
      </c>
    </row>
    <row r="31" spans="2:12" x14ac:dyDescent="0.3">
      <c r="B31" t="s">
        <v>72</v>
      </c>
      <c r="C31">
        <v>0.41149999999999998</v>
      </c>
      <c r="D31">
        <v>0.43980000000000002</v>
      </c>
      <c r="E31">
        <v>0.45469999999999999</v>
      </c>
      <c r="F31">
        <v>0.45390000000000003</v>
      </c>
      <c r="G31">
        <v>0.42430000000000001</v>
      </c>
      <c r="H31">
        <v>0.26889999999999997</v>
      </c>
      <c r="I31">
        <v>0.29010000000000002</v>
      </c>
      <c r="J31">
        <v>0.26590000000000003</v>
      </c>
      <c r="K31">
        <v>0.10489999999999999</v>
      </c>
      <c r="L31">
        <v>0.19120000000000001</v>
      </c>
    </row>
    <row r="32" spans="2:12" x14ac:dyDescent="0.3">
      <c r="B32" t="s">
        <v>73</v>
      </c>
      <c r="C32">
        <v>0.1206</v>
      </c>
      <c r="D32">
        <v>0.20910000000000001</v>
      </c>
      <c r="E32">
        <v>0.1057</v>
      </c>
      <c r="F32">
        <v>0.23980000000000001</v>
      </c>
      <c r="G32">
        <v>0.22120000000000001</v>
      </c>
      <c r="H32">
        <v>0.1585</v>
      </c>
      <c r="I32">
        <v>0.121</v>
      </c>
      <c r="J32">
        <v>0.1628</v>
      </c>
      <c r="K32">
        <v>0.30109999999999998</v>
      </c>
      <c r="L32">
        <v>0.17599999999999999</v>
      </c>
    </row>
    <row r="33" spans="2:14" x14ac:dyDescent="0.3">
      <c r="B33" t="s">
        <v>74</v>
      </c>
      <c r="C33">
        <v>30360</v>
      </c>
      <c r="D33">
        <v>37926</v>
      </c>
      <c r="E33">
        <v>88903</v>
      </c>
      <c r="F33">
        <v>74414</v>
      </c>
      <c r="G33">
        <v>107878</v>
      </c>
      <c r="H33">
        <v>146709</v>
      </c>
      <c r="I33">
        <v>217602</v>
      </c>
      <c r="J33">
        <v>232241</v>
      </c>
      <c r="K33">
        <v>142038</v>
      </c>
      <c r="L33">
        <v>141188</v>
      </c>
    </row>
    <row r="34" spans="2:14" x14ac:dyDescent="0.3">
      <c r="B34" t="s">
        <v>75</v>
      </c>
      <c r="C34">
        <v>0.57820000000000005</v>
      </c>
      <c r="D34">
        <v>0.49769999999999998</v>
      </c>
      <c r="E34">
        <v>0.879</v>
      </c>
      <c r="F34">
        <v>0.47020000000000001</v>
      </c>
      <c r="G34">
        <v>0.43109999999999998</v>
      </c>
      <c r="H34">
        <v>0.38929999999999998</v>
      </c>
      <c r="I34">
        <v>0.4269</v>
      </c>
      <c r="J34">
        <v>0.32379999999999998</v>
      </c>
      <c r="K34">
        <v>0.16650000000000001</v>
      </c>
      <c r="L34">
        <v>0.16250000000000001</v>
      </c>
    </row>
    <row r="35" spans="2:14" x14ac:dyDescent="0.3">
      <c r="B35" s="25" t="s">
        <v>76</v>
      </c>
      <c r="C35" s="25">
        <v>1654</v>
      </c>
      <c r="D35" s="25">
        <v>4499</v>
      </c>
      <c r="E35" s="25">
        <v>7048</v>
      </c>
      <c r="F35" s="25">
        <v>14292</v>
      </c>
      <c r="G35" s="25">
        <v>22020</v>
      </c>
      <c r="H35" s="25">
        <v>37080</v>
      </c>
      <c r="I35" s="25">
        <v>42427</v>
      </c>
      <c r="J35" s="25">
        <v>47909</v>
      </c>
      <c r="K35" s="25">
        <v>48065</v>
      </c>
      <c r="L35" s="25">
        <v>46938</v>
      </c>
    </row>
    <row r="36" spans="2:14" x14ac:dyDescent="0.3">
      <c r="B36" t="s">
        <v>25</v>
      </c>
      <c r="C36">
        <v>28706</v>
      </c>
      <c r="D36">
        <v>33427</v>
      </c>
      <c r="E36">
        <v>81855</v>
      </c>
      <c r="F36">
        <v>60122</v>
      </c>
      <c r="G36">
        <v>85858</v>
      </c>
      <c r="H36">
        <v>109629</v>
      </c>
      <c r="I36">
        <v>175175</v>
      </c>
      <c r="J36">
        <v>184332</v>
      </c>
      <c r="K36">
        <v>93973</v>
      </c>
      <c r="L36">
        <v>94250</v>
      </c>
    </row>
    <row r="37" spans="2:14" x14ac:dyDescent="0.3">
      <c r="B37" t="s">
        <v>20</v>
      </c>
      <c r="C37">
        <v>0.54669999999999996</v>
      </c>
      <c r="D37">
        <v>0.43869999999999998</v>
      </c>
      <c r="E37">
        <v>0.80930000000000002</v>
      </c>
      <c r="F37">
        <v>0.37990000000000002</v>
      </c>
      <c r="G37">
        <v>0.34310000000000002</v>
      </c>
      <c r="H37">
        <v>0.29089999999999999</v>
      </c>
      <c r="I37">
        <v>0.34370000000000001</v>
      </c>
      <c r="J37">
        <v>0.25700000000000001</v>
      </c>
      <c r="K37">
        <v>0.11020000000000001</v>
      </c>
      <c r="L37">
        <v>0.1085</v>
      </c>
      <c r="N37">
        <f>MEDIAN(Table_0[[#This Row],[2013]:[2022]])</f>
        <v>0.34340000000000004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5742-B317-4329-848D-0387D778BA83}">
  <sheetPr>
    <tabColor theme="7" tint="0.79998168889431442"/>
  </sheetPr>
  <dimension ref="B2:L36"/>
  <sheetViews>
    <sheetView topLeftCell="A12" workbookViewId="0">
      <selection activeCell="I33" sqref="I33"/>
    </sheetView>
  </sheetViews>
  <sheetFormatPr defaultRowHeight="14.4" x14ac:dyDescent="0.3"/>
  <cols>
    <col min="2" max="2" width="24.21875" bestFit="1" customWidth="1"/>
  </cols>
  <sheetData>
    <row r="2" spans="2:12" x14ac:dyDescent="0.3">
      <c r="B2" t="s">
        <v>34</v>
      </c>
      <c r="C2" t="s">
        <v>44</v>
      </c>
      <c r="D2" t="s">
        <v>43</v>
      </c>
      <c r="E2" t="s">
        <v>42</v>
      </c>
      <c r="F2" t="s">
        <v>41</v>
      </c>
      <c r="G2" t="s">
        <v>40</v>
      </c>
      <c r="H2" t="s">
        <v>39</v>
      </c>
      <c r="I2" t="s">
        <v>38</v>
      </c>
      <c r="J2" t="s">
        <v>37</v>
      </c>
      <c r="K2" t="s">
        <v>36</v>
      </c>
      <c r="L2" s="19" t="s">
        <v>35</v>
      </c>
    </row>
    <row r="3" spans="2:12" x14ac:dyDescent="0.3">
      <c r="B3" t="s">
        <v>77</v>
      </c>
      <c r="C3">
        <v>33045</v>
      </c>
      <c r="D3">
        <v>110490</v>
      </c>
      <c r="E3">
        <v>106818</v>
      </c>
      <c r="F3">
        <v>143736</v>
      </c>
      <c r="G3">
        <v>199309</v>
      </c>
      <c r="H3">
        <v>189976</v>
      </c>
      <c r="I3">
        <v>330503</v>
      </c>
      <c r="J3">
        <v>321262</v>
      </c>
      <c r="K3">
        <v>189898</v>
      </c>
      <c r="L3" s="20">
        <v>193086</v>
      </c>
    </row>
    <row r="4" spans="2:12" x14ac:dyDescent="0.3">
      <c r="B4" t="s">
        <v>78</v>
      </c>
      <c r="C4">
        <v>25188</v>
      </c>
      <c r="D4">
        <v>17806</v>
      </c>
      <c r="E4">
        <v>8878</v>
      </c>
      <c r="F4">
        <v>7065</v>
      </c>
      <c r="G4">
        <v>10901</v>
      </c>
      <c r="H4">
        <v>13189</v>
      </c>
      <c r="I4">
        <v>32712</v>
      </c>
      <c r="J4">
        <v>162183</v>
      </c>
      <c r="K4">
        <v>265187</v>
      </c>
      <c r="L4" s="21">
        <v>331384</v>
      </c>
    </row>
    <row r="5" spans="2:12" x14ac:dyDescent="0.3">
      <c r="B5" t="s">
        <v>79</v>
      </c>
      <c r="C5">
        <v>58233</v>
      </c>
      <c r="D5">
        <v>128296</v>
      </c>
      <c r="E5">
        <v>115696</v>
      </c>
      <c r="F5">
        <v>150801</v>
      </c>
      <c r="G5">
        <v>210210</v>
      </c>
      <c r="H5">
        <v>203165</v>
      </c>
      <c r="I5">
        <v>363215</v>
      </c>
      <c r="J5">
        <v>483445</v>
      </c>
      <c r="K5">
        <v>455085</v>
      </c>
      <c r="L5" s="20">
        <v>524470</v>
      </c>
    </row>
    <row r="6" spans="2:12" x14ac:dyDescent="0.3">
      <c r="B6" t="s">
        <v>80</v>
      </c>
      <c r="C6">
        <v>0.54300000000000004</v>
      </c>
      <c r="D6">
        <v>1.2031000000000001</v>
      </c>
      <c r="E6">
        <v>-9.8199999999999996E-2</v>
      </c>
      <c r="F6">
        <v>0.3034</v>
      </c>
      <c r="G6">
        <v>0.39400000000000002</v>
      </c>
      <c r="H6">
        <v>-3.3500000000000002E-2</v>
      </c>
      <c r="I6">
        <v>0.78779999999999994</v>
      </c>
      <c r="J6">
        <v>0.33100000000000002</v>
      </c>
      <c r="K6">
        <v>-5.8700000000000002E-2</v>
      </c>
      <c r="L6" s="21">
        <v>0.1525</v>
      </c>
    </row>
    <row r="7" spans="2:12" x14ac:dyDescent="0.3">
      <c r="B7" t="s">
        <v>81</v>
      </c>
      <c r="C7">
        <v>6766</v>
      </c>
      <c r="D7">
        <v>17898</v>
      </c>
      <c r="E7">
        <v>22830</v>
      </c>
      <c r="F7">
        <v>37111</v>
      </c>
      <c r="G7">
        <v>69502</v>
      </c>
      <c r="H7">
        <v>86608</v>
      </c>
      <c r="I7">
        <v>142214</v>
      </c>
      <c r="J7">
        <v>223140</v>
      </c>
      <c r="K7">
        <v>259142</v>
      </c>
      <c r="L7" s="20">
        <v>247998</v>
      </c>
    </row>
    <row r="8" spans="2:12" x14ac:dyDescent="0.3">
      <c r="B8" t="s">
        <v>82</v>
      </c>
      <c r="C8">
        <v>2834</v>
      </c>
      <c r="D8">
        <v>-4085</v>
      </c>
      <c r="E8">
        <v>-4942</v>
      </c>
      <c r="F8">
        <v>-6048</v>
      </c>
      <c r="G8">
        <v>-22857</v>
      </c>
      <c r="H8">
        <v>-19500</v>
      </c>
      <c r="I8">
        <v>-42506</v>
      </c>
      <c r="J8">
        <v>-63225</v>
      </c>
      <c r="K8">
        <v>-75692</v>
      </c>
      <c r="L8" s="21">
        <v>-74502</v>
      </c>
    </row>
    <row r="9" spans="2:12" x14ac:dyDescent="0.3">
      <c r="B9" t="s">
        <v>83</v>
      </c>
      <c r="C9">
        <v>67833</v>
      </c>
      <c r="D9">
        <v>142109</v>
      </c>
      <c r="E9">
        <v>133584</v>
      </c>
      <c r="F9">
        <v>181864</v>
      </c>
      <c r="G9">
        <v>256855</v>
      </c>
      <c r="H9">
        <v>270273</v>
      </c>
      <c r="I9">
        <v>462923</v>
      </c>
      <c r="J9">
        <v>643360</v>
      </c>
      <c r="K9">
        <v>638535</v>
      </c>
      <c r="L9" s="20">
        <v>697966</v>
      </c>
    </row>
    <row r="10" spans="2:12" x14ac:dyDescent="0.3">
      <c r="B10" t="s">
        <v>84</v>
      </c>
      <c r="C10">
        <v>5581</v>
      </c>
      <c r="D10">
        <v>9139</v>
      </c>
      <c r="E10">
        <v>13629</v>
      </c>
      <c r="F10">
        <v>20206</v>
      </c>
      <c r="G10">
        <v>66489</v>
      </c>
      <c r="H10">
        <v>92030</v>
      </c>
      <c r="I10">
        <v>103387</v>
      </c>
      <c r="J10">
        <v>147412</v>
      </c>
      <c r="K10">
        <v>171806</v>
      </c>
      <c r="L10" s="21">
        <v>176031</v>
      </c>
    </row>
    <row r="11" spans="2:12" x14ac:dyDescent="0.3">
      <c r="B11" t="s">
        <v>85</v>
      </c>
      <c r="C11">
        <v>20689</v>
      </c>
      <c r="D11">
        <v>48488</v>
      </c>
      <c r="E11">
        <v>120853</v>
      </c>
      <c r="F11">
        <v>151820</v>
      </c>
      <c r="G11">
        <v>177892</v>
      </c>
      <c r="H11">
        <v>241544</v>
      </c>
      <c r="I11">
        <v>350961</v>
      </c>
      <c r="J11">
        <v>437410</v>
      </c>
      <c r="K11">
        <v>443253</v>
      </c>
      <c r="L11" s="20">
        <v>453117</v>
      </c>
    </row>
    <row r="12" spans="2:12" x14ac:dyDescent="0.3">
      <c r="B12" t="s">
        <v>86</v>
      </c>
      <c r="C12">
        <v>15359</v>
      </c>
      <c r="D12">
        <v>51613</v>
      </c>
      <c r="E12">
        <v>89891</v>
      </c>
      <c r="F12">
        <v>144219</v>
      </c>
      <c r="G12">
        <v>189614</v>
      </c>
      <c r="H12">
        <v>333211</v>
      </c>
      <c r="I12">
        <v>337729</v>
      </c>
      <c r="J12">
        <v>363604</v>
      </c>
      <c r="K12">
        <v>328812</v>
      </c>
      <c r="L12" s="21">
        <v>315004</v>
      </c>
    </row>
    <row r="13" spans="2:12" x14ac:dyDescent="0.3">
      <c r="B13" t="s">
        <v>87</v>
      </c>
      <c r="C13">
        <v>2087</v>
      </c>
      <c r="D13">
        <v>4085</v>
      </c>
      <c r="E13">
        <v>6288</v>
      </c>
      <c r="F13">
        <v>8703</v>
      </c>
      <c r="G13">
        <v>26274</v>
      </c>
      <c r="H13">
        <v>28018</v>
      </c>
      <c r="I13">
        <v>57985</v>
      </c>
      <c r="J13">
        <v>98432</v>
      </c>
      <c r="K13">
        <v>113147</v>
      </c>
      <c r="L13" s="20">
        <v>110926</v>
      </c>
    </row>
    <row r="14" spans="2:12" x14ac:dyDescent="0.3">
      <c r="B14" t="s">
        <v>88</v>
      </c>
      <c r="C14">
        <v>43716</v>
      </c>
      <c r="D14">
        <v>113325</v>
      </c>
      <c r="E14">
        <v>230661</v>
      </c>
      <c r="F14">
        <v>324948</v>
      </c>
      <c r="G14">
        <v>460269</v>
      </c>
      <c r="H14">
        <v>694803</v>
      </c>
      <c r="I14">
        <v>850062</v>
      </c>
      <c r="J14">
        <v>1046858</v>
      </c>
      <c r="K14">
        <v>1057018</v>
      </c>
      <c r="L14" s="21">
        <v>1055078</v>
      </c>
    </row>
    <row r="15" spans="2:12" x14ac:dyDescent="0.3">
      <c r="B15" t="s">
        <v>89</v>
      </c>
      <c r="C15">
        <v>111549</v>
      </c>
      <c r="D15">
        <v>255434</v>
      </c>
      <c r="E15">
        <v>364245</v>
      </c>
      <c r="F15">
        <v>506812</v>
      </c>
      <c r="G15">
        <v>717124</v>
      </c>
      <c r="H15">
        <v>965076</v>
      </c>
      <c r="I15">
        <v>1312985</v>
      </c>
      <c r="J15">
        <v>1690218</v>
      </c>
      <c r="K15">
        <v>1695553</v>
      </c>
      <c r="L15" s="20">
        <v>1753044</v>
      </c>
    </row>
    <row r="16" spans="2:12" x14ac:dyDescent="0.3">
      <c r="B16" t="s">
        <v>90</v>
      </c>
      <c r="C16">
        <v>6924</v>
      </c>
      <c r="D16">
        <v>8359</v>
      </c>
      <c r="E16">
        <v>10715</v>
      </c>
      <c r="F16">
        <v>15693</v>
      </c>
      <c r="G16">
        <v>23290</v>
      </c>
      <c r="H16">
        <v>32262</v>
      </c>
      <c r="I16">
        <v>40363</v>
      </c>
      <c r="J16">
        <v>65647</v>
      </c>
      <c r="K16">
        <v>70473</v>
      </c>
      <c r="L16" s="21">
        <v>74855</v>
      </c>
    </row>
    <row r="17" spans="2:12" x14ac:dyDescent="0.3">
      <c r="B17" t="s">
        <v>91</v>
      </c>
      <c r="C17">
        <v>10364</v>
      </c>
      <c r="D17">
        <v>1990</v>
      </c>
      <c r="E17">
        <v>4304</v>
      </c>
      <c r="F17">
        <v>14897</v>
      </c>
      <c r="G17">
        <v>6028</v>
      </c>
      <c r="H17">
        <v>22466</v>
      </c>
      <c r="I17">
        <v>5154</v>
      </c>
      <c r="J17">
        <v>13437</v>
      </c>
      <c r="K17">
        <v>8841</v>
      </c>
      <c r="L17" s="20">
        <v>12266</v>
      </c>
    </row>
    <row r="18" spans="2:12" x14ac:dyDescent="0.3">
      <c r="B18" t="s">
        <v>92</v>
      </c>
      <c r="C18">
        <v>20096</v>
      </c>
      <c r="D18">
        <v>29323</v>
      </c>
      <c r="E18">
        <v>37011</v>
      </c>
      <c r="F18">
        <v>62974</v>
      </c>
      <c r="G18">
        <v>106492</v>
      </c>
      <c r="H18">
        <v>152941</v>
      </c>
      <c r="I18">
        <v>196355</v>
      </c>
      <c r="J18">
        <v>298274</v>
      </c>
      <c r="K18">
        <v>304470</v>
      </c>
      <c r="L18" s="21">
        <v>298230</v>
      </c>
    </row>
    <row r="19" spans="2:12" x14ac:dyDescent="0.3">
      <c r="B19" t="s">
        <v>93</v>
      </c>
      <c r="C19">
        <v>37384</v>
      </c>
      <c r="D19">
        <v>39672</v>
      </c>
      <c r="E19">
        <v>52030</v>
      </c>
      <c r="F19">
        <v>93564</v>
      </c>
      <c r="G19">
        <v>135810</v>
      </c>
      <c r="H19">
        <v>207669</v>
      </c>
      <c r="I19">
        <v>241872</v>
      </c>
      <c r="J19">
        <v>377358</v>
      </c>
      <c r="K19">
        <v>383784</v>
      </c>
      <c r="L19" s="20">
        <v>385351</v>
      </c>
    </row>
    <row r="20" spans="2:12" x14ac:dyDescent="0.3">
      <c r="B20" t="s">
        <v>94</v>
      </c>
      <c r="C20">
        <v>30711</v>
      </c>
      <c r="D20">
        <v>50603</v>
      </c>
      <c r="E20">
        <v>53262</v>
      </c>
      <c r="F20">
        <v>76835</v>
      </c>
      <c r="G20">
        <v>119525</v>
      </c>
      <c r="H20">
        <v>111834</v>
      </c>
      <c r="I20">
        <v>120276</v>
      </c>
      <c r="J20">
        <v>135716</v>
      </c>
      <c r="K20">
        <v>132503</v>
      </c>
      <c r="L20" s="21">
        <v>149088</v>
      </c>
    </row>
    <row r="21" spans="2:12" x14ac:dyDescent="0.3">
      <c r="B21" t="s">
        <v>95</v>
      </c>
      <c r="C21">
        <v>2636</v>
      </c>
      <c r="D21">
        <v>7088</v>
      </c>
      <c r="E21">
        <v>9064</v>
      </c>
      <c r="F21">
        <v>12292</v>
      </c>
      <c r="G21">
        <v>22350</v>
      </c>
      <c r="H21">
        <v>30171</v>
      </c>
      <c r="I21">
        <v>71186</v>
      </c>
      <c r="J21">
        <v>93510</v>
      </c>
      <c r="K21">
        <v>97073</v>
      </c>
      <c r="L21" s="20">
        <v>95684</v>
      </c>
    </row>
    <row r="22" spans="2:12" x14ac:dyDescent="0.3">
      <c r="B22" t="s">
        <v>96</v>
      </c>
      <c r="C22">
        <v>33347</v>
      </c>
      <c r="D22">
        <v>57691</v>
      </c>
      <c r="E22">
        <v>62326</v>
      </c>
      <c r="F22">
        <v>89127</v>
      </c>
      <c r="G22">
        <v>141875</v>
      </c>
      <c r="H22">
        <v>142005</v>
      </c>
      <c r="I22">
        <v>191462</v>
      </c>
      <c r="J22">
        <v>229226</v>
      </c>
      <c r="K22">
        <v>229576</v>
      </c>
      <c r="L22" s="21">
        <v>244772</v>
      </c>
    </row>
    <row r="23" spans="2:12" x14ac:dyDescent="0.3">
      <c r="B23" t="s">
        <v>97</v>
      </c>
      <c r="C23">
        <v>70731</v>
      </c>
      <c r="D23">
        <v>97363</v>
      </c>
      <c r="E23">
        <v>114356</v>
      </c>
      <c r="F23">
        <v>182691</v>
      </c>
      <c r="G23">
        <v>277685</v>
      </c>
      <c r="H23">
        <v>349674</v>
      </c>
      <c r="I23">
        <v>433334</v>
      </c>
      <c r="J23">
        <v>606584</v>
      </c>
      <c r="K23">
        <v>613360</v>
      </c>
      <c r="L23" s="20">
        <v>630123</v>
      </c>
    </row>
    <row r="24" spans="2:12" x14ac:dyDescent="0.3">
      <c r="B24" t="s">
        <v>98</v>
      </c>
      <c r="C24">
        <v>41075</v>
      </c>
      <c r="D24">
        <v>52593</v>
      </c>
      <c r="E24">
        <v>57566</v>
      </c>
      <c r="F24">
        <v>91732</v>
      </c>
      <c r="G24">
        <v>125553</v>
      </c>
      <c r="H24">
        <v>134300</v>
      </c>
      <c r="I24">
        <v>125430</v>
      </c>
      <c r="J24">
        <v>149153</v>
      </c>
      <c r="K24">
        <v>141344</v>
      </c>
      <c r="L24" s="21">
        <v>161354</v>
      </c>
    </row>
    <row r="25" spans="2:12" x14ac:dyDescent="0.3">
      <c r="B25" t="s">
        <v>99</v>
      </c>
      <c r="C25">
        <v>0.47170000000000001</v>
      </c>
      <c r="D25">
        <v>0.28039999999999998</v>
      </c>
      <c r="E25">
        <v>9.4600000000000004E-2</v>
      </c>
      <c r="F25">
        <v>0.59350000000000003</v>
      </c>
      <c r="G25">
        <v>0.36870000000000003</v>
      </c>
      <c r="H25">
        <v>6.9699999999999998E-2</v>
      </c>
      <c r="I25">
        <v>-6.6000000000000003E-2</v>
      </c>
      <c r="J25">
        <v>0.18909999999999999</v>
      </c>
      <c r="K25">
        <v>-5.2400000000000002E-2</v>
      </c>
      <c r="L25" s="20">
        <v>0.1416</v>
      </c>
    </row>
    <row r="26" spans="2:12" x14ac:dyDescent="0.3">
      <c r="B26" t="s">
        <v>100</v>
      </c>
      <c r="C26">
        <v>28978</v>
      </c>
      <c r="D26">
        <v>118295</v>
      </c>
      <c r="E26">
        <v>134391</v>
      </c>
      <c r="F26">
        <v>165156</v>
      </c>
      <c r="G26">
        <v>188386</v>
      </c>
      <c r="H26">
        <v>236706</v>
      </c>
      <c r="I26">
        <v>349757</v>
      </c>
      <c r="J26">
        <v>401609</v>
      </c>
      <c r="K26">
        <v>418079</v>
      </c>
      <c r="L26" s="21">
        <v>401046</v>
      </c>
    </row>
    <row r="27" spans="2:12" x14ac:dyDescent="0.3">
      <c r="B27" t="s">
        <v>101</v>
      </c>
      <c r="C27">
        <v>1183</v>
      </c>
      <c r="D27">
        <v>24842</v>
      </c>
      <c r="E27">
        <v>78752</v>
      </c>
      <c r="F27">
        <v>108558</v>
      </c>
      <c r="G27">
        <v>172353</v>
      </c>
      <c r="H27">
        <v>257886</v>
      </c>
      <c r="I27">
        <v>406287</v>
      </c>
      <c r="J27">
        <v>554924</v>
      </c>
      <c r="K27">
        <v>563557</v>
      </c>
      <c r="L27" s="20">
        <v>599028</v>
      </c>
    </row>
    <row r="28" spans="2:12" x14ac:dyDescent="0.3">
      <c r="B28" t="s">
        <v>102</v>
      </c>
      <c r="C28">
        <v>-823</v>
      </c>
      <c r="D28">
        <v>2302</v>
      </c>
      <c r="E28">
        <v>3844</v>
      </c>
      <c r="F28">
        <v>5085</v>
      </c>
      <c r="G28">
        <v>5083</v>
      </c>
      <c r="H28">
        <v>-2335</v>
      </c>
      <c r="I28">
        <v>-643</v>
      </c>
      <c r="J28">
        <v>-19063</v>
      </c>
      <c r="K28">
        <v>-33157</v>
      </c>
      <c r="L28" s="21">
        <v>-10417</v>
      </c>
    </row>
    <row r="29" spans="2:12" x14ac:dyDescent="0.3">
      <c r="B29" t="s">
        <v>103</v>
      </c>
      <c r="C29">
        <v>29338</v>
      </c>
      <c r="D29">
        <v>145439</v>
      </c>
      <c r="E29">
        <v>216987</v>
      </c>
      <c r="F29">
        <v>278799</v>
      </c>
      <c r="G29">
        <v>365822</v>
      </c>
      <c r="H29">
        <v>492257</v>
      </c>
      <c r="I29">
        <v>755401</v>
      </c>
      <c r="J29">
        <v>937470</v>
      </c>
      <c r="K29">
        <v>948479</v>
      </c>
      <c r="L29" s="20">
        <v>989657</v>
      </c>
    </row>
    <row r="30" spans="2:12" x14ac:dyDescent="0.3">
      <c r="B30" t="s">
        <v>104</v>
      </c>
      <c r="C30">
        <v>17158</v>
      </c>
      <c r="D30">
        <v>75703</v>
      </c>
      <c r="E30">
        <v>58130</v>
      </c>
      <c r="F30">
        <v>59069</v>
      </c>
      <c r="G30">
        <v>84657</v>
      </c>
      <c r="H30">
        <v>68865</v>
      </c>
      <c r="I30">
        <v>237785</v>
      </c>
      <c r="J30">
        <v>334292</v>
      </c>
      <c r="K30">
        <v>313741</v>
      </c>
      <c r="L30" s="21">
        <v>363116</v>
      </c>
    </row>
    <row r="31" spans="2:12" x14ac:dyDescent="0.3">
      <c r="B31" t="s">
        <v>105</v>
      </c>
      <c r="C31">
        <v>0.74529999999999996</v>
      </c>
      <c r="D31">
        <v>3.4121000000000001</v>
      </c>
      <c r="E31">
        <v>-0.2321</v>
      </c>
      <c r="F31">
        <v>1.6199999999999999E-2</v>
      </c>
      <c r="G31">
        <v>0.43319999999999997</v>
      </c>
      <c r="H31">
        <v>-0.1865</v>
      </c>
      <c r="I31">
        <v>2.4529000000000001</v>
      </c>
      <c r="J31">
        <v>0.40589999999999998</v>
      </c>
      <c r="K31">
        <v>-6.1499999999999999E-2</v>
      </c>
      <c r="L31" s="20">
        <v>0.15740000000000001</v>
      </c>
    </row>
    <row r="32" spans="2:12" x14ac:dyDescent="0.3">
      <c r="B32" t="s">
        <v>106</v>
      </c>
      <c r="C32">
        <v>0.92</v>
      </c>
      <c r="D32">
        <v>3.79</v>
      </c>
      <c r="E32">
        <v>2.84</v>
      </c>
      <c r="F32">
        <v>2.87</v>
      </c>
      <c r="G32">
        <v>4.05</v>
      </c>
      <c r="H32">
        <v>3.28</v>
      </c>
      <c r="I32">
        <v>11.14</v>
      </c>
      <c r="J32">
        <v>15.21</v>
      </c>
      <c r="K32">
        <v>14.4</v>
      </c>
      <c r="L32" s="21">
        <v>17.2</v>
      </c>
    </row>
    <row r="33" spans="2:12" x14ac:dyDescent="0.3">
      <c r="B33" t="s">
        <v>107</v>
      </c>
      <c r="C33">
        <v>30449</v>
      </c>
      <c r="D33">
        <v>102437</v>
      </c>
      <c r="E33">
        <v>81554</v>
      </c>
      <c r="F33">
        <v>88300</v>
      </c>
      <c r="G33">
        <v>121045</v>
      </c>
      <c r="H33">
        <v>62604</v>
      </c>
      <c r="I33">
        <v>221051</v>
      </c>
      <c r="J33">
        <v>266002</v>
      </c>
      <c r="K33">
        <v>254751</v>
      </c>
      <c r="L33" s="20">
        <v>312615</v>
      </c>
    </row>
    <row r="34" spans="2:12" x14ac:dyDescent="0.3">
      <c r="B34" t="s">
        <v>108</v>
      </c>
      <c r="C34">
        <v>13.49</v>
      </c>
      <c r="D34">
        <v>62.23</v>
      </c>
      <c r="E34">
        <v>88.28</v>
      </c>
      <c r="F34">
        <v>111.85</v>
      </c>
      <c r="G34">
        <v>143.28</v>
      </c>
      <c r="H34">
        <v>190.8</v>
      </c>
      <c r="I34">
        <v>287.54000000000002</v>
      </c>
      <c r="J34">
        <v>346.91</v>
      </c>
      <c r="K34">
        <v>351.97</v>
      </c>
      <c r="L34" s="21">
        <v>377.37</v>
      </c>
    </row>
    <row r="36" spans="2:12" x14ac:dyDescent="0.3">
      <c r="D36">
        <f>D33-C33</f>
        <v>71988</v>
      </c>
      <c r="E36">
        <f t="shared" ref="E36:L36" si="0">E33-D33</f>
        <v>-20883</v>
      </c>
      <c r="F36">
        <f t="shared" si="0"/>
        <v>6746</v>
      </c>
      <c r="G36">
        <f t="shared" si="0"/>
        <v>32745</v>
      </c>
      <c r="H36">
        <f t="shared" si="0"/>
        <v>-58441</v>
      </c>
      <c r="I36">
        <f t="shared" si="0"/>
        <v>158447</v>
      </c>
      <c r="J36">
        <f t="shared" si="0"/>
        <v>44951</v>
      </c>
      <c r="K36">
        <f t="shared" si="0"/>
        <v>-11251</v>
      </c>
      <c r="L36">
        <f t="shared" si="0"/>
        <v>57864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8B23-A94E-443F-A0B9-367A42C8D9F1}">
  <sheetPr>
    <tabColor theme="7" tint="0.79998168889431442"/>
  </sheetPr>
  <dimension ref="B2:L23"/>
  <sheetViews>
    <sheetView workbookViewId="0">
      <selection activeCell="B2" sqref="B2"/>
    </sheetView>
  </sheetViews>
  <sheetFormatPr defaultRowHeight="14.4" x14ac:dyDescent="0.3"/>
  <cols>
    <col min="2" max="2" width="24.5546875" bestFit="1" customWidth="1"/>
  </cols>
  <sheetData>
    <row r="2" spans="2:12" x14ac:dyDescent="0.3">
      <c r="B2" t="s">
        <v>127</v>
      </c>
      <c r="C2" t="s">
        <v>44</v>
      </c>
      <c r="D2" t="s">
        <v>43</v>
      </c>
      <c r="E2" t="s">
        <v>42</v>
      </c>
      <c r="F2" t="s">
        <v>41</v>
      </c>
      <c r="G2" t="s">
        <v>40</v>
      </c>
      <c r="H2" t="s">
        <v>39</v>
      </c>
      <c r="I2" t="s">
        <v>38</v>
      </c>
      <c r="J2" t="s">
        <v>37</v>
      </c>
      <c r="K2" t="s">
        <v>36</v>
      </c>
      <c r="L2" s="19" t="s">
        <v>35</v>
      </c>
    </row>
    <row r="3" spans="2:12" x14ac:dyDescent="0.3">
      <c r="C3">
        <v>23076</v>
      </c>
      <c r="D3">
        <v>24149</v>
      </c>
      <c r="E3">
        <v>71460</v>
      </c>
      <c r="F3">
        <v>43675</v>
      </c>
      <c r="G3">
        <v>63985</v>
      </c>
      <c r="H3">
        <v>87600</v>
      </c>
      <c r="I3">
        <v>149263</v>
      </c>
      <c r="J3">
        <v>150308</v>
      </c>
      <c r="K3">
        <v>61959</v>
      </c>
      <c r="L3" s="20">
        <v>72509</v>
      </c>
    </row>
    <row r="4" spans="2:12" x14ac:dyDescent="0.3">
      <c r="C4">
        <v>1654</v>
      </c>
      <c r="D4">
        <v>4499</v>
      </c>
      <c r="E4">
        <v>7048</v>
      </c>
      <c r="F4">
        <v>14292</v>
      </c>
      <c r="G4">
        <v>22020</v>
      </c>
      <c r="H4">
        <v>37080</v>
      </c>
      <c r="I4">
        <v>42427</v>
      </c>
      <c r="J4">
        <v>47909</v>
      </c>
      <c r="K4">
        <v>48065</v>
      </c>
      <c r="L4" s="21">
        <v>46938</v>
      </c>
    </row>
    <row r="5" spans="2:12" x14ac:dyDescent="0.3">
      <c r="C5">
        <v>2844</v>
      </c>
      <c r="D5">
        <v>13028</v>
      </c>
      <c r="E5">
        <v>14962</v>
      </c>
      <c r="F5">
        <v>14626</v>
      </c>
      <c r="G5">
        <v>20075</v>
      </c>
      <c r="H5">
        <v>37491</v>
      </c>
      <c r="I5">
        <v>31742</v>
      </c>
      <c r="J5">
        <v>50120</v>
      </c>
      <c r="K5">
        <v>23971</v>
      </c>
      <c r="L5" s="20">
        <v>30831</v>
      </c>
    </row>
    <row r="6" spans="2:12" x14ac:dyDescent="0.3">
      <c r="C6">
        <v>-1434</v>
      </c>
      <c r="D6">
        <v>-571</v>
      </c>
      <c r="E6">
        <v>-36634</v>
      </c>
      <c r="F6">
        <v>10261</v>
      </c>
      <c r="G6">
        <v>19617</v>
      </c>
      <c r="H6">
        <v>-11482</v>
      </c>
      <c r="I6">
        <v>-42995</v>
      </c>
      <c r="J6">
        <v>-16821</v>
      </c>
      <c r="K6">
        <v>8474</v>
      </c>
      <c r="L6" s="21">
        <v>49200</v>
      </c>
    </row>
    <row r="7" spans="2:12" x14ac:dyDescent="0.3">
      <c r="C7">
        <v>26379</v>
      </c>
      <c r="D7">
        <v>41217</v>
      </c>
      <c r="E7">
        <v>56836</v>
      </c>
      <c r="F7">
        <v>82854</v>
      </c>
      <c r="G7">
        <v>125805</v>
      </c>
      <c r="H7">
        <v>150975</v>
      </c>
      <c r="I7">
        <v>180607</v>
      </c>
      <c r="J7">
        <v>231786</v>
      </c>
      <c r="K7">
        <v>142759</v>
      </c>
      <c r="L7" s="20">
        <v>199752</v>
      </c>
    </row>
    <row r="8" spans="2:12" x14ac:dyDescent="0.3">
      <c r="C8">
        <v>0.82230000000000003</v>
      </c>
      <c r="D8">
        <v>0.5625</v>
      </c>
      <c r="E8">
        <v>0.37890000000000001</v>
      </c>
      <c r="F8">
        <v>0.45779999999999998</v>
      </c>
      <c r="G8">
        <v>0.51839999999999997</v>
      </c>
      <c r="H8">
        <v>0.2001</v>
      </c>
      <c r="I8">
        <v>0.1963</v>
      </c>
      <c r="J8">
        <v>0.28339999999999999</v>
      </c>
      <c r="K8">
        <v>-0.3841</v>
      </c>
      <c r="L8" s="21">
        <v>0.3992</v>
      </c>
    </row>
    <row r="9" spans="2:12" x14ac:dyDescent="0.3">
      <c r="C9">
        <v>-4776</v>
      </c>
      <c r="D9">
        <v>-7705</v>
      </c>
      <c r="E9">
        <v>-10845</v>
      </c>
      <c r="F9">
        <v>-11006</v>
      </c>
      <c r="G9">
        <v>-19628</v>
      </c>
      <c r="H9">
        <v>-49643</v>
      </c>
      <c r="I9">
        <v>-32738</v>
      </c>
      <c r="J9">
        <v>-41081</v>
      </c>
      <c r="K9">
        <v>-53309</v>
      </c>
      <c r="L9" s="20">
        <v>-33686</v>
      </c>
    </row>
    <row r="10" spans="2:12" x14ac:dyDescent="0.3">
      <c r="C10">
        <v>-778</v>
      </c>
      <c r="D10">
        <v>-11526</v>
      </c>
      <c r="E10">
        <v>3395</v>
      </c>
      <c r="F10">
        <v>-33198</v>
      </c>
      <c r="G10">
        <v>-542</v>
      </c>
      <c r="H10">
        <v>-35444</v>
      </c>
      <c r="I10">
        <v>-14643</v>
      </c>
      <c r="J10">
        <v>-19263</v>
      </c>
      <c r="K10">
        <v>-4098</v>
      </c>
      <c r="L10" s="21">
        <v>-1209</v>
      </c>
    </row>
    <row r="11" spans="2:12" x14ac:dyDescent="0.3">
      <c r="C11">
        <v>-27642</v>
      </c>
      <c r="D11">
        <v>-35346</v>
      </c>
      <c r="E11">
        <v>-36127</v>
      </c>
      <c r="F11">
        <v>-28579</v>
      </c>
      <c r="G11">
        <v>-52804</v>
      </c>
      <c r="H11">
        <v>-65958</v>
      </c>
      <c r="I11">
        <v>-60498</v>
      </c>
      <c r="J11">
        <v>-181312</v>
      </c>
      <c r="K11">
        <v>-140722</v>
      </c>
      <c r="L11" s="20">
        <v>-101871</v>
      </c>
    </row>
    <row r="12" spans="2:12" x14ac:dyDescent="0.3">
      <c r="C12">
        <v>199</v>
      </c>
      <c r="D12">
        <v>1123</v>
      </c>
      <c r="E12">
        <v>746</v>
      </c>
      <c r="F12">
        <v>-6796</v>
      </c>
      <c r="G12">
        <v>-10790</v>
      </c>
      <c r="H12">
        <v>-15</v>
      </c>
      <c r="I12">
        <v>-193</v>
      </c>
      <c r="J12">
        <v>-2538</v>
      </c>
      <c r="K12">
        <v>-463</v>
      </c>
      <c r="L12" s="21">
        <v>1260</v>
      </c>
    </row>
    <row r="13" spans="2:12" x14ac:dyDescent="0.3">
      <c r="C13">
        <v>-32997</v>
      </c>
      <c r="D13">
        <v>-53454</v>
      </c>
      <c r="E13">
        <v>-42831</v>
      </c>
      <c r="F13">
        <v>-79579</v>
      </c>
      <c r="G13">
        <v>-83764</v>
      </c>
      <c r="H13">
        <v>-151060</v>
      </c>
      <c r="I13">
        <v>-108072</v>
      </c>
      <c r="J13">
        <v>-244194</v>
      </c>
      <c r="K13">
        <v>-198592</v>
      </c>
      <c r="L13" s="20">
        <v>-135506</v>
      </c>
    </row>
    <row r="14" spans="2:12" x14ac:dyDescent="0.3">
      <c r="C14">
        <v>1923</v>
      </c>
      <c r="D14">
        <v>61561</v>
      </c>
      <c r="E14">
        <v>-19102</v>
      </c>
      <c r="F14">
        <v>1425</v>
      </c>
      <c r="G14">
        <v>399</v>
      </c>
      <c r="H14">
        <v>-10518</v>
      </c>
      <c r="I14">
        <v>91506</v>
      </c>
      <c r="J14">
        <v>-598</v>
      </c>
      <c r="K14">
        <v>-61116</v>
      </c>
      <c r="L14" s="21">
        <v>-74735</v>
      </c>
    </row>
    <row r="15" spans="2:12" x14ac:dyDescent="0.3">
      <c r="C15">
        <v>12789</v>
      </c>
      <c r="D15">
        <v>26044</v>
      </c>
      <c r="E15">
        <v>2478</v>
      </c>
      <c r="F15">
        <v>29333</v>
      </c>
      <c r="G15">
        <v>33345</v>
      </c>
      <c r="H15">
        <v>-4231</v>
      </c>
      <c r="I15">
        <v>-16022</v>
      </c>
      <c r="J15">
        <v>31349</v>
      </c>
      <c r="K15">
        <v>-7286</v>
      </c>
      <c r="L15" s="20">
        <v>11342</v>
      </c>
    </row>
    <row r="16" spans="2:12" x14ac:dyDescent="0.3">
      <c r="C16">
        <v>-5348</v>
      </c>
      <c r="D16">
        <v>-108</v>
      </c>
      <c r="E16">
        <v>778</v>
      </c>
      <c r="F16">
        <v>2156</v>
      </c>
      <c r="G16">
        <v>-13385</v>
      </c>
      <c r="H16">
        <v>7357</v>
      </c>
      <c r="I16">
        <v>-4631</v>
      </c>
      <c r="J16">
        <v>-669</v>
      </c>
      <c r="K16">
        <v>3953</v>
      </c>
      <c r="L16" s="21">
        <v>-2226</v>
      </c>
    </row>
    <row r="17" spans="3:12" x14ac:dyDescent="0.3">
      <c r="C17">
        <v>9364</v>
      </c>
      <c r="D17">
        <v>87497</v>
      </c>
      <c r="E17">
        <v>-15846</v>
      </c>
      <c r="F17">
        <v>32914</v>
      </c>
      <c r="G17">
        <v>20359</v>
      </c>
      <c r="H17">
        <v>-7392</v>
      </c>
      <c r="I17">
        <v>70853</v>
      </c>
      <c r="J17">
        <v>30082</v>
      </c>
      <c r="K17">
        <v>-64449</v>
      </c>
      <c r="L17" s="20">
        <v>-65619</v>
      </c>
    </row>
    <row r="18" spans="3:12" x14ac:dyDescent="0.3">
      <c r="C18">
        <v>-97</v>
      </c>
      <c r="D18">
        <v>-112</v>
      </c>
      <c r="E18">
        <v>466</v>
      </c>
      <c r="F18">
        <v>2038</v>
      </c>
      <c r="G18">
        <v>-6065</v>
      </c>
      <c r="H18">
        <v>3245</v>
      </c>
      <c r="I18">
        <v>4100</v>
      </c>
      <c r="J18">
        <v>-7187</v>
      </c>
      <c r="K18">
        <v>-8834</v>
      </c>
      <c r="L18" s="21">
        <v>3530</v>
      </c>
    </row>
    <row r="19" spans="3:12" x14ac:dyDescent="0.3">
      <c r="C19">
        <v>2649</v>
      </c>
      <c r="D19">
        <v>75148</v>
      </c>
      <c r="E19">
        <v>-1375</v>
      </c>
      <c r="F19">
        <v>38227</v>
      </c>
      <c r="G19">
        <v>56335</v>
      </c>
      <c r="H19">
        <v>-4232</v>
      </c>
      <c r="I19">
        <v>147488</v>
      </c>
      <c r="J19">
        <v>10487</v>
      </c>
      <c r="K19">
        <v>-129116</v>
      </c>
      <c r="L19" s="20">
        <v>2157</v>
      </c>
    </row>
    <row r="20" spans="3:12" x14ac:dyDescent="0.3">
      <c r="C20">
        <v>21603</v>
      </c>
      <c r="D20">
        <v>33512</v>
      </c>
      <c r="E20">
        <v>45991</v>
      </c>
      <c r="F20">
        <v>71848</v>
      </c>
      <c r="G20">
        <v>106177</v>
      </c>
      <c r="H20">
        <v>101332</v>
      </c>
      <c r="I20">
        <v>147869</v>
      </c>
      <c r="J20">
        <v>190705</v>
      </c>
      <c r="K20">
        <v>89450</v>
      </c>
      <c r="L20" s="21">
        <v>166066</v>
      </c>
    </row>
    <row r="21" spans="3:12" x14ac:dyDescent="0.3">
      <c r="C21">
        <v>0.7601</v>
      </c>
      <c r="D21">
        <v>0.55130000000000001</v>
      </c>
      <c r="E21">
        <v>0.37240000000000001</v>
      </c>
      <c r="F21">
        <v>0.56220000000000003</v>
      </c>
      <c r="G21">
        <v>0.4778</v>
      </c>
      <c r="H21">
        <v>-4.5600000000000002E-2</v>
      </c>
      <c r="I21">
        <v>0.45929999999999999</v>
      </c>
      <c r="J21">
        <v>0.28970000000000001</v>
      </c>
      <c r="K21">
        <v>-0.53100000000000003</v>
      </c>
      <c r="L21" s="20">
        <v>0.85650000000000004</v>
      </c>
    </row>
    <row r="22" spans="3:12" x14ac:dyDescent="0.3">
      <c r="C22">
        <v>0.41149999999999998</v>
      </c>
      <c r="D22">
        <v>0.43980000000000002</v>
      </c>
      <c r="E22">
        <v>0.45469999999999999</v>
      </c>
      <c r="F22">
        <v>0.45390000000000003</v>
      </c>
      <c r="G22">
        <v>0.42430000000000001</v>
      </c>
      <c r="H22">
        <v>0.26889999999999997</v>
      </c>
      <c r="I22">
        <v>0.29010000000000002</v>
      </c>
      <c r="J22">
        <v>0.26590000000000003</v>
      </c>
      <c r="K22">
        <v>0.10489999999999999</v>
      </c>
      <c r="L22" s="21">
        <v>0.19120000000000001</v>
      </c>
    </row>
    <row r="23" spans="3:12" x14ac:dyDescent="0.3">
      <c r="C23">
        <v>9.93</v>
      </c>
      <c r="D23">
        <v>14.34</v>
      </c>
      <c r="E23">
        <v>18.71</v>
      </c>
      <c r="F23">
        <v>28.82</v>
      </c>
      <c r="G23">
        <v>41.59</v>
      </c>
      <c r="H23">
        <v>39.28</v>
      </c>
      <c r="I23">
        <v>56.28</v>
      </c>
      <c r="J23">
        <v>70.569999999999993</v>
      </c>
      <c r="K23">
        <v>33.19</v>
      </c>
      <c r="L23" s="20">
        <v>63.32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206EC2-815D-429C-BC87-71BCBE34A0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DCF</vt:lpstr>
      <vt:lpstr>Data Tables</vt:lpstr>
      <vt:lpstr>IS</vt:lpstr>
      <vt:lpstr>BS</vt:lpstr>
      <vt:lpstr>CFS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baker</dc:creator>
  <cp:lastModifiedBy>harvey baker</cp:lastModifiedBy>
  <dcterms:created xsi:type="dcterms:W3CDTF">2024-01-20T11:06:27Z</dcterms:created>
  <dcterms:modified xsi:type="dcterms:W3CDTF">2024-11-11T17:36:17Z</dcterms:modified>
</cp:coreProperties>
</file>