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Documents\####uni\4\project\reports\Github-Final\robotic-unicycle-report\"/>
    </mc:Choice>
  </mc:AlternateContent>
  <xr:revisionPtr revIDLastSave="0" documentId="13_ncr:1_{620F9E45-C0BA-4159-A908-44B33C33BABF}" xr6:coauthVersionLast="45" xr6:coauthVersionMax="45" xr10:uidLastSave="{00000000-0000-0000-0000-000000000000}"/>
  <bookViews>
    <workbookView xWindow="96" yWindow="678" windowWidth="23040" windowHeight="6000" xr2:uid="{9C981FAC-8EA3-4840-B25E-63D8B77D4C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" l="1"/>
  <c r="I32" i="1"/>
  <c r="K28" i="1"/>
  <c r="J28" i="1"/>
  <c r="I28" i="1"/>
  <c r="H28" i="1"/>
  <c r="I20" i="1"/>
  <c r="H14" i="1"/>
  <c r="K14" i="1"/>
  <c r="H13" i="1"/>
  <c r="I13" i="1"/>
  <c r="K13" i="1"/>
  <c r="H12" i="1"/>
  <c r="K12" i="1"/>
  <c r="B14" i="1"/>
  <c r="M5" i="1"/>
  <c r="M6" i="1"/>
  <c r="M7" i="1"/>
  <c r="I10" i="1"/>
  <c r="I14" i="1" s="1"/>
  <c r="L10" i="1"/>
  <c r="L14" i="1" s="1"/>
  <c r="L9" i="1"/>
  <c r="L13" i="1" s="1"/>
  <c r="I9" i="1"/>
  <c r="H9" i="1"/>
  <c r="E9" i="1"/>
  <c r="F10" i="1" s="1"/>
  <c r="F14" i="1" s="1"/>
  <c r="E8" i="1"/>
  <c r="E10" i="1" s="1"/>
  <c r="F9" i="1" s="1"/>
  <c r="F8" i="1" s="1"/>
  <c r="F12" i="1" s="1"/>
  <c r="B8" i="1"/>
  <c r="B10" i="1"/>
  <c r="B9" i="1"/>
  <c r="F4" i="1"/>
  <c r="E4" i="1"/>
  <c r="J4" i="1"/>
  <c r="J8" i="1" s="1"/>
  <c r="G4" i="1"/>
  <c r="G8" i="1" s="1"/>
  <c r="G12" i="1" s="1"/>
  <c r="D4" i="1"/>
  <c r="D8" i="1" s="1"/>
  <c r="D1" i="1"/>
  <c r="C4" i="1" s="1"/>
  <c r="J10" i="1" l="1"/>
  <c r="J14" i="1" s="1"/>
  <c r="J12" i="1"/>
  <c r="C9" i="1"/>
  <c r="M4" i="1"/>
  <c r="C10" i="1"/>
  <c r="C14" i="1" s="1"/>
  <c r="D10" i="1"/>
  <c r="D14" i="1" s="1"/>
  <c r="D12" i="1"/>
  <c r="B13" i="1"/>
  <c r="D9" i="1"/>
  <c r="D13" i="1" s="1"/>
  <c r="B12" i="1"/>
  <c r="E12" i="1"/>
  <c r="F13" i="1"/>
  <c r="J9" i="1"/>
  <c r="J13" i="1" s="1"/>
  <c r="E13" i="1"/>
  <c r="G10" i="1"/>
  <c r="E14" i="1"/>
  <c r="I8" i="1"/>
  <c r="I12" i="1" s="1"/>
  <c r="L8" i="1"/>
  <c r="L12" i="1" s="1"/>
  <c r="M10" i="1" l="1"/>
  <c r="C13" i="1"/>
  <c r="C8" i="1"/>
  <c r="M9" i="1"/>
  <c r="G14" i="1"/>
  <c r="M14" i="1" s="1"/>
  <c r="N14" i="1" s="1"/>
  <c r="G9" i="1"/>
  <c r="G13" i="1" s="1"/>
  <c r="C12" i="1" l="1"/>
  <c r="M12" i="1" s="1"/>
  <c r="N12" i="1" s="1"/>
  <c r="M8" i="1"/>
  <c r="M13" i="1"/>
  <c r="N13" i="1" s="1"/>
</calcChain>
</file>

<file path=xl/sharedStrings.xml><?xml version="1.0" encoding="utf-8"?>
<sst xmlns="http://schemas.openxmlformats.org/spreadsheetml/2006/main" count="27" uniqueCount="27">
  <si>
    <t>Ixx</t>
  </si>
  <si>
    <t>Iyy</t>
  </si>
  <si>
    <t>Izz</t>
  </si>
  <si>
    <t>part</t>
  </si>
  <si>
    <t>mass</t>
  </si>
  <si>
    <t>phone</t>
  </si>
  <si>
    <t>back plate</t>
  </si>
  <si>
    <t>disks</t>
  </si>
  <si>
    <t>number</t>
  </si>
  <si>
    <t>motor bot</t>
  </si>
  <si>
    <t>motor top</t>
  </si>
  <si>
    <t>axel support</t>
  </si>
  <si>
    <t>flywheel</t>
  </si>
  <si>
    <t>pi &amp; battery</t>
  </si>
  <si>
    <t>handle bar</t>
  </si>
  <si>
    <t>aluminium densityn</t>
  </si>
  <si>
    <t>thickness</t>
  </si>
  <si>
    <t>ignore the wheel etc</t>
  </si>
  <si>
    <t>phone holder</t>
  </si>
  <si>
    <t>x</t>
  </si>
  <si>
    <t>y</t>
  </si>
  <si>
    <t>z</t>
  </si>
  <si>
    <t>About bottom</t>
  </si>
  <si>
    <t>IXX</t>
  </si>
  <si>
    <t>IZZ</t>
  </si>
  <si>
    <t>IYY</t>
  </si>
  <si>
    <t>add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</si>
</sst>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3765-6954-42A3-A2D7-CEE4EE7B222E}">
  <dimension ref="A1:N36"/>
  <sheetViews>
    <sheetView tabSelected="1" topLeftCell="G1" zoomScale="65" workbookViewId="0">
      <selection activeCell="I38" sqref="I38"/>
    </sheetView>
  </sheetViews>
  <sheetFormatPr defaultRowHeight="14.4" x14ac:dyDescent="0.55000000000000004"/>
  <cols>
    <col min="2" max="2" width="11.578125" bestFit="1" customWidth="1"/>
    <col min="5" max="5" width="11.578125" bestFit="1" customWidth="1"/>
    <col min="6" max="6" width="9.68359375" bestFit="1" customWidth="1"/>
    <col min="7" max="7" width="11.68359375" bestFit="1" customWidth="1"/>
    <col min="8" max="9" width="10.68359375" bestFit="1" customWidth="1"/>
    <col min="10" max="10" width="11.578125" bestFit="1" customWidth="1"/>
    <col min="12" max="12" width="11.578125" bestFit="1" customWidth="1"/>
  </cols>
  <sheetData>
    <row r="1" spans="1:14" x14ac:dyDescent="0.55000000000000004">
      <c r="A1" t="s">
        <v>15</v>
      </c>
      <c r="B1">
        <v>2700</v>
      </c>
      <c r="C1" t="s">
        <v>16</v>
      </c>
      <c r="D1">
        <f>1.6*10^-3</f>
        <v>1.6000000000000001E-3</v>
      </c>
    </row>
    <row r="2" spans="1:14" x14ac:dyDescent="0.55000000000000004">
      <c r="A2" t="s">
        <v>3</v>
      </c>
      <c r="B2" t="s">
        <v>5</v>
      </c>
      <c r="C2" t="s">
        <v>6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17</v>
      </c>
      <c r="L2" t="s">
        <v>18</v>
      </c>
      <c r="N2" t="s">
        <v>26</v>
      </c>
    </row>
    <row r="3" spans="1:14" x14ac:dyDescent="0.55000000000000004">
      <c r="A3" t="s">
        <v>8</v>
      </c>
      <c r="B3">
        <v>1</v>
      </c>
      <c r="C3">
        <v>1</v>
      </c>
      <c r="D3">
        <v>2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L3">
        <v>1</v>
      </c>
    </row>
    <row r="4" spans="1:14" x14ac:dyDescent="0.55000000000000004">
      <c r="A4" t="s">
        <v>4</v>
      </c>
      <c r="B4">
        <v>0.2</v>
      </c>
      <c r="C4">
        <f>B1*D1*0.14*0.2</f>
        <v>0.12096000000000003</v>
      </c>
      <c r="D4">
        <f>PI()*D1*B1*0.086^2</f>
        <v>0.10037614722890446</v>
      </c>
      <c r="E4">
        <f>0.054+0.055+0.01</f>
        <v>0.11899999999999999</v>
      </c>
      <c r="F4">
        <f>0.054+0.055+0.01</f>
        <v>0.11899999999999999</v>
      </c>
      <c r="G4">
        <f>3*10^-3*B1*0.5*0.06*0.07</f>
        <v>1.7010000000000001E-2</v>
      </c>
      <c r="H4">
        <v>0.2</v>
      </c>
      <c r="I4">
        <v>0.15</v>
      </c>
      <c r="J4">
        <f>B1*(0.015^2-0.013^2)*PI()*0.14</f>
        <v>6.650123329118876E-2</v>
      </c>
      <c r="L4">
        <v>0.1</v>
      </c>
      <c r="M4">
        <f>SUM(B4:L4)</f>
        <v>1.1928473805200932</v>
      </c>
    </row>
    <row r="5" spans="1:14" x14ac:dyDescent="0.55000000000000004">
      <c r="A5" t="s">
        <v>19</v>
      </c>
      <c r="B5">
        <v>5.7000000000000002E-2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0.04</v>
      </c>
      <c r="J5">
        <v>1.4999999999999999E-2</v>
      </c>
      <c r="L5">
        <v>0.02</v>
      </c>
      <c r="M5">
        <f t="shared" ref="M5:M14" si="0">SUM(B5:L5)</f>
        <v>0.13200000000000001</v>
      </c>
    </row>
    <row r="6" spans="1:14" x14ac:dyDescent="0.55000000000000004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0.02</v>
      </c>
      <c r="H6">
        <v>0</v>
      </c>
      <c r="I6">
        <v>0</v>
      </c>
      <c r="J6">
        <v>0</v>
      </c>
      <c r="L6">
        <v>0</v>
      </c>
      <c r="M6">
        <f t="shared" si="0"/>
        <v>0.02</v>
      </c>
    </row>
    <row r="7" spans="1:14" x14ac:dyDescent="0.55000000000000004">
      <c r="A7" t="s">
        <v>21</v>
      </c>
      <c r="B7">
        <v>0.2</v>
      </c>
      <c r="C7">
        <v>0.12</v>
      </c>
      <c r="D7">
        <v>0.11</v>
      </c>
      <c r="E7">
        <v>0.09</v>
      </c>
      <c r="F7">
        <v>0.15</v>
      </c>
      <c r="G7">
        <v>7.0000000000000007E-2</v>
      </c>
      <c r="H7">
        <v>0.11</v>
      </c>
      <c r="I7">
        <v>0.16</v>
      </c>
      <c r="J7">
        <v>0.22</v>
      </c>
      <c r="L7">
        <v>0.21</v>
      </c>
      <c r="M7">
        <f t="shared" si="0"/>
        <v>1.44</v>
      </c>
    </row>
    <row r="8" spans="1:14" x14ac:dyDescent="0.55000000000000004">
      <c r="A8" t="s">
        <v>0</v>
      </c>
      <c r="B8" s="1">
        <f>B9+B10</f>
        <v>4.5666666666666669E-4</v>
      </c>
      <c r="C8" s="1">
        <f>C9+C10</f>
        <v>6.0076800000000022E-4</v>
      </c>
      <c r="D8" s="1">
        <f>D4/4*0.087^2</f>
        <v>1.8993676459389444E-4</v>
      </c>
      <c r="E8" s="1">
        <f>(0.011^2/4+0.065^2/12 )*E4</f>
        <v>4.549766666666667E-5</v>
      </c>
      <c r="F8" s="1">
        <f>F9</f>
        <v>4.549766666666667E-5</v>
      </c>
      <c r="G8" s="1">
        <f>0.07^2/18*G4</f>
        <v>4.6305000000000008E-6</v>
      </c>
      <c r="H8" s="1">
        <v>8.1023222424961099E-5</v>
      </c>
      <c r="I8" s="1">
        <f>I9+I10</f>
        <v>1.4124999999999999E-4</v>
      </c>
      <c r="J8" s="1">
        <f>J4*0.014^2</f>
        <v>1.3034241725072998E-5</v>
      </c>
      <c r="K8" s="1"/>
      <c r="L8" s="1">
        <f>L9+L10</f>
        <v>4.1666666666666672E-5</v>
      </c>
      <c r="M8" s="1">
        <f t="shared" si="0"/>
        <v>1.6199713954105951E-3</v>
      </c>
      <c r="N8" s="1"/>
    </row>
    <row r="9" spans="1:14" x14ac:dyDescent="0.55000000000000004">
      <c r="A9" t="s">
        <v>1</v>
      </c>
      <c r="B9" s="1">
        <f>1/12 * B4*0.07^2</f>
        <v>8.1666666666666682E-5</v>
      </c>
      <c r="C9" s="1">
        <f>1/12 * C4*0.2^2</f>
        <v>4.0320000000000015E-4</v>
      </c>
      <c r="D9" s="1">
        <f>D4/4*0.087^2</f>
        <v>1.8993676459389444E-4</v>
      </c>
      <c r="E9" s="1">
        <f>0.011^2/2 *E4</f>
        <v>7.1994999999999986E-6</v>
      </c>
      <c r="F9" s="1">
        <f>E10</f>
        <v>4.549766666666667E-5</v>
      </c>
      <c r="G9" s="1">
        <f>G10+G8</f>
        <v>2.2774500000000004E-5</v>
      </c>
      <c r="H9" s="1">
        <f>H8</f>
        <v>8.1023222424961099E-5</v>
      </c>
      <c r="I9" s="1">
        <f>1/12 * I4*0.08^2</f>
        <v>7.9999999999999993E-5</v>
      </c>
      <c r="J9" s="1">
        <f>J4*(0.014^2/2+0.14^2/12)</f>
        <v>1.1513580190481149E-4</v>
      </c>
      <c r="K9" s="1"/>
      <c r="L9" s="1">
        <f>1/12 * L4*0.05^2</f>
        <v>2.0833333333333336E-5</v>
      </c>
      <c r="M9" s="1">
        <f t="shared" si="0"/>
        <v>1.0472674555903341E-3</v>
      </c>
      <c r="N9" s="1"/>
    </row>
    <row r="10" spans="1:14" x14ac:dyDescent="0.55000000000000004">
      <c r="A10" t="s">
        <v>2</v>
      </c>
      <c r="B10" s="1">
        <f>1/12 * B4*0.15^2</f>
        <v>3.7500000000000001E-4</v>
      </c>
      <c r="C10" s="1">
        <f>1/12 * C4*0.14^2</f>
        <v>1.9756800000000007E-4</v>
      </c>
      <c r="D10" s="1">
        <f>D8+D9</f>
        <v>3.7987352918778889E-4</v>
      </c>
      <c r="E10" s="1">
        <f>E8</f>
        <v>4.549766666666667E-5</v>
      </c>
      <c r="F10" s="1">
        <f>E9</f>
        <v>7.1994999999999986E-6</v>
      </c>
      <c r="G10" s="1">
        <f>3/18 * 0.08^2*G4</f>
        <v>1.8144000000000001E-5</v>
      </c>
      <c r="H10" s="1">
        <v>1.61127869337951E-4</v>
      </c>
      <c r="I10" s="1">
        <f>1/12 * I4*0.07^2</f>
        <v>6.1249999999999998E-5</v>
      </c>
      <c r="J10" s="1">
        <f>J8</f>
        <v>1.3034241725072998E-5</v>
      </c>
      <c r="K10" s="1"/>
      <c r="L10" s="1">
        <f>1/12 * L4*0.05^2</f>
        <v>2.0833333333333336E-5</v>
      </c>
      <c r="M10" s="1">
        <f t="shared" si="0"/>
        <v>1.2795281402508132E-3</v>
      </c>
      <c r="N10" s="1"/>
    </row>
    <row r="11" spans="1:14" x14ac:dyDescent="0.55000000000000004">
      <c r="A11" t="s">
        <v>22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55000000000000004">
      <c r="A12" t="s">
        <v>23</v>
      </c>
      <c r="B12" s="1">
        <f>B3*(B8+B4*(B6^2+B7^2))</f>
        <v>8.4566666666666679E-3</v>
      </c>
      <c r="C12" s="1">
        <f t="shared" ref="C12:L12" si="1">C3*(C8+C4*(C6^2+C7^2))</f>
        <v>2.3425920000000005E-3</v>
      </c>
      <c r="D12" s="1">
        <f t="shared" si="1"/>
        <v>2.8089762921272767E-3</v>
      </c>
      <c r="E12" s="1">
        <f t="shared" si="1"/>
        <v>1.0093976666666667E-3</v>
      </c>
      <c r="F12" s="1">
        <f t="shared" si="1"/>
        <v>2.7229976666666663E-3</v>
      </c>
      <c r="G12" s="1">
        <f t="shared" si="1"/>
        <v>1.8956700000000002E-4</v>
      </c>
      <c r="H12" s="1">
        <f t="shared" si="1"/>
        <v>2.5010232224249615E-3</v>
      </c>
      <c r="I12" s="1">
        <f t="shared" si="1"/>
        <v>3.9812500000000004E-3</v>
      </c>
      <c r="J12" s="1">
        <f t="shared" si="1"/>
        <v>3.2316939330186089E-3</v>
      </c>
      <c r="K12" s="1">
        <f t="shared" si="1"/>
        <v>0</v>
      </c>
      <c r="L12" s="1">
        <f t="shared" si="1"/>
        <v>4.4516666666666663E-3</v>
      </c>
      <c r="M12" s="1">
        <f t="shared" si="0"/>
        <v>3.1695831114237516E-2</v>
      </c>
      <c r="N12" s="1">
        <f>M12*1.05</f>
        <v>3.328062266994939E-2</v>
      </c>
    </row>
    <row r="13" spans="1:14" x14ac:dyDescent="0.55000000000000004">
      <c r="A13" t="s">
        <v>25</v>
      </c>
      <c r="B13" s="1">
        <f>B3*(B9+B4*(B5^2+B7^2))</f>
        <v>8.73146666666667E-3</v>
      </c>
      <c r="C13" s="1">
        <f t="shared" ref="C13:L13" si="2">C3*(C9+C4*(C5^2+C7^2))</f>
        <v>2.1450240000000006E-3</v>
      </c>
      <c r="D13" s="1">
        <f t="shared" si="2"/>
        <v>2.8089762921272767E-3</v>
      </c>
      <c r="E13" s="1">
        <f t="shared" si="2"/>
        <v>9.7109949999999996E-4</v>
      </c>
      <c r="F13" s="1">
        <f t="shared" si="2"/>
        <v>2.7229976666666663E-3</v>
      </c>
      <c r="G13" s="1">
        <f t="shared" si="2"/>
        <v>2.1224700000000004E-4</v>
      </c>
      <c r="H13" s="1">
        <f t="shared" si="2"/>
        <v>2.5010232224249615E-3</v>
      </c>
      <c r="I13" s="1">
        <f t="shared" si="2"/>
        <v>4.1600000000000005E-3</v>
      </c>
      <c r="J13" s="1">
        <f t="shared" si="2"/>
        <v>3.3487582706888648E-3</v>
      </c>
      <c r="K13" s="1">
        <f t="shared" si="2"/>
        <v>0</v>
      </c>
      <c r="L13" s="1">
        <f t="shared" si="2"/>
        <v>4.4708333333333327E-3</v>
      </c>
      <c r="M13" s="1">
        <f t="shared" si="0"/>
        <v>3.207242595190777E-2</v>
      </c>
      <c r="N13" s="1">
        <f t="shared" ref="N13:N14" si="3">M13*1.05</f>
        <v>3.3676047249503162E-2</v>
      </c>
    </row>
    <row r="14" spans="1:14" x14ac:dyDescent="0.55000000000000004">
      <c r="A14" t="s">
        <v>24</v>
      </c>
      <c r="B14" s="1">
        <f>B3*(B10+B4*(B6^2+B5^2))</f>
        <v>1.0248000000000002E-3</v>
      </c>
      <c r="C14" s="1">
        <f t="shared" ref="C14:L14" si="4">C3*(C10+C4*(C6^2+C5^2))</f>
        <v>1.9756800000000007E-4</v>
      </c>
      <c r="D14" s="1">
        <f t="shared" si="4"/>
        <v>7.5974705837557777E-4</v>
      </c>
      <c r="E14" s="1">
        <f t="shared" si="4"/>
        <v>4.549766666666667E-5</v>
      </c>
      <c r="F14" s="1">
        <f t="shared" si="4"/>
        <v>7.1994999999999986E-6</v>
      </c>
      <c r="G14" s="1">
        <f t="shared" si="4"/>
        <v>4.9896000000000005E-5</v>
      </c>
      <c r="H14" s="1">
        <f t="shared" si="4"/>
        <v>1.61127869337951E-4</v>
      </c>
      <c r="I14" s="1">
        <f t="shared" si="4"/>
        <v>3.0124999999999998E-4</v>
      </c>
      <c r="J14" s="1">
        <f t="shared" si="4"/>
        <v>2.799701921559047E-5</v>
      </c>
      <c r="K14" s="1">
        <f t="shared" si="4"/>
        <v>0</v>
      </c>
      <c r="L14" s="1">
        <f t="shared" si="4"/>
        <v>6.0833333333333339E-5</v>
      </c>
      <c r="M14" s="1">
        <f t="shared" si="0"/>
        <v>2.635916446929119E-3</v>
      </c>
      <c r="N14" s="1">
        <f t="shared" si="3"/>
        <v>2.7677122692755752E-3</v>
      </c>
    </row>
    <row r="20" spans="8:11" x14ac:dyDescent="0.55000000000000004">
      <c r="I20" s="2">
        <f>M14/H10</f>
        <v>16.359159081291672</v>
      </c>
    </row>
    <row r="28" spans="8:11" x14ac:dyDescent="0.55000000000000004">
      <c r="H28">
        <f>3550/60*2*PI()</f>
        <v>371.75513067479216</v>
      </c>
      <c r="I28">
        <f>H28/14</f>
        <v>26.553937905342298</v>
      </c>
      <c r="J28">
        <f>I28/16.4</f>
        <v>1.6191425552037988</v>
      </c>
      <c r="K28">
        <f>J28/(2*PI())</f>
        <v>0.25769454123112662</v>
      </c>
    </row>
    <row r="32" spans="8:11" x14ac:dyDescent="0.55000000000000004">
      <c r="I32" s="2">
        <f>(0.513/(2*M13) *J32^2)/(2+PI())*360</f>
        <v>1.3999109204269367</v>
      </c>
      <c r="J32">
        <v>0.05</v>
      </c>
    </row>
    <row r="35" spans="9:11" x14ac:dyDescent="0.55000000000000004">
      <c r="J35">
        <v>45</v>
      </c>
      <c r="K35">
        <v>0.16</v>
      </c>
    </row>
    <row r="36" spans="9:11" x14ac:dyDescent="0.55000000000000004">
      <c r="I36">
        <f>SQRT(J35*2*N13/(1.5*9.81*K35*SIN(J35)))</f>
        <v>1.22998983974299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Hughes</dc:creator>
  <cp:lastModifiedBy>Harvey Hughes</cp:lastModifiedBy>
  <dcterms:created xsi:type="dcterms:W3CDTF">2020-05-19T12:59:45Z</dcterms:created>
  <dcterms:modified xsi:type="dcterms:W3CDTF">2020-05-21T01:06:51Z</dcterms:modified>
</cp:coreProperties>
</file>